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C:\Users\robin\Documents\Cours centrale\EPSA\Optimus\STUF2019\FR - Frame &amp; Body\FR_A0100 (Frame)\Règlement justification\"/>
    </mc:Choice>
  </mc:AlternateContent>
  <xr:revisionPtr revIDLastSave="0" documentId="13_ncr:1_{166D00F5-7BD0-4BE8-8C69-F794BAB81DF3}" xr6:coauthVersionLast="38" xr6:coauthVersionMax="38" xr10:uidLastSave="{00000000-0000-0000-0000-000000000000}"/>
  <bookViews>
    <workbookView xWindow="0" yWindow="0" windowWidth="20490" windowHeight="7545" tabRatio="956" firstSheet="9" activeTab="9" xr2:uid="{00000000-000D-0000-FFFF-FFFF00000000}"/>
  </bookViews>
  <sheets>
    <sheet name="Read_Me" sheetId="33" r:id="rId1"/>
    <sheet name="Version History" sheetId="35" r:id="rId2"/>
    <sheet name="Rules Clarifications" sheetId="41" r:id="rId3"/>
    <sheet name="Cover Sheet" sheetId="14" r:id="rId4"/>
    <sheet name="Chassis Pics" sheetId="15" r:id="rId5"/>
    <sheet name="MaterialData" sheetId="2" r:id="rId6"/>
    <sheet name="T2.9 Main Hoop Tubing" sheetId="1" r:id="rId7"/>
    <sheet name="T2.10 Front Hoop Tubing" sheetId="7" r:id="rId8"/>
    <sheet name="T2.11 Main Hoop Bracing" sheetId="8" r:id="rId9"/>
    <sheet name="T2.11.5 T2.6 MHoop Brace Spt" sheetId="12" r:id="rId10"/>
    <sheet name="T2.12 T2.6 FHoop Bracing" sheetId="34" r:id="rId11"/>
    <sheet name="T2.14 T2.6 Ft Bulkhead" sheetId="11" r:id="rId12"/>
    <sheet name="T2.15 T2.6 FBH S'pt Structure" sheetId="6" r:id="rId13"/>
    <sheet name="T2.16.1 T2.16.2 SIS" sheetId="3" r:id="rId14"/>
    <sheet name="T4.5 Shoulder Harness Bar" sheetId="13" r:id="rId15"/>
    <sheet name="T2.20 IA AI Plate" sheetId="19" r:id="rId16"/>
    <sheet name="3 Point Bending Comp AIP" sheetId="52" r:id="rId17"/>
    <sheet name="Shear Test Comp AIP" sheetId="53" r:id="rId18"/>
    <sheet name="T2.6 Laminate Test" sheetId="21" r:id="rId19"/>
    <sheet name="T2.6 FBHS" sheetId="36" r:id="rId20"/>
    <sheet name="T2.6 Different Layups" sheetId="77" r:id="rId21"/>
    <sheet name="T2.6.9 Shear Tests" sheetId="22" r:id="rId22"/>
    <sheet name="Other 1 Matt´l Shear" sheetId="70" r:id="rId23"/>
    <sheet name="T2.17 Main Hoop Attachments" sheetId="18" r:id="rId24"/>
    <sheet name="T2.17 Front Hoop Attachments" sheetId="27" r:id="rId25"/>
    <sheet name="T2.17 Hoop B'ing Attachments" sheetId="28" r:id="rId26"/>
    <sheet name="T2.18.5 IA Attachments" sheetId="58" r:id="rId27"/>
    <sheet name="T3.5 Harness Attachments" sheetId="24" r:id="rId28"/>
    <sheet name="EV6.5.5&amp;6 Accumulator Container" sheetId="61" r:id="rId29"/>
    <sheet name="EV6.5.6 Alt Matl - 3pt Bending" sheetId="72" r:id="rId30"/>
    <sheet name="EV6.5.6 Alt Matl - Shear" sheetId="71" r:id="rId31"/>
    <sheet name="EV6.5.6 Alt. Matls Summary" sheetId="63" r:id="rId32"/>
    <sheet name="EV6.5.12 Acc. Attachments" sheetId="66" r:id="rId33"/>
    <sheet name="EV6.5.1&amp;3 Accumulator Protect." sheetId="39" r:id="rId34"/>
    <sheet name="EV5.4 Tract. System Prot'n" sheetId="38" r:id="rId35"/>
    <sheet name="Welded Tube Inserts" sheetId="32" r:id="rId36"/>
    <sheet name="Steering Rack Collars" sheetId="76" r:id="rId37"/>
    <sheet name="Monocoque Lap Joints" sheetId="75" r:id="rId38"/>
    <sheet name="Additional Info" sheetId="30" r:id="rId39"/>
    <sheet name="T2.11.5 T2.6 Guidance Notes" sheetId="48" r:id="rId40"/>
    <sheet name="T2.6 T2.12 Guidance Notes" sheetId="50" r:id="rId41"/>
    <sheet name="T2.15 T2.6 Guidance Notes" sheetId="51" r:id="rId42"/>
    <sheet name="T2.20 Guidance Notes" sheetId="54" r:id="rId43"/>
    <sheet name="T2.16.2 Guidance Notes" sheetId="56" r:id="rId44"/>
    <sheet name="T2.6.9 Guidance Notes" sheetId="55" r:id="rId45"/>
    <sheet name="Monocoque Attachments Guidance" sheetId="57" r:id="rId46"/>
  </sheets>
  <externalReferences>
    <externalReference r:id="rId47"/>
  </externalReferences>
  <definedNames>
    <definedName name="_xlnm._FilterDatabase" localSheetId="5" hidden="1">MaterialData!$C$3:$I$9</definedName>
    <definedName name="AIP" localSheetId="30">[1]MaterialData!$C$3:$E$3,[1]MaterialData!$L$3</definedName>
    <definedName name="AIP" localSheetId="22">[1]MaterialData!$C$3:$E$3,[1]MaterialData!$L$3</definedName>
    <definedName name="AIP">MaterialData!$C$3:$E$3,MaterialData!$O$3</definedName>
    <definedName name="ConstructionType" localSheetId="30">[1]MaterialData!$B$20:$B$22</definedName>
    <definedName name="ConstructionType" localSheetId="22">[1]MaterialData!$B$20:$B$22</definedName>
    <definedName name="ConstructionType">MaterialData!$B$22:$B$24</definedName>
    <definedName name="Innertable" localSheetId="30">[1]MaterialData!$C$5:$L$10</definedName>
    <definedName name="Innertable" localSheetId="22">[1]MaterialData!$C$5:$L$10</definedName>
    <definedName name="Innertable">MaterialData!$C$5:$O$10</definedName>
    <definedName name="Material">MaterialData!$C$3:$N$3</definedName>
    <definedName name="Materialname">MaterialData!$C$4:$O$4</definedName>
    <definedName name="Materials" localSheetId="30">[1]MaterialData!$C$3:$K$3</definedName>
    <definedName name="Materials" localSheetId="22">[1]MaterialData!$C$3:$K$3</definedName>
    <definedName name="Materials">MaterialData!$C$3:$K$3</definedName>
    <definedName name="Metallic_Mats" localSheetId="30">[1]MaterialData!$C$3:$E$3</definedName>
    <definedName name="Metallic_Mats" localSheetId="22">[1]MaterialData!$C$3:$E$3</definedName>
    <definedName name="Metallic_Mats">MaterialData!$C$3:$E$3</definedName>
    <definedName name="Table">MaterialData!$B$3:$O$10</definedName>
    <definedName name="Tube_Type" localSheetId="30">[1]MaterialData!$B$24:$B$25</definedName>
    <definedName name="Tube_Type" localSheetId="22">[1]MaterialData!$B$24:$B$25</definedName>
    <definedName name="Tube_Type">MaterialData!$B$26:$B$27</definedName>
    <definedName name="_xlnm.Print_Area" localSheetId="4">'Chassis Pics'!$A$1:$AL$64</definedName>
    <definedName name="_xlnm.Print_Area" localSheetId="30">'EV6.5.6 Alt Matl - Shear'!$A$1:$S$54</definedName>
    <definedName name="_xlnm.Print_Area" localSheetId="31">'EV6.5.6 Alt. Matls Summary'!$A$1:$J$26</definedName>
    <definedName name="_xlnm.Print_Area" localSheetId="45">'Monocoque Attachments Guidance'!$A$1:$AL$57</definedName>
    <definedName name="_xlnm.Print_Area" localSheetId="22">'Other 1 Matt´l Shear'!$A$1:$S$54</definedName>
    <definedName name="_xlnm.Print_Area" localSheetId="17">'Shear Test Comp AIP'!$A$1:$S$54</definedName>
    <definedName name="_xlnm.Print_Area" localSheetId="36">'Steering Rack Collars'!$A$1:$J$164</definedName>
    <definedName name="_xlnm.Print_Area" localSheetId="9">'T2.11.5 T2.6 MHoop Brace Spt'!$A$1:$M$190</definedName>
    <definedName name="_xlnm.Print_Area" localSheetId="10">'T2.12 T2.6 FHoop Bracing'!$A$1:$M$190</definedName>
    <definedName name="_xlnm.Print_Area" localSheetId="11">'T2.14 T2.6 Ft Bulkhead'!$A$1:$AA$191</definedName>
    <definedName name="_xlnm.Print_Area" localSheetId="12">'T2.15 T2.6 FBH S''pt Structure'!$A$1:$P$191</definedName>
    <definedName name="_xlnm.Print_Area" localSheetId="41">'T2.15 T2.6 Guidance Notes'!$A$1:$AL$57</definedName>
    <definedName name="_xlnm.Print_Area" localSheetId="13">'T2.16.1 T2.16.2 SIS'!$A$1:$Q$191</definedName>
    <definedName name="_xlnm.Print_Area" localSheetId="43">'T2.16.2 Guidance Notes'!$A$1:$S$54</definedName>
    <definedName name="_xlnm.Print_Area" localSheetId="42">'T2.20 Guidance Notes'!$A$1:$S$57</definedName>
    <definedName name="_xlnm.Print_Area" localSheetId="15">'T2.20 IA AI Plate'!$A$1:$P$195</definedName>
    <definedName name="_xlnm.Print_Area" localSheetId="40">'T2.6 T2.12 Guidance Notes'!$A$1:$S$57</definedName>
    <definedName name="_xlnm.Print_Area" localSheetId="44">'T2.6.9 Guidance Notes'!$A$1:$S$57</definedName>
    <definedName name="_xlnm.Print_Area" localSheetId="21">'T2.6.9 Shear Tests'!$A$1:$AL$55</definedName>
    <definedName name="_xlnm.Print_Area" localSheetId="27">'T3.5 Harness Attachments'!$A$1:$S$52</definedName>
    <definedName name="_xlnm.Print_Area" localSheetId="35">'Welded Tube Inserts'!$A$1:$J$165</definedName>
  </definedNames>
  <calcPr calcId="181029"/>
</workbook>
</file>

<file path=xl/calcChain.xml><?xml version="1.0" encoding="utf-8"?>
<calcChain xmlns="http://schemas.openxmlformats.org/spreadsheetml/2006/main">
  <c r="C16" i="13" l="1"/>
  <c r="C25" i="13" s="1"/>
  <c r="C15" i="13"/>
  <c r="C24" i="13" s="1"/>
  <c r="C14" i="7"/>
  <c r="C18" i="7" s="1"/>
  <c r="C13" i="7"/>
  <c r="C14" i="1"/>
  <c r="C13" i="1"/>
  <c r="A24" i="14" s="1"/>
  <c r="C59" i="77"/>
  <c r="C58" i="77"/>
  <c r="C60" i="77"/>
  <c r="AG50" i="77"/>
  <c r="AI50" i="77" s="1"/>
  <c r="V50" i="77"/>
  <c r="AG46" i="77"/>
  <c r="AG51" i="77"/>
  <c r="N46" i="77"/>
  <c r="AH3" i="77"/>
  <c r="W3" i="77"/>
  <c r="O3" i="77"/>
  <c r="D3" i="77"/>
  <c r="C18" i="18"/>
  <c r="C16" i="18"/>
  <c r="D31" i="19"/>
  <c r="J20" i="61"/>
  <c r="J21" i="61"/>
  <c r="J22" i="61"/>
  <c r="J23" i="61"/>
  <c r="J19" i="61"/>
  <c r="C4" i="58"/>
  <c r="D8" i="58"/>
  <c r="D7" i="58"/>
  <c r="N46" i="52"/>
  <c r="C59" i="52"/>
  <c r="BS46" i="72"/>
  <c r="AZ46" i="72"/>
  <c r="AG46" i="72"/>
  <c r="N46" i="72"/>
  <c r="N46" i="36"/>
  <c r="C59" i="36"/>
  <c r="G5" i="2" s="1"/>
  <c r="N47" i="21"/>
  <c r="J14" i="63"/>
  <c r="J13" i="63"/>
  <c r="H14" i="63"/>
  <c r="H13" i="63"/>
  <c r="F14" i="63"/>
  <c r="F13" i="63"/>
  <c r="D14" i="63"/>
  <c r="D13" i="63"/>
  <c r="D12" i="63"/>
  <c r="F12" i="63"/>
  <c r="H12" i="63"/>
  <c r="J12" i="63"/>
  <c r="C25" i="76"/>
  <c r="D19" i="76"/>
  <c r="C19" i="76"/>
  <c r="C10" i="76"/>
  <c r="C11" i="76"/>
  <c r="C26" i="76"/>
  <c r="C9" i="76"/>
  <c r="C8" i="76"/>
  <c r="C7" i="76"/>
  <c r="C6" i="76"/>
  <c r="D6" i="76" s="1"/>
  <c r="D4" i="76"/>
  <c r="D9" i="76"/>
  <c r="AS38" i="14"/>
  <c r="AR38" i="14"/>
  <c r="AQ38" i="14"/>
  <c r="AP38" i="14"/>
  <c r="AO38" i="14"/>
  <c r="A38" i="14"/>
  <c r="C38" i="14" s="1"/>
  <c r="AR48" i="14"/>
  <c r="AR47" i="14"/>
  <c r="AR39" i="14"/>
  <c r="AQ39" i="14"/>
  <c r="AR37" i="14"/>
  <c r="AR36" i="14"/>
  <c r="AR35" i="14"/>
  <c r="AR32" i="14"/>
  <c r="AQ32" i="14"/>
  <c r="AR34" i="14"/>
  <c r="D6" i="58"/>
  <c r="C11" i="58"/>
  <c r="C13" i="58"/>
  <c r="D14" i="58"/>
  <c r="C12" i="75"/>
  <c r="C14" i="75" s="1"/>
  <c r="C3" i="75" s="1"/>
  <c r="C8" i="75"/>
  <c r="C9" i="28"/>
  <c r="I8" i="27"/>
  <c r="G8" i="27"/>
  <c r="I8" i="18"/>
  <c r="G8" i="18"/>
  <c r="BT3" i="71"/>
  <c r="BA3" i="71"/>
  <c r="AH3" i="71"/>
  <c r="O3" i="71"/>
  <c r="BI3" i="71"/>
  <c r="AP3" i="71"/>
  <c r="W3" i="71"/>
  <c r="D3" i="71"/>
  <c r="W53" i="71"/>
  <c r="F11" i="63"/>
  <c r="AP53" i="71"/>
  <c r="H11" i="63" s="1"/>
  <c r="H24" i="63" s="1"/>
  <c r="BI53" i="71"/>
  <c r="J11" i="63"/>
  <c r="BH59" i="72"/>
  <c r="J6" i="63" s="1"/>
  <c r="BH58" i="72"/>
  <c r="BT3" i="72"/>
  <c r="BI3" i="72"/>
  <c r="V59" i="72"/>
  <c r="F6" i="63"/>
  <c r="V58" i="72"/>
  <c r="V60" i="72" s="1"/>
  <c r="F8" i="63" s="1"/>
  <c r="F7" i="63" s="1"/>
  <c r="AH3" i="72"/>
  <c r="W3" i="72"/>
  <c r="AO59" i="72"/>
  <c r="H6" i="63"/>
  <c r="AO58" i="72"/>
  <c r="AO60" i="72" s="1"/>
  <c r="H8" i="63" s="1"/>
  <c r="H7" i="63" s="1"/>
  <c r="BA3" i="72"/>
  <c r="AP3" i="72"/>
  <c r="CM3" i="72"/>
  <c r="O3" i="72"/>
  <c r="CB3" i="72"/>
  <c r="D3" i="72"/>
  <c r="C59" i="72"/>
  <c r="D6" i="63" s="1"/>
  <c r="C58" i="72"/>
  <c r="CL50" i="72"/>
  <c r="CA50" i="72"/>
  <c r="CL46" i="72"/>
  <c r="CL51" i="72" s="1"/>
  <c r="CN51" i="72" s="1"/>
  <c r="D53" i="71"/>
  <c r="D11" i="63" s="1"/>
  <c r="O3" i="70"/>
  <c r="D3" i="70"/>
  <c r="D53" i="70"/>
  <c r="I26" i="39"/>
  <c r="I26" i="38"/>
  <c r="I28" i="38"/>
  <c r="C57" i="52"/>
  <c r="C56" i="52"/>
  <c r="C55" i="52"/>
  <c r="H15" i="19"/>
  <c r="G15" i="19"/>
  <c r="H5" i="19"/>
  <c r="G5" i="19"/>
  <c r="G9" i="19"/>
  <c r="D13" i="19"/>
  <c r="C9" i="58" s="1"/>
  <c r="D24" i="19"/>
  <c r="G36" i="11"/>
  <c r="C4" i="66"/>
  <c r="J15" i="63"/>
  <c r="J18" i="63"/>
  <c r="H15" i="63"/>
  <c r="F15" i="63"/>
  <c r="F16" i="63" s="1"/>
  <c r="F17" i="63" s="1"/>
  <c r="D15" i="63"/>
  <c r="C15" i="63"/>
  <c r="C16" i="63" s="1"/>
  <c r="I5" i="63"/>
  <c r="I9" i="63" s="1"/>
  <c r="G5" i="63"/>
  <c r="G6" i="63" s="1"/>
  <c r="E5" i="63"/>
  <c r="E7" i="63" s="1"/>
  <c r="C5" i="63"/>
  <c r="K20" i="61"/>
  <c r="K21" i="61"/>
  <c r="K22" i="61"/>
  <c r="K23" i="61"/>
  <c r="K19" i="61"/>
  <c r="J17" i="61"/>
  <c r="J14" i="61"/>
  <c r="J11" i="61"/>
  <c r="J8" i="61"/>
  <c r="O3" i="61"/>
  <c r="D3" i="61"/>
  <c r="G45" i="14"/>
  <c r="H36" i="11"/>
  <c r="N20" i="3"/>
  <c r="I34" i="38"/>
  <c r="C25" i="38"/>
  <c r="G24" i="38"/>
  <c r="G29" i="38"/>
  <c r="G27" i="38"/>
  <c r="F24" i="38"/>
  <c r="F33" i="38" s="1"/>
  <c r="E24" i="38"/>
  <c r="C24" i="38"/>
  <c r="C26" i="38"/>
  <c r="I18" i="38"/>
  <c r="M11" i="38"/>
  <c r="G18" i="38"/>
  <c r="F18" i="38"/>
  <c r="E18" i="38"/>
  <c r="I7" i="38"/>
  <c r="G7" i="38"/>
  <c r="F7" i="38"/>
  <c r="F8" i="38" s="1"/>
  <c r="E7" i="38"/>
  <c r="C7" i="38"/>
  <c r="C11" i="38"/>
  <c r="N6" i="38"/>
  <c r="M6" i="38"/>
  <c r="O8" i="38"/>
  <c r="M5" i="38"/>
  <c r="G18" i="39"/>
  <c r="F18" i="39"/>
  <c r="E18" i="39"/>
  <c r="I34" i="39"/>
  <c r="C25" i="39"/>
  <c r="G24" i="39"/>
  <c r="G35" i="39" s="1"/>
  <c r="G27" i="39"/>
  <c r="G32" i="39"/>
  <c r="F24" i="39"/>
  <c r="F35" i="39"/>
  <c r="E24" i="39"/>
  <c r="C24" i="39"/>
  <c r="C26" i="39" s="1"/>
  <c r="C33" i="39" s="1"/>
  <c r="I18" i="39"/>
  <c r="M11" i="39" s="1"/>
  <c r="I7" i="39"/>
  <c r="G7" i="39"/>
  <c r="G12" i="39"/>
  <c r="F7" i="39"/>
  <c r="E7" i="39"/>
  <c r="E11" i="39" s="1"/>
  <c r="C7" i="39"/>
  <c r="N6" i="39"/>
  <c r="M6" i="39"/>
  <c r="M5" i="39"/>
  <c r="N5" i="39"/>
  <c r="F26" i="13"/>
  <c r="K6" i="13"/>
  <c r="J6" i="13"/>
  <c r="J10" i="13"/>
  <c r="J5" i="13"/>
  <c r="L8" i="13"/>
  <c r="F18" i="13"/>
  <c r="J11" i="13"/>
  <c r="G48" i="14"/>
  <c r="G47" i="14"/>
  <c r="G46" i="14"/>
  <c r="J19" i="18"/>
  <c r="H19" i="18"/>
  <c r="F19" i="18"/>
  <c r="D19" i="18"/>
  <c r="C52" i="21"/>
  <c r="K34" i="3"/>
  <c r="J34" i="3"/>
  <c r="I34" i="3"/>
  <c r="O16" i="3"/>
  <c r="N16" i="3"/>
  <c r="O15" i="3"/>
  <c r="N19" i="3" s="1"/>
  <c r="N15" i="3"/>
  <c r="J18" i="3"/>
  <c r="N21" i="3"/>
  <c r="J7" i="3"/>
  <c r="G24" i="3"/>
  <c r="F24" i="3"/>
  <c r="E24" i="3"/>
  <c r="E28" i="3" s="1"/>
  <c r="O6" i="3"/>
  <c r="N6" i="3"/>
  <c r="N8" i="3" s="1"/>
  <c r="N5" i="3"/>
  <c r="I18" i="3"/>
  <c r="N11" i="3"/>
  <c r="D5" i="19"/>
  <c r="D8" i="19"/>
  <c r="D53" i="53"/>
  <c r="O10" i="2"/>
  <c r="O3" i="53"/>
  <c r="D3" i="53"/>
  <c r="C18" i="19"/>
  <c r="D18" i="19"/>
  <c r="C17" i="19"/>
  <c r="D17" i="19"/>
  <c r="C51" i="52"/>
  <c r="AG50" i="52"/>
  <c r="V50" i="52"/>
  <c r="AG46" i="52"/>
  <c r="AG51" i="52" s="1"/>
  <c r="AG52" i="52" s="1"/>
  <c r="O5" i="2"/>
  <c r="AH3" i="52"/>
  <c r="W3" i="52"/>
  <c r="O3" i="52"/>
  <c r="D3" i="52"/>
  <c r="F18" i="6"/>
  <c r="G18" i="6"/>
  <c r="E18" i="6"/>
  <c r="F26" i="11"/>
  <c r="Q13" i="11"/>
  <c r="R6" i="11"/>
  <c r="S11" i="11" s="1"/>
  <c r="R5" i="11"/>
  <c r="Q7" i="11"/>
  <c r="Q6" i="11"/>
  <c r="Q12" i="11" s="1"/>
  <c r="F18" i="11"/>
  <c r="Q14" i="11" s="1"/>
  <c r="Q15" i="11" s="1"/>
  <c r="N6" i="6"/>
  <c r="M6" i="6"/>
  <c r="M5" i="6"/>
  <c r="M8" i="6" s="1"/>
  <c r="I18" i="6"/>
  <c r="M11" i="6" s="1"/>
  <c r="K6" i="34"/>
  <c r="J6" i="34"/>
  <c r="J5" i="34"/>
  <c r="F18" i="34"/>
  <c r="J11" i="34"/>
  <c r="K6" i="12"/>
  <c r="J6" i="12"/>
  <c r="J5" i="12"/>
  <c r="K5" i="12"/>
  <c r="F18" i="12"/>
  <c r="J11" i="12"/>
  <c r="Y49" i="22"/>
  <c r="F49" i="22"/>
  <c r="R7" i="11"/>
  <c r="AS48" i="14"/>
  <c r="AQ48" i="14"/>
  <c r="AP48" i="14"/>
  <c r="AO48" i="14"/>
  <c r="AN48" i="14"/>
  <c r="AM48" i="14"/>
  <c r="AL48" i="14"/>
  <c r="AK48" i="14"/>
  <c r="AJ48" i="14"/>
  <c r="AI48" i="14"/>
  <c r="AH48" i="14"/>
  <c r="AG48" i="14"/>
  <c r="AF48" i="14"/>
  <c r="AE48" i="14"/>
  <c r="AD48" i="14"/>
  <c r="AC48" i="14"/>
  <c r="AS47" i="14"/>
  <c r="AQ47" i="14"/>
  <c r="AP47" i="14"/>
  <c r="AO47" i="14"/>
  <c r="AN47" i="14"/>
  <c r="AM47" i="14"/>
  <c r="AL47" i="14"/>
  <c r="AK47" i="14"/>
  <c r="AJ47" i="14"/>
  <c r="AI47" i="14"/>
  <c r="AH47" i="14"/>
  <c r="AG47" i="14"/>
  <c r="AF47" i="14"/>
  <c r="AE47" i="14"/>
  <c r="AD47" i="14"/>
  <c r="AC47" i="14"/>
  <c r="G36" i="39"/>
  <c r="F36" i="39"/>
  <c r="G36" i="38"/>
  <c r="F36" i="38"/>
  <c r="F22" i="11"/>
  <c r="Q5" i="11" s="1"/>
  <c r="AG50" i="36"/>
  <c r="AI50" i="36" s="1"/>
  <c r="V50" i="36"/>
  <c r="AG46" i="36"/>
  <c r="AH3" i="36"/>
  <c r="W3" i="36"/>
  <c r="O3" i="36"/>
  <c r="D3" i="36"/>
  <c r="D27" i="32"/>
  <c r="D26" i="32"/>
  <c r="E26" i="32"/>
  <c r="C24" i="11"/>
  <c r="C24" i="34"/>
  <c r="C28" i="34" s="1"/>
  <c r="C25" i="12"/>
  <c r="C25" i="3"/>
  <c r="C24" i="3"/>
  <c r="F24" i="6"/>
  <c r="F25" i="6" s="1"/>
  <c r="F26" i="6" s="1"/>
  <c r="G24" i="6"/>
  <c r="G28" i="6" s="1"/>
  <c r="G32" i="6" s="1"/>
  <c r="C25" i="6"/>
  <c r="C24" i="6"/>
  <c r="E25" i="11"/>
  <c r="E24" i="11"/>
  <c r="E26" i="11" s="1"/>
  <c r="E25" i="34"/>
  <c r="E24" i="34"/>
  <c r="C21" i="32"/>
  <c r="F7" i="13"/>
  <c r="E7" i="13"/>
  <c r="E12" i="13"/>
  <c r="C7" i="13"/>
  <c r="C11" i="13"/>
  <c r="I7" i="3"/>
  <c r="I12" i="3"/>
  <c r="G7" i="3"/>
  <c r="G10" i="3"/>
  <c r="F7" i="3"/>
  <c r="E7" i="3"/>
  <c r="E12" i="3" s="1"/>
  <c r="C7" i="3"/>
  <c r="C5" i="19"/>
  <c r="I7" i="6"/>
  <c r="F7" i="6"/>
  <c r="F8" i="6" s="1"/>
  <c r="G7" i="6"/>
  <c r="E7" i="6"/>
  <c r="E11" i="6"/>
  <c r="E24" i="6"/>
  <c r="E28" i="6" s="1"/>
  <c r="C7" i="6"/>
  <c r="C8" i="6" s="1"/>
  <c r="C27" i="6" s="1"/>
  <c r="C36" i="6" s="1"/>
  <c r="C26" i="6"/>
  <c r="F7" i="11"/>
  <c r="E7" i="11"/>
  <c r="C7" i="11"/>
  <c r="F7" i="34"/>
  <c r="F12" i="34" s="1"/>
  <c r="E7" i="34"/>
  <c r="E11" i="34" s="1"/>
  <c r="C7" i="34"/>
  <c r="C9" i="34" s="1"/>
  <c r="AS34" i="14"/>
  <c r="AQ34" i="14"/>
  <c r="AO34" i="14"/>
  <c r="AP34" i="14"/>
  <c r="AF34" i="14"/>
  <c r="AE34" i="14"/>
  <c r="AD34" i="14"/>
  <c r="AC34" i="14"/>
  <c r="A34" i="14"/>
  <c r="C7" i="12"/>
  <c r="D6" i="8"/>
  <c r="D10" i="8"/>
  <c r="C6" i="8"/>
  <c r="C11" i="8"/>
  <c r="D6" i="7"/>
  <c r="C6" i="7"/>
  <c r="C10" i="7" s="1"/>
  <c r="C6" i="1"/>
  <c r="D6" i="1"/>
  <c r="D7" i="1"/>
  <c r="F7" i="12"/>
  <c r="F12" i="12"/>
  <c r="E7" i="12"/>
  <c r="C62" i="21"/>
  <c r="C64" i="21" s="1"/>
  <c r="F7" i="2" s="1"/>
  <c r="I10" i="39"/>
  <c r="AG47" i="21"/>
  <c r="AG55" i="21" s="1"/>
  <c r="E18" i="3"/>
  <c r="A44" i="14"/>
  <c r="A42" i="14"/>
  <c r="C42" i="14"/>
  <c r="D11" i="28"/>
  <c r="D12" i="28"/>
  <c r="D54" i="22"/>
  <c r="G10" i="2" s="1"/>
  <c r="E9" i="28"/>
  <c r="F14" i="28"/>
  <c r="F12" i="28"/>
  <c r="F11" i="28"/>
  <c r="D14" i="28"/>
  <c r="W54" i="22"/>
  <c r="F10" i="2" s="1"/>
  <c r="F20" i="28"/>
  <c r="D20" i="28"/>
  <c r="F15" i="28"/>
  <c r="D15" i="28"/>
  <c r="D21" i="1"/>
  <c r="D21" i="8"/>
  <c r="C10" i="2"/>
  <c r="C11" i="19" s="1"/>
  <c r="A36" i="14"/>
  <c r="D10" i="27"/>
  <c r="D11" i="27"/>
  <c r="D13" i="27"/>
  <c r="D14" i="27"/>
  <c r="D19" i="27"/>
  <c r="F13" i="27"/>
  <c r="F10" i="27"/>
  <c r="F11" i="27"/>
  <c r="F14" i="27"/>
  <c r="F19" i="27"/>
  <c r="J13" i="27"/>
  <c r="H13" i="27"/>
  <c r="J19" i="27"/>
  <c r="H19" i="27"/>
  <c r="J14" i="27"/>
  <c r="H14" i="27"/>
  <c r="J11" i="27"/>
  <c r="H11" i="27"/>
  <c r="J10" i="27"/>
  <c r="H10" i="27"/>
  <c r="A37" i="14"/>
  <c r="D10" i="18"/>
  <c r="D11" i="18"/>
  <c r="D13" i="18"/>
  <c r="D14" i="18"/>
  <c r="F10" i="18"/>
  <c r="F11" i="18"/>
  <c r="F13" i="18"/>
  <c r="F14" i="18"/>
  <c r="F52" i="24"/>
  <c r="F40" i="24"/>
  <c r="F44" i="24"/>
  <c r="F48" i="24"/>
  <c r="J10" i="18"/>
  <c r="J11" i="18"/>
  <c r="J13" i="18"/>
  <c r="J14" i="18"/>
  <c r="H10" i="18"/>
  <c r="H11" i="18"/>
  <c r="H13" i="18"/>
  <c r="H14" i="18"/>
  <c r="AH3" i="22"/>
  <c r="W3" i="22"/>
  <c r="D4" i="32"/>
  <c r="D7" i="32"/>
  <c r="D20" i="32" s="1"/>
  <c r="D8" i="32"/>
  <c r="C9" i="32"/>
  <c r="C24" i="32"/>
  <c r="C8" i="32"/>
  <c r="C23" i="32"/>
  <c r="C6" i="32"/>
  <c r="D6" i="32"/>
  <c r="C7" i="32"/>
  <c r="C17" i="32"/>
  <c r="C19" i="32" s="1"/>
  <c r="C25" i="32" s="1"/>
  <c r="C18" i="32"/>
  <c r="D21" i="7"/>
  <c r="E25" i="12"/>
  <c r="E24" i="12"/>
  <c r="E25" i="13"/>
  <c r="E24" i="13"/>
  <c r="E26" i="13" s="1"/>
  <c r="A35" i="14"/>
  <c r="Z35" i="14" s="1"/>
  <c r="A39" i="14"/>
  <c r="F34" i="13"/>
  <c r="D17" i="8"/>
  <c r="D18" i="8"/>
  <c r="D18" i="7"/>
  <c r="D17" i="7"/>
  <c r="D17" i="1"/>
  <c r="D18" i="1"/>
  <c r="D3" i="30"/>
  <c r="O3" i="30"/>
  <c r="AS32" i="14"/>
  <c r="AP32" i="14"/>
  <c r="AO32" i="14"/>
  <c r="AE32" i="14"/>
  <c r="AF32" i="14"/>
  <c r="AD32" i="14"/>
  <c r="AC32" i="14"/>
  <c r="AS39" i="14"/>
  <c r="AO39" i="14"/>
  <c r="AN37" i="14"/>
  <c r="AM37" i="14"/>
  <c r="AL37" i="14"/>
  <c r="AK37" i="14"/>
  <c r="AJ37" i="14"/>
  <c r="AI37" i="14"/>
  <c r="AH37" i="14"/>
  <c r="AG37" i="14"/>
  <c r="AF37" i="14"/>
  <c r="AE37" i="14"/>
  <c r="AD37" i="14"/>
  <c r="AC37" i="14"/>
  <c r="AF36" i="14"/>
  <c r="AE36" i="14"/>
  <c r="AD36" i="14"/>
  <c r="AC36" i="14"/>
  <c r="AF35" i="14"/>
  <c r="AS37" i="14"/>
  <c r="AQ37" i="14"/>
  <c r="AO37" i="14"/>
  <c r="AP35" i="14"/>
  <c r="AO35" i="14"/>
  <c r="AE35" i="14"/>
  <c r="AD35" i="14"/>
  <c r="AC35" i="14"/>
  <c r="D3" i="24"/>
  <c r="O3" i="24"/>
  <c r="D3" i="22"/>
  <c r="O3" i="22"/>
  <c r="D3" i="21"/>
  <c r="O3" i="21"/>
  <c r="W3" i="21"/>
  <c r="AH3" i="21"/>
  <c r="AG54" i="21"/>
  <c r="AI54" i="21" s="1"/>
  <c r="V54" i="21"/>
  <c r="D3" i="15"/>
  <c r="O3" i="15"/>
  <c r="AC24" i="14"/>
  <c r="AD24" i="14"/>
  <c r="AE24" i="14"/>
  <c r="AF24" i="14"/>
  <c r="AC25" i="14"/>
  <c r="AD25" i="14"/>
  <c r="AE25" i="14"/>
  <c r="AF25" i="14"/>
  <c r="AC26" i="14"/>
  <c r="AD26" i="14"/>
  <c r="AE26" i="14"/>
  <c r="AF26" i="14"/>
  <c r="AC30" i="14"/>
  <c r="AD30" i="14"/>
  <c r="AE30" i="14"/>
  <c r="AF30" i="14"/>
  <c r="AG30" i="14"/>
  <c r="AH30" i="14"/>
  <c r="AI30" i="14"/>
  <c r="AJ30" i="14"/>
  <c r="AK30" i="14"/>
  <c r="AL30" i="14"/>
  <c r="AM30" i="14"/>
  <c r="AN30" i="14"/>
  <c r="AC31" i="14"/>
  <c r="AD31" i="14"/>
  <c r="AE31" i="14"/>
  <c r="AF31" i="14"/>
  <c r="AG31" i="14"/>
  <c r="AH31" i="14"/>
  <c r="AI31" i="14"/>
  <c r="AJ31" i="14"/>
  <c r="AK31" i="14"/>
  <c r="AL31" i="14"/>
  <c r="AM31" i="14"/>
  <c r="AN31" i="14"/>
  <c r="AG36" i="14"/>
  <c r="AH36" i="14"/>
  <c r="AI36" i="14"/>
  <c r="AJ36" i="14"/>
  <c r="AK36" i="14"/>
  <c r="AL36" i="14"/>
  <c r="AM36" i="14"/>
  <c r="AN36" i="14"/>
  <c r="AO36" i="14"/>
  <c r="AP36" i="14"/>
  <c r="AQ36" i="14"/>
  <c r="AS36" i="14"/>
  <c r="C46" i="14"/>
  <c r="G18" i="3"/>
  <c r="F18" i="3"/>
  <c r="AS35" i="14"/>
  <c r="AQ35" i="14"/>
  <c r="C25" i="11"/>
  <c r="C26" i="11"/>
  <c r="C58" i="36"/>
  <c r="C60" i="36"/>
  <c r="G7" i="2" s="1"/>
  <c r="G6" i="2" s="1"/>
  <c r="AP39" i="14"/>
  <c r="A29" i="14"/>
  <c r="AD29" i="14" s="1"/>
  <c r="A27" i="14"/>
  <c r="AC27" i="14" s="1"/>
  <c r="C24" i="12"/>
  <c r="F35" i="13"/>
  <c r="F26" i="12"/>
  <c r="C25" i="34"/>
  <c r="A28" i="14"/>
  <c r="F26" i="34"/>
  <c r="F33" i="34"/>
  <c r="J26" i="3"/>
  <c r="C22" i="18"/>
  <c r="C24" i="18" s="1"/>
  <c r="D24" i="18" s="1"/>
  <c r="C22" i="27"/>
  <c r="G22" i="18"/>
  <c r="G24" i="18" s="1"/>
  <c r="H24" i="18" s="1"/>
  <c r="F32" i="13"/>
  <c r="F34" i="11"/>
  <c r="F29" i="13"/>
  <c r="F33" i="13"/>
  <c r="F31" i="13"/>
  <c r="C12" i="13"/>
  <c r="C12" i="38"/>
  <c r="C8" i="38"/>
  <c r="C27" i="38" s="1"/>
  <c r="C36" i="38" s="1"/>
  <c r="X35" i="14"/>
  <c r="E28" i="38"/>
  <c r="M10" i="38"/>
  <c r="G26" i="38"/>
  <c r="G28" i="38"/>
  <c r="E25" i="38"/>
  <c r="E26" i="38" s="1"/>
  <c r="H26" i="38" s="1"/>
  <c r="J26" i="38" s="1"/>
  <c r="F31" i="38"/>
  <c r="C10" i="38"/>
  <c r="C33" i="38"/>
  <c r="F25" i="38"/>
  <c r="G31" i="38"/>
  <c r="F32" i="38"/>
  <c r="G25" i="38"/>
  <c r="F26" i="39"/>
  <c r="G26" i="39"/>
  <c r="G28" i="39"/>
  <c r="F29" i="39"/>
  <c r="G29" i="39"/>
  <c r="F30" i="39"/>
  <c r="E28" i="39"/>
  <c r="E25" i="39"/>
  <c r="E26" i="39" s="1"/>
  <c r="H26" i="39" s="1"/>
  <c r="J26" i="39" s="1"/>
  <c r="G30" i="39"/>
  <c r="F25" i="39"/>
  <c r="G31" i="39"/>
  <c r="F31" i="39"/>
  <c r="G25" i="39"/>
  <c r="AE29" i="14"/>
  <c r="T42" i="14"/>
  <c r="D11" i="32"/>
  <c r="C63" i="21"/>
  <c r="F5" i="2" s="1"/>
  <c r="J8" i="3" s="1"/>
  <c r="AP37" i="14"/>
  <c r="C35" i="14"/>
  <c r="U35" i="14"/>
  <c r="F10" i="3"/>
  <c r="F11" i="3"/>
  <c r="F8" i="3"/>
  <c r="I11" i="38"/>
  <c r="I12" i="38"/>
  <c r="BH60" i="72"/>
  <c r="J8" i="63"/>
  <c r="J7" i="63" s="1"/>
  <c r="I12" i="39"/>
  <c r="I32" i="39"/>
  <c r="I30" i="39"/>
  <c r="I31" i="39"/>
  <c r="I35" i="39"/>
  <c r="I27" i="39"/>
  <c r="I28" i="39"/>
  <c r="I33" i="39"/>
  <c r="A40" i="14"/>
  <c r="T40" i="14"/>
  <c r="C37" i="14"/>
  <c r="C9" i="13"/>
  <c r="I29" i="39"/>
  <c r="C7" i="19"/>
  <c r="F30" i="11"/>
  <c r="F35" i="11"/>
  <c r="F31" i="11"/>
  <c r="C25" i="18"/>
  <c r="D25" i="18"/>
  <c r="C13" i="11"/>
  <c r="C36" i="11" s="1"/>
  <c r="AD39" i="14"/>
  <c r="CN50" i="72"/>
  <c r="F34" i="38"/>
  <c r="F26" i="38"/>
  <c r="F28" i="38"/>
  <c r="H28" i="38"/>
  <c r="J28" i="38" s="1"/>
  <c r="F29" i="38"/>
  <c r="F35" i="38"/>
  <c r="F30" i="38"/>
  <c r="E22" i="18"/>
  <c r="E25" i="18" s="1"/>
  <c r="F25" i="18" s="1"/>
  <c r="E24" i="18"/>
  <c r="F24" i="18" s="1"/>
  <c r="I22" i="18"/>
  <c r="I23" i="18"/>
  <c r="J23" i="18"/>
  <c r="E26" i="28"/>
  <c r="F26" i="28" s="1"/>
  <c r="N5" i="6"/>
  <c r="A41" i="14"/>
  <c r="G33" i="39"/>
  <c r="G30" i="38"/>
  <c r="G35" i="38"/>
  <c r="I26" i="3"/>
  <c r="I31" i="3" s="1"/>
  <c r="X37" i="14"/>
  <c r="AA37" i="14"/>
  <c r="V37" i="14"/>
  <c r="Y37" i="14"/>
  <c r="C58" i="52"/>
  <c r="C60" i="52"/>
  <c r="O6" i="2"/>
  <c r="O7" i="2" s="1"/>
  <c r="G19" i="19"/>
  <c r="I26" i="6"/>
  <c r="I35" i="6" s="1"/>
  <c r="I34" i="6"/>
  <c r="AB36" i="14"/>
  <c r="V36" i="14"/>
  <c r="D11" i="76"/>
  <c r="D18" i="63"/>
  <c r="E15" i="63"/>
  <c r="C18" i="63"/>
  <c r="I15" i="63"/>
  <c r="I18" i="63"/>
  <c r="D16" i="63"/>
  <c r="D17" i="63" s="1"/>
  <c r="J16" i="63"/>
  <c r="J17" i="63" s="1"/>
  <c r="C20" i="76"/>
  <c r="C23" i="76" s="1"/>
  <c r="C24" i="76" s="1"/>
  <c r="D8" i="76"/>
  <c r="D7" i="76"/>
  <c r="D10" i="76"/>
  <c r="D20" i="76"/>
  <c r="O5" i="3"/>
  <c r="P9" i="3" s="1"/>
  <c r="E8" i="3"/>
  <c r="K5" i="13"/>
  <c r="J9" i="13" s="1"/>
  <c r="J12" i="13" s="1"/>
  <c r="L9" i="13"/>
  <c r="L11" i="13" s="1"/>
  <c r="J8" i="13"/>
  <c r="G23" i="18"/>
  <c r="H23" i="18" s="1"/>
  <c r="AC39" i="14"/>
  <c r="AE39" i="14"/>
  <c r="F28" i="3"/>
  <c r="F31" i="3" s="1"/>
  <c r="F25" i="3"/>
  <c r="P18" i="3"/>
  <c r="N18" i="3"/>
  <c r="C25" i="27"/>
  <c r="D25" i="27"/>
  <c r="G25" i="3"/>
  <c r="G26" i="3" s="1"/>
  <c r="G28" i="3"/>
  <c r="A43" i="14"/>
  <c r="AB35" i="14"/>
  <c r="C17" i="8"/>
  <c r="C19" i="8" s="1"/>
  <c r="C20" i="8" s="1"/>
  <c r="E25" i="6"/>
  <c r="AG51" i="36"/>
  <c r="AG52" i="36"/>
  <c r="AI51" i="36"/>
  <c r="F27" i="13"/>
  <c r="F30" i="13"/>
  <c r="F28" i="13"/>
  <c r="C60" i="72"/>
  <c r="D8" i="63" s="1"/>
  <c r="D7" i="63" s="1"/>
  <c r="F18" i="63"/>
  <c r="I16" i="63"/>
  <c r="E25" i="3"/>
  <c r="E26" i="3" s="1"/>
  <c r="I22" i="27"/>
  <c r="E24" i="28"/>
  <c r="F24" i="28" s="1"/>
  <c r="E25" i="28"/>
  <c r="F25" i="28"/>
  <c r="G14" i="19"/>
  <c r="I17" i="19" s="1"/>
  <c r="E23" i="19"/>
  <c r="M10" i="6"/>
  <c r="F33" i="12"/>
  <c r="F27" i="12"/>
  <c r="F34" i="12"/>
  <c r="F28" i="12"/>
  <c r="F32" i="12"/>
  <c r="M8" i="39"/>
  <c r="O8" i="39"/>
  <c r="M10" i="39"/>
  <c r="I29" i="6"/>
  <c r="C26" i="28"/>
  <c r="D26" i="28"/>
  <c r="C25" i="28"/>
  <c r="D25" i="28" s="1"/>
  <c r="C24" i="28"/>
  <c r="D24" i="28"/>
  <c r="CL52" i="72"/>
  <c r="Q10" i="11"/>
  <c r="S10" i="11"/>
  <c r="H18" i="63"/>
  <c r="G15" i="63"/>
  <c r="H16" i="63"/>
  <c r="H17" i="63" s="1"/>
  <c r="F27" i="34"/>
  <c r="F34" i="34"/>
  <c r="C26" i="34"/>
  <c r="C28" i="38"/>
  <c r="C31" i="38" s="1"/>
  <c r="G25" i="18"/>
  <c r="H25" i="18"/>
  <c r="P19" i="3"/>
  <c r="G9" i="39"/>
  <c r="I33" i="6"/>
  <c r="I32" i="6"/>
  <c r="C28" i="6"/>
  <c r="C26" i="3"/>
  <c r="C28" i="3"/>
  <c r="N10" i="3"/>
  <c r="F26" i="3"/>
  <c r="F33" i="3" s="1"/>
  <c r="F28" i="34"/>
  <c r="F31" i="34"/>
  <c r="C12" i="12"/>
  <c r="C32" i="12"/>
  <c r="C10" i="12"/>
  <c r="G11" i="3"/>
  <c r="L8" i="12"/>
  <c r="J10" i="12"/>
  <c r="L8" i="34"/>
  <c r="K5" i="34"/>
  <c r="L9" i="34"/>
  <c r="J8" i="12"/>
  <c r="C28" i="11"/>
  <c r="Q11" i="11"/>
  <c r="F27" i="39"/>
  <c r="G33" i="38"/>
  <c r="F33" i="39"/>
  <c r="J9" i="34"/>
  <c r="E8" i="63"/>
  <c r="F9" i="3"/>
  <c r="F29" i="3" s="1"/>
  <c r="F12" i="3"/>
  <c r="E8" i="13"/>
  <c r="E27" i="13"/>
  <c r="G27" i="13" s="1"/>
  <c r="G11" i="39"/>
  <c r="C9" i="38"/>
  <c r="C29" i="38"/>
  <c r="C10" i="19"/>
  <c r="D32" i="19"/>
  <c r="D19" i="19"/>
  <c r="A33" i="14"/>
  <c r="C33" i="14"/>
  <c r="G10" i="19"/>
  <c r="G20" i="19"/>
  <c r="C21" i="8"/>
  <c r="C25" i="8"/>
  <c r="A26" i="14"/>
  <c r="C18" i="8"/>
  <c r="D29" i="19"/>
  <c r="D28" i="19"/>
  <c r="D30" i="19"/>
  <c r="I8" i="63"/>
  <c r="I19" i="63"/>
  <c r="J22" i="63"/>
  <c r="J11" i="3"/>
  <c r="D10" i="1"/>
  <c r="D8" i="1"/>
  <c r="C9" i="3"/>
  <c r="E10" i="39"/>
  <c r="E30" i="39"/>
  <c r="H30" i="39" s="1"/>
  <c r="J30" i="39" s="1"/>
  <c r="F10" i="38"/>
  <c r="C8" i="13"/>
  <c r="E10" i="34"/>
  <c r="D7" i="19"/>
  <c r="E12" i="39"/>
  <c r="E32" i="39"/>
  <c r="F12" i="38"/>
  <c r="E8" i="34"/>
  <c r="E8" i="39"/>
  <c r="E27" i="39"/>
  <c r="H27" i="39"/>
  <c r="C10" i="13"/>
  <c r="D6" i="19"/>
  <c r="E9" i="39"/>
  <c r="E29" i="39"/>
  <c r="E9" i="34"/>
  <c r="C8" i="34"/>
  <c r="C27" i="34"/>
  <c r="F9" i="38"/>
  <c r="C7" i="7"/>
  <c r="E12" i="34"/>
  <c r="C9" i="7"/>
  <c r="F11" i="38"/>
  <c r="G8" i="6"/>
  <c r="F11" i="6"/>
  <c r="P8" i="3"/>
  <c r="N9" i="3"/>
  <c r="I32" i="3"/>
  <c r="I28" i="3"/>
  <c r="F35" i="34"/>
  <c r="F29" i="34"/>
  <c r="U34" i="14"/>
  <c r="Z34" i="14"/>
  <c r="F32" i="34"/>
  <c r="F30" i="34"/>
  <c r="T34" i="14"/>
  <c r="C34" i="14"/>
  <c r="X34" i="14"/>
  <c r="Y34" i="14"/>
  <c r="W34" i="14"/>
  <c r="AB34" i="14"/>
  <c r="V34" i="14"/>
  <c r="I32" i="38"/>
  <c r="I27" i="38"/>
  <c r="M8" i="38"/>
  <c r="I29" i="38"/>
  <c r="I31" i="38"/>
  <c r="N5" i="38"/>
  <c r="I33" i="38"/>
  <c r="I35" i="38"/>
  <c r="I30" i="38"/>
  <c r="O9" i="39"/>
  <c r="M9" i="39"/>
  <c r="M12" i="39"/>
  <c r="O10" i="39"/>
  <c r="AA34" i="14"/>
  <c r="F12" i="6"/>
  <c r="I10" i="63"/>
  <c r="G12" i="38"/>
  <c r="G10" i="39"/>
  <c r="E11" i="63"/>
  <c r="F24" i="63"/>
  <c r="E9" i="13"/>
  <c r="G8" i="39"/>
  <c r="E6" i="63"/>
  <c r="F9" i="6"/>
  <c r="I11" i="63"/>
  <c r="J24" i="63"/>
  <c r="E9" i="63"/>
  <c r="E10" i="13"/>
  <c r="E10" i="6"/>
  <c r="F10" i="6"/>
  <c r="I7" i="63"/>
  <c r="I6" i="63"/>
  <c r="I17" i="63"/>
  <c r="J23" i="63"/>
  <c r="D9" i="1"/>
  <c r="G8" i="38"/>
  <c r="E11" i="13"/>
  <c r="E10" i="63"/>
  <c r="C23" i="18"/>
  <c r="D23" i="18"/>
  <c r="C8" i="18" s="1"/>
  <c r="I8" i="38"/>
  <c r="I10" i="38"/>
  <c r="I10" i="3"/>
  <c r="F6" i="2"/>
  <c r="I12" i="6"/>
  <c r="C8" i="39"/>
  <c r="C27" i="39"/>
  <c r="C36" i="39" s="1"/>
  <c r="C11" i="39"/>
  <c r="C9" i="39"/>
  <c r="C29" i="39"/>
  <c r="C12" i="39"/>
  <c r="C10" i="39"/>
  <c r="C12" i="6"/>
  <c r="C32" i="6" s="1"/>
  <c r="E10" i="3"/>
  <c r="C11" i="63"/>
  <c r="D24" i="63" s="1"/>
  <c r="Z39" i="14"/>
  <c r="T39" i="14"/>
  <c r="AA39" i="14"/>
  <c r="Y39" i="14"/>
  <c r="F35" i="12"/>
  <c r="AB39" i="14"/>
  <c r="F30" i="12"/>
  <c r="F31" i="12"/>
  <c r="F29" i="12"/>
  <c r="U39" i="14"/>
  <c r="V39" i="14"/>
  <c r="X39" i="14"/>
  <c r="W39" i="14"/>
  <c r="O8" i="6"/>
  <c r="E10" i="11"/>
  <c r="E11" i="11"/>
  <c r="E9" i="11"/>
  <c r="E12" i="11"/>
  <c r="E28" i="34"/>
  <c r="E32" i="34" s="1"/>
  <c r="G32" i="34" s="1"/>
  <c r="E26" i="34"/>
  <c r="E27" i="34" s="1"/>
  <c r="G4" i="19"/>
  <c r="E22" i="19"/>
  <c r="H14" i="19"/>
  <c r="G18" i="19" s="1"/>
  <c r="D22" i="76"/>
  <c r="D26" i="76" s="1"/>
  <c r="E26" i="76" s="1"/>
  <c r="D21" i="76"/>
  <c r="D23" i="76" s="1"/>
  <c r="C12" i="3"/>
  <c r="C8" i="3"/>
  <c r="C27" i="3" s="1"/>
  <c r="C10" i="3"/>
  <c r="C30" i="3"/>
  <c r="C11" i="3"/>
  <c r="AI50" i="52"/>
  <c r="AI51" i="52"/>
  <c r="G17" i="19"/>
  <c r="I24" i="27"/>
  <c r="J24" i="27" s="1"/>
  <c r="I24" i="18"/>
  <c r="J24" i="18"/>
  <c r="I25" i="18"/>
  <c r="J25" i="18" s="1"/>
  <c r="E26" i="12"/>
  <c r="G26" i="12" s="1"/>
  <c r="E28" i="12"/>
  <c r="G28" i="12" s="1"/>
  <c r="H28" i="12" s="1"/>
  <c r="E8" i="11"/>
  <c r="I28" i="6"/>
  <c r="I30" i="6"/>
  <c r="I27" i="6"/>
  <c r="J35" i="3"/>
  <c r="J29" i="3"/>
  <c r="J28" i="3"/>
  <c r="J32" i="3"/>
  <c r="C28" i="12"/>
  <c r="C26" i="12"/>
  <c r="U37" i="14"/>
  <c r="AB37" i="14"/>
  <c r="Z37" i="14"/>
  <c r="W37" i="14"/>
  <c r="T37" i="14"/>
  <c r="C44" i="14"/>
  <c r="T44" i="14"/>
  <c r="C8" i="12"/>
  <c r="C27" i="12"/>
  <c r="C11" i="12"/>
  <c r="C31" i="12" s="1"/>
  <c r="C9" i="12"/>
  <c r="C29" i="12" s="1"/>
  <c r="C11" i="6"/>
  <c r="C31" i="6" s="1"/>
  <c r="Q9" i="11"/>
  <c r="S9" i="11"/>
  <c r="F32" i="11"/>
  <c r="F29" i="11"/>
  <c r="F28" i="11"/>
  <c r="F33" i="11"/>
  <c r="F27" i="11"/>
  <c r="F36" i="11"/>
  <c r="T33" i="14"/>
  <c r="I31" i="6"/>
  <c r="J33" i="3"/>
  <c r="J31" i="3"/>
  <c r="G22" i="27"/>
  <c r="C24" i="27"/>
  <c r="D24" i="27" s="1"/>
  <c r="A35" i="24"/>
  <c r="AF27" i="14"/>
  <c r="Y35" i="14"/>
  <c r="AA35" i="14"/>
  <c r="C36" i="14"/>
  <c r="T36" i="14"/>
  <c r="X36" i="14"/>
  <c r="J10" i="34"/>
  <c r="J8" i="34"/>
  <c r="J12" i="34"/>
  <c r="L11" i="34" s="1"/>
  <c r="D9" i="32"/>
  <c r="D25" i="32" s="1"/>
  <c r="E25" i="32" s="1"/>
  <c r="V35" i="14"/>
  <c r="T35" i="14"/>
  <c r="Y36" i="14"/>
  <c r="Z36" i="14"/>
  <c r="U36" i="14"/>
  <c r="O9" i="6"/>
  <c r="M9" i="6"/>
  <c r="E23" i="18"/>
  <c r="F23" i="18"/>
  <c r="E8" i="18" s="1"/>
  <c r="D10" i="32"/>
  <c r="W35" i="14"/>
  <c r="W36" i="14"/>
  <c r="AA36" i="14"/>
  <c r="C39" i="14"/>
  <c r="AF39" i="14"/>
  <c r="C28" i="39"/>
  <c r="C31" i="39" s="1"/>
  <c r="F34" i="39"/>
  <c r="F27" i="38"/>
  <c r="G34" i="38"/>
  <c r="F32" i="39"/>
  <c r="F28" i="39"/>
  <c r="H28" i="39" s="1"/>
  <c r="J28" i="39" s="1"/>
  <c r="K28" i="39" s="1"/>
  <c r="L28" i="39" s="1"/>
  <c r="I7" i="19"/>
  <c r="G23" i="27"/>
  <c r="H23" i="27"/>
  <c r="G26" i="34"/>
  <c r="C30" i="38"/>
  <c r="C20" i="32"/>
  <c r="E20" i="32" s="1"/>
  <c r="E9" i="6"/>
  <c r="D11" i="1"/>
  <c r="E12" i="6"/>
  <c r="C11" i="34"/>
  <c r="D11" i="19"/>
  <c r="C18" i="58"/>
  <c r="D18" i="58"/>
  <c r="C7" i="8"/>
  <c r="G12" i="3"/>
  <c r="C11" i="11"/>
  <c r="C31" i="11"/>
  <c r="G8" i="3"/>
  <c r="G9" i="3"/>
  <c r="D10" i="19"/>
  <c r="C10" i="8"/>
  <c r="C9" i="11"/>
  <c r="C29" i="11"/>
  <c r="C9" i="19"/>
  <c r="G7" i="63"/>
  <c r="C8" i="8"/>
  <c r="C22" i="8"/>
  <c r="D9" i="19"/>
  <c r="C9" i="8"/>
  <c r="C26" i="8" s="1"/>
  <c r="C27" i="8" s="1"/>
  <c r="D25" i="19"/>
  <c r="C8" i="19"/>
  <c r="E8" i="6"/>
  <c r="C10" i="11"/>
  <c r="C30" i="11"/>
  <c r="C6" i="19"/>
  <c r="C9" i="6"/>
  <c r="C29" i="6"/>
  <c r="G10" i="63"/>
  <c r="E9" i="3"/>
  <c r="I11" i="6"/>
  <c r="F10" i="34"/>
  <c r="I8" i="3"/>
  <c r="C8" i="7"/>
  <c r="C10" i="34"/>
  <c r="C33" i="34"/>
  <c r="D9" i="8"/>
  <c r="C10" i="6"/>
  <c r="C30" i="6"/>
  <c r="G11" i="63"/>
  <c r="G9" i="63"/>
  <c r="E11" i="3"/>
  <c r="F8" i="34"/>
  <c r="D11" i="8"/>
  <c r="I11" i="3"/>
  <c r="G8" i="63"/>
  <c r="D8" i="8"/>
  <c r="C12" i="34"/>
  <c r="D7" i="8"/>
  <c r="C11" i="7"/>
  <c r="F11" i="34"/>
  <c r="AI51" i="77"/>
  <c r="AG52" i="77"/>
  <c r="F19" i="63"/>
  <c r="F22" i="63" s="1"/>
  <c r="D23" i="32"/>
  <c r="E23" i="32" s="1"/>
  <c r="C10" i="1"/>
  <c r="C8" i="1"/>
  <c r="C7" i="1"/>
  <c r="C9" i="1"/>
  <c r="C11" i="1"/>
  <c r="D7" i="7"/>
  <c r="D8" i="7"/>
  <c r="D22" i="7" s="1"/>
  <c r="D10" i="7"/>
  <c r="D24" i="7"/>
  <c r="D11" i="7"/>
  <c r="D25" i="7" s="1"/>
  <c r="D9" i="7"/>
  <c r="F13" i="11"/>
  <c r="C17" i="58"/>
  <c r="F12" i="11"/>
  <c r="F8" i="11"/>
  <c r="F10" i="11"/>
  <c r="F9" i="11"/>
  <c r="F11" i="11"/>
  <c r="F11" i="39"/>
  <c r="F12" i="39"/>
  <c r="F10" i="39"/>
  <c r="F9" i="39"/>
  <c r="F8" i="39"/>
  <c r="E10" i="38"/>
  <c r="E9" i="38"/>
  <c r="E29" i="38" s="1"/>
  <c r="E12" i="38"/>
  <c r="E32" i="38"/>
  <c r="E11" i="38"/>
  <c r="E31" i="38" s="1"/>
  <c r="E8" i="38"/>
  <c r="J12" i="3"/>
  <c r="J10" i="3"/>
  <c r="C12" i="11"/>
  <c r="C32" i="11" s="1"/>
  <c r="C8" i="11"/>
  <c r="C27" i="11"/>
  <c r="I10" i="6"/>
  <c r="I8" i="6"/>
  <c r="S19" i="11" s="1"/>
  <c r="E10" i="12"/>
  <c r="E33" i="12" s="1"/>
  <c r="G33" i="12" s="1"/>
  <c r="E12" i="12"/>
  <c r="E9" i="12"/>
  <c r="E11" i="12"/>
  <c r="E8" i="12"/>
  <c r="G12" i="6"/>
  <c r="G11" i="6"/>
  <c r="G10" i="6"/>
  <c r="G9" i="6"/>
  <c r="F11" i="13"/>
  <c r="F12" i="13"/>
  <c r="F10" i="13"/>
  <c r="F8" i="13"/>
  <c r="I11" i="39"/>
  <c r="I8" i="39"/>
  <c r="G9" i="38"/>
  <c r="G11" i="38"/>
  <c r="G10" i="38"/>
  <c r="C8" i="63"/>
  <c r="C19" i="63" s="1"/>
  <c r="C9" i="63"/>
  <c r="C7" i="63"/>
  <c r="C10" i="63"/>
  <c r="C6" i="63"/>
  <c r="C17" i="63" s="1"/>
  <c r="D23" i="63" s="1"/>
  <c r="H19" i="63"/>
  <c r="K28" i="38"/>
  <c r="L28" i="38" s="1"/>
  <c r="C32" i="38"/>
  <c r="C32" i="39"/>
  <c r="C30" i="39"/>
  <c r="K30" i="39" s="1"/>
  <c r="L30" i="39" s="1"/>
  <c r="I9" i="38"/>
  <c r="F9" i="34"/>
  <c r="F9" i="13"/>
  <c r="J9" i="3"/>
  <c r="I9" i="6"/>
  <c r="I9" i="39"/>
  <c r="I9" i="3"/>
  <c r="I18" i="19"/>
  <c r="I20" i="19" s="1"/>
  <c r="G21" i="19"/>
  <c r="I19" i="19" s="1"/>
  <c r="I21" i="19" s="1"/>
  <c r="D27" i="19" s="1"/>
  <c r="O11" i="39"/>
  <c r="M9" i="38"/>
  <c r="M12" i="38"/>
  <c r="O10" i="38" s="1"/>
  <c r="O9" i="38"/>
  <c r="I25" i="27"/>
  <c r="J25" i="27" s="1"/>
  <c r="I23" i="27"/>
  <c r="J23" i="27"/>
  <c r="H4" i="19"/>
  <c r="I8" i="19" s="1"/>
  <c r="G7" i="19"/>
  <c r="F32" i="3"/>
  <c r="T41" i="14"/>
  <c r="C41" i="14"/>
  <c r="M12" i="6"/>
  <c r="E16" i="63"/>
  <c r="E17" i="63" s="1"/>
  <c r="E18" i="63"/>
  <c r="E19" i="63" s="1"/>
  <c r="J9" i="12"/>
  <c r="J12" i="12" s="1"/>
  <c r="L10" i="12" s="1"/>
  <c r="L12" i="12" s="1"/>
  <c r="L9" i="12"/>
  <c r="L11" i="12" s="1"/>
  <c r="C43" i="14"/>
  <c r="T43" i="14"/>
  <c r="AC28" i="14"/>
  <c r="AG56" i="21"/>
  <c r="AI55" i="21"/>
  <c r="L10" i="13"/>
  <c r="L12" i="13" s="1"/>
  <c r="P10" i="3"/>
  <c r="P12" i="3" s="1"/>
  <c r="E22" i="27"/>
  <c r="C23" i="27"/>
  <c r="D23" i="27"/>
  <c r="C8" i="27" s="1"/>
  <c r="J27" i="3"/>
  <c r="J30" i="3"/>
  <c r="C27" i="14"/>
  <c r="N12" i="3"/>
  <c r="P11" i="3"/>
  <c r="J19" i="63"/>
  <c r="E31" i="39"/>
  <c r="H31" i="39" s="1"/>
  <c r="J31" i="39" s="1"/>
  <c r="G34" i="39"/>
  <c r="G32" i="38"/>
  <c r="E24" i="27"/>
  <c r="F24" i="27" s="1"/>
  <c r="E25" i="27"/>
  <c r="F25" i="27" s="1"/>
  <c r="E23" i="27"/>
  <c r="F23" i="27" s="1"/>
  <c r="O11" i="6"/>
  <c r="D19" i="7"/>
  <c r="D20" i="7" s="1"/>
  <c r="A25" i="14"/>
  <c r="C17" i="7"/>
  <c r="G26" i="13"/>
  <c r="A32" i="14"/>
  <c r="E33" i="13"/>
  <c r="G33" i="13" s="1"/>
  <c r="C18" i="1"/>
  <c r="C30" i="34"/>
  <c r="C30" i="12"/>
  <c r="J27" i="39"/>
  <c r="K27" i="39"/>
  <c r="L27" i="39" s="1"/>
  <c r="E33" i="39"/>
  <c r="H33" i="39"/>
  <c r="J33" i="39" s="1"/>
  <c r="C33" i="6"/>
  <c r="C34" i="6" s="1"/>
  <c r="H29" i="38"/>
  <c r="J29" i="38" s="1"/>
  <c r="K29" i="38" s="1"/>
  <c r="L29" i="38" s="1"/>
  <c r="D33" i="19"/>
  <c r="C23" i="8"/>
  <c r="C33" i="11"/>
  <c r="C34" i="11" s="1"/>
  <c r="H29" i="39"/>
  <c r="J29" i="39" s="1"/>
  <c r="K29" i="39" s="1"/>
  <c r="L29" i="39" s="1"/>
  <c r="C35" i="6"/>
  <c r="F30" i="3"/>
  <c r="C33" i="3"/>
  <c r="C35" i="3" s="1"/>
  <c r="H31" i="38"/>
  <c r="J31" i="38"/>
  <c r="K31" i="38" s="1"/>
  <c r="L31" i="38" s="1"/>
  <c r="C35" i="34"/>
  <c r="C34" i="34"/>
  <c r="E30" i="34"/>
  <c r="G30" i="34" s="1"/>
  <c r="H30" i="34" s="1"/>
  <c r="I30" i="34" s="1"/>
  <c r="C35" i="38"/>
  <c r="C34" i="38"/>
  <c r="E35" i="39"/>
  <c r="H35" i="39"/>
  <c r="J35" i="39" s="1"/>
  <c r="D26" i="7"/>
  <c r="D28" i="7" s="1"/>
  <c r="D23" i="7"/>
  <c r="E36" i="39"/>
  <c r="H32" i="39"/>
  <c r="J32" i="39" s="1"/>
  <c r="K32" i="39" s="1"/>
  <c r="L32" i="39" s="1"/>
  <c r="E30" i="38"/>
  <c r="C20" i="58"/>
  <c r="D20" i="58" s="1"/>
  <c r="C19" i="58"/>
  <c r="D19" i="58" s="1"/>
  <c r="F10" i="12"/>
  <c r="F8" i="12"/>
  <c r="F11" i="12"/>
  <c r="F9" i="12"/>
  <c r="AD28" i="14"/>
  <c r="AE28" i="14"/>
  <c r="C28" i="14"/>
  <c r="AF28" i="14"/>
  <c r="C40" i="14"/>
  <c r="C26" i="32" l="1"/>
  <c r="C27" i="32"/>
  <c r="E27" i="32" s="1"/>
  <c r="C35" i="39"/>
  <c r="E34" i="39"/>
  <c r="C34" i="39"/>
  <c r="H34" i="39"/>
  <c r="J34" i="39" s="1"/>
  <c r="K34" i="39" s="1"/>
  <c r="L34" i="39" s="1"/>
  <c r="K33" i="39"/>
  <c r="L33" i="39" s="1"/>
  <c r="H33" i="12"/>
  <c r="Z27" i="14" s="1"/>
  <c r="K35" i="39"/>
  <c r="L35" i="39" s="1"/>
  <c r="E8" i="27"/>
  <c r="P47" i="21"/>
  <c r="C36" i="3"/>
  <c r="P46" i="52"/>
  <c r="C34" i="3"/>
  <c r="J25" i="63"/>
  <c r="G18" i="63"/>
  <c r="G19" i="63" s="1"/>
  <c r="G16" i="63"/>
  <c r="G17" i="63" s="1"/>
  <c r="P20" i="3"/>
  <c r="F23" i="63"/>
  <c r="F25" i="63" s="1"/>
  <c r="G17" i="39"/>
  <c r="A47" i="14" s="1"/>
  <c r="H30" i="38"/>
  <c r="J30" i="38" s="1"/>
  <c r="K30" i="38" s="1"/>
  <c r="L30" i="38" s="1"/>
  <c r="C28" i="8"/>
  <c r="H32" i="38"/>
  <c r="J32" i="38" s="1"/>
  <c r="K32" i="38" s="1"/>
  <c r="L32" i="38" s="1"/>
  <c r="K31" i="39"/>
  <c r="L31" i="39" s="1"/>
  <c r="O11" i="38"/>
  <c r="O12" i="38" s="1"/>
  <c r="H22" i="63"/>
  <c r="H25" i="63" s="1"/>
  <c r="E27" i="38"/>
  <c r="C24" i="8"/>
  <c r="G8" i="19"/>
  <c r="G11" i="19" s="1"/>
  <c r="I9" i="19" s="1"/>
  <c r="O12" i="39"/>
  <c r="C32" i="3"/>
  <c r="C29" i="3"/>
  <c r="C31" i="3"/>
  <c r="L10" i="34"/>
  <c r="L12" i="34" s="1"/>
  <c r="W28" i="14"/>
  <c r="E33" i="38"/>
  <c r="C35" i="11"/>
  <c r="E35" i="13"/>
  <c r="G35" i="13" s="1"/>
  <c r="E27" i="12"/>
  <c r="G27" i="12" s="1"/>
  <c r="H27" i="12" s="1"/>
  <c r="T27" i="14" s="1"/>
  <c r="G25" i="27"/>
  <c r="H25" i="27" s="1"/>
  <c r="G24" i="27"/>
  <c r="H24" i="27" s="1"/>
  <c r="C33" i="12"/>
  <c r="H23" i="63"/>
  <c r="D19" i="63"/>
  <c r="D22" i="63" s="1"/>
  <c r="D25" i="63" s="1"/>
  <c r="C29" i="34"/>
  <c r="C31" i="34"/>
  <c r="C32" i="34"/>
  <c r="H32" i="34" s="1"/>
  <c r="S8" i="11"/>
  <c r="Q8" i="11"/>
  <c r="Q16" i="11" s="1"/>
  <c r="O10" i="6"/>
  <c r="O12" i="6" s="1"/>
  <c r="I29" i="3"/>
  <c r="I35" i="3"/>
  <c r="G31" i="3"/>
  <c r="N22" i="3"/>
  <c r="P21" i="3" s="1"/>
  <c r="C21" i="76"/>
  <c r="I33" i="3"/>
  <c r="D24" i="1"/>
  <c r="E28" i="13"/>
  <c r="E32" i="6"/>
  <c r="D24" i="32"/>
  <c r="E24" i="32" s="1"/>
  <c r="I27" i="3"/>
  <c r="I30" i="3"/>
  <c r="D24" i="8"/>
  <c r="E24" i="8" s="1"/>
  <c r="C26" i="13"/>
  <c r="C28" i="13"/>
  <c r="C32" i="14"/>
  <c r="G29" i="3"/>
  <c r="G32" i="3"/>
  <c r="G27" i="3"/>
  <c r="G33" i="3"/>
  <c r="G30" i="3"/>
  <c r="F27" i="3"/>
  <c r="E27" i="3"/>
  <c r="H27" i="3" s="1"/>
  <c r="H26" i="3"/>
  <c r="K26" i="3" s="1"/>
  <c r="E33" i="3"/>
  <c r="E35" i="3" s="1"/>
  <c r="E34" i="3"/>
  <c r="H28" i="3"/>
  <c r="K28" i="3" s="1"/>
  <c r="L28" i="3" s="1"/>
  <c r="M28" i="3" s="1"/>
  <c r="E30" i="3"/>
  <c r="E31" i="3"/>
  <c r="E29" i="3"/>
  <c r="H33" i="3"/>
  <c r="K33" i="3" s="1"/>
  <c r="E32" i="3"/>
  <c r="F28" i="6"/>
  <c r="F30" i="6" s="1"/>
  <c r="G30" i="6"/>
  <c r="G31" i="6"/>
  <c r="G29" i="6"/>
  <c r="G25" i="6"/>
  <c r="G26" i="6" s="1"/>
  <c r="F27" i="6"/>
  <c r="F33" i="6"/>
  <c r="E26" i="6"/>
  <c r="E27" i="6" s="1"/>
  <c r="E31" i="6"/>
  <c r="E29" i="6"/>
  <c r="E30" i="6"/>
  <c r="C29" i="14"/>
  <c r="T29" i="14"/>
  <c r="AC29" i="14"/>
  <c r="AF29" i="14"/>
  <c r="E33" i="11"/>
  <c r="G33" i="11" s="1"/>
  <c r="H33" i="11" s="1"/>
  <c r="G26" i="11"/>
  <c r="E27" i="11"/>
  <c r="G27" i="11" s="1"/>
  <c r="H27" i="11" s="1"/>
  <c r="E28" i="11"/>
  <c r="Z29" i="14"/>
  <c r="G34" i="11"/>
  <c r="H34" i="11" s="1"/>
  <c r="AA29" i="14" s="1"/>
  <c r="E33" i="34"/>
  <c r="G33" i="34" s="1"/>
  <c r="H33" i="34" s="1"/>
  <c r="Z28" i="14" s="1"/>
  <c r="E34" i="34"/>
  <c r="G27" i="34"/>
  <c r="G34" i="34" s="1"/>
  <c r="H34" i="34" s="1"/>
  <c r="AA28" i="14" s="1"/>
  <c r="E29" i="34"/>
  <c r="G29" i="34" s="1"/>
  <c r="G28" i="34"/>
  <c r="H28" i="34" s="1"/>
  <c r="E31" i="34"/>
  <c r="G31" i="34" s="1"/>
  <c r="H31" i="34" s="1"/>
  <c r="AE27" i="14"/>
  <c r="G34" i="12"/>
  <c r="AD27" i="14"/>
  <c r="I28" i="12"/>
  <c r="U27" i="14"/>
  <c r="E30" i="12"/>
  <c r="G30" i="12" s="1"/>
  <c r="H30" i="12" s="1"/>
  <c r="E31" i="12"/>
  <c r="G31" i="12" s="1"/>
  <c r="H31" i="12" s="1"/>
  <c r="E32" i="12"/>
  <c r="G32" i="12" s="1"/>
  <c r="H32" i="12" s="1"/>
  <c r="E35" i="12"/>
  <c r="G35" i="12" s="1"/>
  <c r="E29" i="12"/>
  <c r="G29" i="12" s="1"/>
  <c r="H29" i="12" s="1"/>
  <c r="D19" i="8"/>
  <c r="D27" i="8" s="1"/>
  <c r="E27" i="8" s="1"/>
  <c r="AA26" i="14" s="1"/>
  <c r="D23" i="8"/>
  <c r="E23" i="8" s="1"/>
  <c r="D22" i="8"/>
  <c r="E22" i="8" s="1"/>
  <c r="V26" i="14" s="1"/>
  <c r="D25" i="8"/>
  <c r="E25" i="8" s="1"/>
  <c r="D20" i="8"/>
  <c r="E20" i="8" s="1"/>
  <c r="T26" i="14" s="1"/>
  <c r="X26" i="14"/>
  <c r="Y26" i="14"/>
  <c r="W26" i="14"/>
  <c r="E21" i="8"/>
  <c r="U26" i="14" s="1"/>
  <c r="C26" i="14"/>
  <c r="C21" i="7"/>
  <c r="C22" i="7" s="1"/>
  <c r="E22" i="7" s="1"/>
  <c r="V25" i="14" s="1"/>
  <c r="C19" i="7"/>
  <c r="C20" i="7" s="1"/>
  <c r="E20" i="7" s="1"/>
  <c r="T25" i="14" s="1"/>
  <c r="E21" i="7"/>
  <c r="U25" i="14" s="1"/>
  <c r="C25" i="14"/>
  <c r="D19" i="1"/>
  <c r="D26" i="1" s="1"/>
  <c r="C24" i="14"/>
  <c r="D23" i="1"/>
  <c r="C21" i="1"/>
  <c r="D25" i="1"/>
  <c r="D22" i="1"/>
  <c r="C17" i="1"/>
  <c r="C19" i="1" s="1"/>
  <c r="F35" i="6" l="1"/>
  <c r="E35" i="34"/>
  <c r="G35" i="34" s="1"/>
  <c r="H35" i="34" s="1"/>
  <c r="AB28" i="14" s="1"/>
  <c r="I32" i="34"/>
  <c r="Y28" i="14"/>
  <c r="S13" i="11"/>
  <c r="S14" i="11"/>
  <c r="S18" i="11" s="1"/>
  <c r="S15" i="11"/>
  <c r="H33" i="38"/>
  <c r="J33" i="38" s="1"/>
  <c r="E35" i="38"/>
  <c r="H35" i="38" s="1"/>
  <c r="J35" i="38" s="1"/>
  <c r="K33" i="38"/>
  <c r="L33" i="38" s="1"/>
  <c r="I10" i="19"/>
  <c r="I11" i="19" s="1"/>
  <c r="D26" i="19" s="1"/>
  <c r="D20" i="1"/>
  <c r="E20" i="1" s="1"/>
  <c r="T24" i="14" s="1"/>
  <c r="C25" i="7"/>
  <c r="E25" i="7" s="1"/>
  <c r="Y25" i="14" s="1"/>
  <c r="H29" i="34"/>
  <c r="V28" i="14" s="1"/>
  <c r="E36" i="3"/>
  <c r="C23" i="7"/>
  <c r="E23" i="7" s="1"/>
  <c r="W25" i="14" s="1"/>
  <c r="E35" i="11"/>
  <c r="G35" i="11" s="1"/>
  <c r="H35" i="11" s="1"/>
  <c r="AB29" i="14" s="1"/>
  <c r="T47" i="14"/>
  <c r="W47" i="14"/>
  <c r="U47" i="14"/>
  <c r="Z47" i="14"/>
  <c r="AA47" i="14"/>
  <c r="X47" i="14"/>
  <c r="Y47" i="14"/>
  <c r="AB47" i="14"/>
  <c r="C47" i="14"/>
  <c r="V47" i="14"/>
  <c r="P22" i="3"/>
  <c r="S12" i="11"/>
  <c r="D26" i="8"/>
  <c r="C26" i="7"/>
  <c r="C24" i="7"/>
  <c r="E24" i="7" s="1"/>
  <c r="X25" i="14" s="1"/>
  <c r="G35" i="3"/>
  <c r="E32" i="13"/>
  <c r="G32" i="13" s="1"/>
  <c r="E29" i="13"/>
  <c r="G29" i="13" s="1"/>
  <c r="E31" i="13"/>
  <c r="G31" i="13" s="1"/>
  <c r="G28" i="13"/>
  <c r="E30" i="13"/>
  <c r="G30" i="13" s="1"/>
  <c r="C35" i="12"/>
  <c r="H35" i="12" s="1"/>
  <c r="AB27" i="14" s="1"/>
  <c r="C34" i="12"/>
  <c r="H34" i="12" s="1"/>
  <c r="AA27" i="14" s="1"/>
  <c r="E34" i="12"/>
  <c r="E36" i="38"/>
  <c r="K35" i="38" s="1"/>
  <c r="L35" i="38" s="1"/>
  <c r="E34" i="38"/>
  <c r="H27" i="38"/>
  <c r="C29" i="13"/>
  <c r="C32" i="13"/>
  <c r="H32" i="13" s="1"/>
  <c r="C30" i="13"/>
  <c r="H30" i="13" s="1"/>
  <c r="C31" i="13"/>
  <c r="H28" i="13"/>
  <c r="C27" i="13"/>
  <c r="H27" i="13" s="1"/>
  <c r="T32" i="14" s="1"/>
  <c r="C33" i="13"/>
  <c r="G34" i="3"/>
  <c r="G36" i="3"/>
  <c r="F36" i="3"/>
  <c r="F34" i="3"/>
  <c r="F35" i="3"/>
  <c r="H30" i="3"/>
  <c r="K30" i="3" s="1"/>
  <c r="H29" i="3"/>
  <c r="K29" i="3" s="1"/>
  <c r="K27" i="3"/>
  <c r="L27" i="3" s="1"/>
  <c r="H34" i="3"/>
  <c r="L34" i="3" s="1"/>
  <c r="H32" i="3"/>
  <c r="K32" i="3" s="1"/>
  <c r="H31" i="3"/>
  <c r="K31" i="3" s="1"/>
  <c r="H35" i="3"/>
  <c r="K35" i="3" s="1"/>
  <c r="L33" i="3"/>
  <c r="F32" i="6"/>
  <c r="H32" i="6" s="1"/>
  <c r="J32" i="6" s="1"/>
  <c r="K32" i="6" s="1"/>
  <c r="L32" i="6" s="1"/>
  <c r="F29" i="6"/>
  <c r="H28" i="6"/>
  <c r="J28" i="6" s="1"/>
  <c r="K28" i="6" s="1"/>
  <c r="L28" i="6" s="1"/>
  <c r="F31" i="6"/>
  <c r="H31" i="6" s="1"/>
  <c r="J31" i="6" s="1"/>
  <c r="K31" i="6" s="1"/>
  <c r="L31" i="6" s="1"/>
  <c r="G27" i="6"/>
  <c r="H27" i="6" s="1"/>
  <c r="G33" i="6"/>
  <c r="H26" i="6"/>
  <c r="J26" i="6" s="1"/>
  <c r="E33" i="6"/>
  <c r="E35" i="6" s="1"/>
  <c r="F36" i="6"/>
  <c r="F34" i="6"/>
  <c r="H29" i="6"/>
  <c r="J29" i="6" s="1"/>
  <c r="K29" i="6" s="1"/>
  <c r="L29" i="6" s="1"/>
  <c r="H30" i="6"/>
  <c r="J30" i="6" s="1"/>
  <c r="K30" i="6" s="1"/>
  <c r="L30" i="6" s="1"/>
  <c r="E34" i="6"/>
  <c r="E36" i="6"/>
  <c r="E34" i="11"/>
  <c r="G28" i="11"/>
  <c r="H28" i="11" s="1"/>
  <c r="E29" i="11"/>
  <c r="G29" i="11" s="1"/>
  <c r="H29" i="11" s="1"/>
  <c r="E31" i="11"/>
  <c r="G31" i="11" s="1"/>
  <c r="H31" i="11" s="1"/>
  <c r="E32" i="11"/>
  <c r="G32" i="11" s="1"/>
  <c r="H32" i="11" s="1"/>
  <c r="E30" i="11"/>
  <c r="G30" i="11" s="1"/>
  <c r="H30" i="11" s="1"/>
  <c r="H27" i="34"/>
  <c r="T28" i="14" s="1"/>
  <c r="I31" i="34"/>
  <c r="X28" i="14"/>
  <c r="I28" i="34"/>
  <c r="U28" i="14"/>
  <c r="I29" i="34"/>
  <c r="I31" i="12"/>
  <c r="X27" i="14"/>
  <c r="V27" i="14"/>
  <c r="I29" i="12"/>
  <c r="I30" i="12"/>
  <c r="W27" i="14"/>
  <c r="I32" i="12"/>
  <c r="Y27" i="14"/>
  <c r="E26" i="8"/>
  <c r="Z26" i="14" s="1"/>
  <c r="D28" i="8"/>
  <c r="E28" i="8" s="1"/>
  <c r="AB26" i="14" s="1"/>
  <c r="C28" i="7"/>
  <c r="E28" i="7" s="1"/>
  <c r="AB25" i="14" s="1"/>
  <c r="C27" i="7"/>
  <c r="D27" i="7"/>
  <c r="E27" i="7" s="1"/>
  <c r="AA25" i="14" s="1"/>
  <c r="E26" i="7"/>
  <c r="Z25" i="14" s="1"/>
  <c r="C22" i="1"/>
  <c r="C23" i="1"/>
  <c r="C24" i="1"/>
  <c r="E24" i="1" s="1"/>
  <c r="X24" i="14" s="1"/>
  <c r="C25" i="1"/>
  <c r="C20" i="1"/>
  <c r="C26" i="1"/>
  <c r="E21" i="1"/>
  <c r="U24" i="14" s="1"/>
  <c r="E26" i="1"/>
  <c r="Z24" i="14" s="1"/>
  <c r="D28" i="1"/>
  <c r="E22" i="1"/>
  <c r="V24" i="14" s="1"/>
  <c r="E23" i="1"/>
  <c r="W24" i="14" s="1"/>
  <c r="E25" i="1"/>
  <c r="Y24" i="14" s="1"/>
  <c r="H29" i="13" l="1"/>
  <c r="H31" i="13"/>
  <c r="H34" i="38"/>
  <c r="J34" i="38" s="1"/>
  <c r="K34" i="38" s="1"/>
  <c r="L34" i="38" s="1"/>
  <c r="J27" i="38"/>
  <c r="K27" i="38" s="1"/>
  <c r="L32" i="3"/>
  <c r="M32" i="3" s="1"/>
  <c r="L29" i="3"/>
  <c r="M29" i="3" s="1"/>
  <c r="S17" i="11"/>
  <c r="I30" i="13"/>
  <c r="W32" i="14"/>
  <c r="I32" i="13"/>
  <c r="Y32" i="14"/>
  <c r="I31" i="13"/>
  <c r="X32" i="14"/>
  <c r="I28" i="13"/>
  <c r="U32" i="14"/>
  <c r="I29" i="13"/>
  <c r="V32" i="14"/>
  <c r="C34" i="13"/>
  <c r="C35" i="13"/>
  <c r="H35" i="13" s="1"/>
  <c r="AB32" i="14" s="1"/>
  <c r="H33" i="13"/>
  <c r="Z32" i="14" s="1"/>
  <c r="G34" i="13"/>
  <c r="E34" i="13"/>
  <c r="L31" i="3"/>
  <c r="M31" i="3" s="1"/>
  <c r="L30" i="3"/>
  <c r="M30" i="3" s="1"/>
  <c r="L35" i="3"/>
  <c r="M27" i="3"/>
  <c r="G17" i="3"/>
  <c r="A31" i="14" s="1"/>
  <c r="H33" i="6"/>
  <c r="J33" i="6" s="1"/>
  <c r="K33" i="6" s="1"/>
  <c r="L33" i="6" s="1"/>
  <c r="G35" i="6"/>
  <c r="H35" i="6" s="1"/>
  <c r="J35" i="6" s="1"/>
  <c r="G36" i="6"/>
  <c r="G34" i="6"/>
  <c r="H34" i="6"/>
  <c r="J34" i="6" s="1"/>
  <c r="K34" i="6" s="1"/>
  <c r="L34" i="6" s="1"/>
  <c r="J27" i="6"/>
  <c r="K27" i="6" s="1"/>
  <c r="I31" i="11"/>
  <c r="X29" i="14"/>
  <c r="I29" i="11"/>
  <c r="V29" i="14"/>
  <c r="I28" i="11"/>
  <c r="U29" i="14"/>
  <c r="I30" i="11"/>
  <c r="W29" i="14"/>
  <c r="I32" i="11"/>
  <c r="Y29" i="14"/>
  <c r="C27" i="1"/>
  <c r="D27" i="1"/>
  <c r="C28" i="1"/>
  <c r="E28" i="1" s="1"/>
  <c r="AB24" i="14" s="1"/>
  <c r="L27" i="38" l="1"/>
  <c r="G17" i="38"/>
  <c r="A48" i="14" s="1"/>
  <c r="E27" i="1"/>
  <c r="AA24" i="14" s="1"/>
  <c r="H34" i="13"/>
  <c r="AA32" i="14" s="1"/>
  <c r="AB31" i="14"/>
  <c r="Z31" i="14"/>
  <c r="T31" i="14"/>
  <c r="V31" i="14"/>
  <c r="Y31" i="14"/>
  <c r="W31" i="14"/>
  <c r="U31" i="14"/>
  <c r="X31" i="14"/>
  <c r="AA31" i="14"/>
  <c r="C31" i="14"/>
  <c r="K35" i="6"/>
  <c r="L35" i="6" s="1"/>
  <c r="G17" i="6"/>
  <c r="A30" i="14" s="1"/>
  <c r="L27" i="6"/>
  <c r="AA48" i="14" l="1"/>
  <c r="X48" i="14"/>
  <c r="T48" i="14"/>
  <c r="V48" i="14"/>
  <c r="Z48" i="14"/>
  <c r="U48" i="14"/>
  <c r="C48" i="14"/>
  <c r="W48" i="14"/>
  <c r="Y48" i="14"/>
  <c r="AB48" i="14"/>
  <c r="T30" i="14"/>
  <c r="U30" i="14"/>
  <c r="C30" i="14"/>
  <c r="AA30" i="14"/>
  <c r="AB30" i="14"/>
  <c r="X30" i="14"/>
  <c r="Z30" i="14"/>
  <c r="V30" i="14"/>
  <c r="Y30" i="14"/>
  <c r="W30" i="14"/>
  <c r="A19"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Steinfurth</author>
  </authors>
  <commentList>
    <comment ref="O21" authorId="0" shapeId="0" xr:uid="{00000000-0006-0000-0300-000001000000}">
      <text>
        <r>
          <rPr>
            <b/>
            <sz val="9"/>
            <color indexed="81"/>
            <rFont val="Segoe UI"/>
            <family val="2"/>
          </rPr>
          <t>The used material should more specified for steel with the international Material Number (e.g.25CrMo4 -&gt; 1.7218) or with the name of the used material (e.g. AISI 1045).
For CFRP structures number and orientation of the layers, types and thicknesses of the cores for each different laminate type is required!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10" authorId="0" shapeId="0" xr:uid="{00000000-0006-0000-0500-000001000000}">
      <text>
        <r>
          <rPr>
            <b/>
            <sz val="9"/>
            <color indexed="81"/>
            <rFont val="Tahoma"/>
            <family val="2"/>
          </rPr>
          <t>Used for Impact Attenuator Attachment &amp; AI Plate Calcs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900-000001000000}">
      <text>
        <r>
          <rPr>
            <b/>
            <sz val="9"/>
            <color indexed="81"/>
            <rFont val="Tahoma"/>
            <family val="2"/>
          </rPr>
          <t>This is the side closest to the driver</t>
        </r>
      </text>
    </comment>
    <comment ref="B21" authorId="0" shapeId="0" xr:uid="{00000000-0006-0000-0900-000002000000}">
      <text>
        <r>
          <rPr>
            <b/>
            <sz val="9"/>
            <color indexed="81"/>
            <rFont val="Tahoma"/>
            <family val="2"/>
          </rPr>
          <t>This is the side outboard of the driver</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A00-000001000000}">
      <text>
        <r>
          <rPr>
            <b/>
            <sz val="9"/>
            <color indexed="81"/>
            <rFont val="Tahoma"/>
            <family val="2"/>
          </rPr>
          <t>This is the side closest to the driver</t>
        </r>
      </text>
    </comment>
    <comment ref="B21" authorId="0" shapeId="0" xr:uid="{00000000-0006-0000-0A00-000002000000}">
      <text>
        <r>
          <rPr>
            <b/>
            <sz val="9"/>
            <color indexed="81"/>
            <rFont val="Tahoma"/>
            <family val="2"/>
          </rPr>
          <t>This is the side outboard of the driver</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R7" authorId="0" shapeId="0" xr:uid="{00000000-0006-0000-0B00-000001000000}">
      <text>
        <r>
          <rPr>
            <sz val="9"/>
            <color indexed="81"/>
            <rFont val="Tahoma"/>
            <family val="2"/>
          </rPr>
          <t>Max allowable depth from rules</t>
        </r>
      </text>
    </comment>
    <comment ref="B20" authorId="0" shapeId="0" xr:uid="{00000000-0006-0000-0B00-000002000000}">
      <text>
        <r>
          <rPr>
            <b/>
            <sz val="9"/>
            <color indexed="81"/>
            <rFont val="Tahoma"/>
            <family val="2"/>
          </rPr>
          <t>This is the side closest to the driver</t>
        </r>
      </text>
    </comment>
    <comment ref="B21" authorId="0" shapeId="0" xr:uid="{00000000-0006-0000-0B00-000003000000}">
      <text>
        <r>
          <rPr>
            <b/>
            <sz val="9"/>
            <color indexed="81"/>
            <rFont val="Tahoma"/>
            <family val="2"/>
          </rPr>
          <t>This is the side outboard of the driver</t>
        </r>
        <r>
          <rPr>
            <sz val="9"/>
            <color indexed="81"/>
            <rFont val="Tahoma"/>
            <family val="2"/>
          </rPr>
          <t xml:space="preserve">
</t>
        </r>
      </text>
    </comment>
    <comment ref="F22" authorId="0" shapeId="0" xr:uid="{00000000-0006-0000-0B00-000004000000}">
      <text>
        <r>
          <rPr>
            <b/>
            <sz val="9"/>
            <color indexed="81"/>
            <rFont val="Tahoma"/>
            <family val="2"/>
          </rPr>
          <t>Calculated from bulkhead and cutout sizes entered in cells L15 to L19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C00-000001000000}">
      <text>
        <r>
          <rPr>
            <b/>
            <sz val="9"/>
            <color indexed="81"/>
            <rFont val="Tahoma"/>
            <family val="2"/>
          </rPr>
          <t>This is the side closest to the driver</t>
        </r>
      </text>
    </comment>
    <comment ref="B21" authorId="0" shapeId="0" xr:uid="{00000000-0006-0000-0C00-000002000000}">
      <text>
        <r>
          <rPr>
            <b/>
            <sz val="9"/>
            <color indexed="81"/>
            <rFont val="Tahoma"/>
            <family val="2"/>
          </rPr>
          <t>This is the side outboard of the driver</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D00-000001000000}">
      <text>
        <r>
          <rPr>
            <b/>
            <sz val="9"/>
            <color indexed="81"/>
            <rFont val="Tahoma"/>
            <family val="2"/>
          </rPr>
          <t>This is the side closest to the driver</t>
        </r>
      </text>
    </comment>
    <comment ref="B21" authorId="0" shapeId="0" xr:uid="{00000000-0006-0000-0D00-000002000000}">
      <text>
        <r>
          <rPr>
            <b/>
            <sz val="9"/>
            <color indexed="81"/>
            <rFont val="Tahoma"/>
            <family val="2"/>
          </rPr>
          <t>This is the side outboard of the driver</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E00-000001000000}">
      <text>
        <r>
          <rPr>
            <b/>
            <sz val="9"/>
            <color indexed="81"/>
            <rFont val="Tahoma"/>
            <family val="2"/>
          </rPr>
          <t>This is the side closest to the driver</t>
        </r>
      </text>
    </comment>
    <comment ref="B21" authorId="0" shapeId="0" xr:uid="{00000000-0006-0000-0E00-000002000000}">
      <text>
        <r>
          <rPr>
            <b/>
            <sz val="9"/>
            <color indexed="81"/>
            <rFont val="Tahoma"/>
            <family val="2"/>
          </rPr>
          <t>This is the side outboard of the driver</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Daniel Jones</author>
    <author>Dan</author>
  </authors>
  <commentList>
    <comment ref="B15" authorId="0" shapeId="0" xr:uid="{00000000-0006-0000-0F00-000001000000}">
      <text>
        <r>
          <rPr>
            <b/>
            <sz val="9"/>
            <color indexed="81"/>
            <rFont val="Tahoma"/>
            <family val="2"/>
          </rPr>
          <t>This is the side closest to the driver.</t>
        </r>
      </text>
    </comment>
    <comment ref="D22" authorId="1" shapeId="0" xr:uid="{00000000-0006-0000-0F00-000002000000}">
      <text>
        <r>
          <rPr>
            <b/>
            <sz val="9"/>
            <color indexed="81"/>
            <rFont val="Tahoma"/>
            <family val="2"/>
          </rPr>
          <t>Minimum 100mm</t>
        </r>
      </text>
    </comment>
    <comment ref="D23" authorId="1" shapeId="0" xr:uid="{00000000-0006-0000-0F00-000003000000}">
      <text>
        <r>
          <rPr>
            <b/>
            <sz val="9"/>
            <color indexed="81"/>
            <rFont val="Tahoma"/>
            <family val="2"/>
          </rPr>
          <t>Minimum 200mm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V51" authorId="0" shapeId="0" xr:uid="{00000000-0006-0000-1200-000001000000}">
      <text>
        <r>
          <rPr>
            <b/>
            <sz val="9"/>
            <color indexed="81"/>
            <rFont val="Tahoma"/>
            <family val="2"/>
          </rPr>
          <t>Area under curve upto  12.7mm deflection</t>
        </r>
      </text>
    </comment>
    <comment ref="C54" authorId="0" shapeId="0" xr:uid="{00000000-0006-0000-1200-000002000000}">
      <text>
        <r>
          <rPr>
            <b/>
            <sz val="9"/>
            <color indexed="81"/>
            <rFont val="Tahoma"/>
            <family val="2"/>
          </rPr>
          <t>Area under curve up to panel failure/end of test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C3" authorId="0" shapeId="0" xr:uid="{00000000-0006-0000-1700-000001000000}">
      <text>
        <r>
          <rPr>
            <b/>
            <sz val="9"/>
            <color indexed="81"/>
            <rFont val="Tahoma"/>
            <family val="2"/>
          </rPr>
          <t>A minimum of two attachment points per side are required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C3" authorId="0" shapeId="0" xr:uid="{00000000-0006-0000-1800-000001000000}">
      <text>
        <r>
          <rPr>
            <b/>
            <sz val="9"/>
            <color indexed="81"/>
            <rFont val="Tahoma"/>
            <family val="2"/>
          </rPr>
          <t>A minimum of two attachment points per side are required for hoops that aren’t fully laminated into the chassis</t>
        </r>
      </text>
    </comment>
    <comment ref="C4" authorId="0" shapeId="0" xr:uid="{00000000-0006-0000-1800-000002000000}">
      <text>
        <r>
          <rPr>
            <b/>
            <sz val="9"/>
            <color indexed="81"/>
            <rFont val="Tahoma"/>
            <family val="2"/>
          </rPr>
          <t>This affects the minimum bracket to hoop weld length to prove equivalence to a welded side impact tube to hoop joint</t>
        </r>
      </text>
    </comment>
    <comment ref="C5" authorId="0" shapeId="0" xr:uid="{00000000-0006-0000-1800-000003000000}">
      <text>
        <r>
          <rPr>
            <b/>
            <sz val="9"/>
            <color indexed="81"/>
            <rFont val="Tahoma"/>
            <family val="2"/>
          </rPr>
          <t>Is the hoop attached to the side impact structure or the front bulkhead support structure, this affects the skin shear strength used from test results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C3" authorId="0" shapeId="0" xr:uid="{00000000-0006-0000-1900-000001000000}">
      <text>
        <r>
          <rPr>
            <b/>
            <sz val="9"/>
            <color indexed="81"/>
            <rFont val="Tahoma"/>
            <family val="2"/>
          </rPr>
          <t>Set to "NO" if the front hoop bracing is attached to tubes or is integral to the monocoque</t>
        </r>
      </text>
    </comment>
    <comment ref="C4" authorId="0" shapeId="0" xr:uid="{00000000-0006-0000-1900-000002000000}">
      <text>
        <r>
          <rPr>
            <b/>
            <sz val="9"/>
            <color indexed="81"/>
            <rFont val="Tahoma"/>
            <family val="2"/>
          </rPr>
          <t>This affects the minimum bracket to hoop weld length to prove equivalence to a welded side impact tube to hoop joint</t>
        </r>
      </text>
    </comment>
    <comment ref="C5" authorId="0" shapeId="0" xr:uid="{00000000-0006-0000-1900-000003000000}">
      <text>
        <r>
          <rPr>
            <b/>
            <sz val="9"/>
            <color indexed="81"/>
            <rFont val="Tahoma"/>
            <family val="2"/>
          </rPr>
          <t>Is the front hoop bracing attached to a laminate the same as the side impact structure or front bulkhead support?</t>
        </r>
      </text>
    </comment>
    <comment ref="C6" authorId="0" shapeId="0" xr:uid="{00000000-0006-0000-1900-000004000000}">
      <text>
        <r>
          <rPr>
            <b/>
            <sz val="9"/>
            <color indexed="81"/>
            <rFont val="Tahoma"/>
            <family val="2"/>
          </rPr>
          <t>Set to "NO" if the main hoop bracing is attached to tubes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B18" authorId="0" shapeId="0" xr:uid="{00000000-0006-0000-1A00-000001000000}">
      <text>
        <r>
          <rPr>
            <b/>
            <sz val="9"/>
            <color indexed="81"/>
            <rFont val="Tahoma"/>
            <family val="2"/>
          </rPr>
          <t>Failure of AIP</t>
        </r>
      </text>
    </comment>
    <comment ref="B19" authorId="0" shapeId="0" xr:uid="{00000000-0006-0000-1A00-000002000000}">
      <text>
        <r>
          <rPr>
            <b/>
            <sz val="9"/>
            <color indexed="81"/>
            <rFont val="Tahoma"/>
            <family val="2"/>
          </rPr>
          <t>Failure of Front Bulkhead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2100-000001000000}">
      <text>
        <r>
          <rPr>
            <b/>
            <sz val="9"/>
            <color indexed="81"/>
            <rFont val="Tahoma"/>
            <family val="2"/>
          </rPr>
          <t>This is the side closest to the driver</t>
        </r>
      </text>
    </comment>
    <comment ref="B21" authorId="0" shapeId="0" xr:uid="{00000000-0006-0000-2100-000002000000}">
      <text>
        <r>
          <rPr>
            <b/>
            <sz val="9"/>
            <color indexed="81"/>
            <rFont val="Tahoma"/>
            <family val="2"/>
          </rPr>
          <t>This is the side outboard of the driver</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2200-000001000000}">
      <text>
        <r>
          <rPr>
            <b/>
            <sz val="9"/>
            <color indexed="81"/>
            <rFont val="Tahoma"/>
            <family val="2"/>
          </rPr>
          <t>This is the side closest to the driver</t>
        </r>
      </text>
    </comment>
    <comment ref="B21" authorId="0" shapeId="0" xr:uid="{00000000-0006-0000-2200-000002000000}">
      <text>
        <r>
          <rPr>
            <b/>
            <sz val="9"/>
            <color indexed="81"/>
            <rFont val="Tahoma"/>
            <family val="2"/>
          </rPr>
          <t>This is the side outboard of the driver</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D19" authorId="0" shapeId="0" xr:uid="{00000000-0006-0000-2300-000001000000}">
      <text>
        <r>
          <rPr>
            <b/>
            <sz val="9"/>
            <color indexed="81"/>
            <rFont val="Tahoma"/>
            <family val="2"/>
          </rPr>
          <t>About the weakest axis</t>
        </r>
      </text>
    </comment>
  </commentList>
</comments>
</file>

<file path=xl/sharedStrings.xml><?xml version="1.0" encoding="utf-8"?>
<sst xmlns="http://schemas.openxmlformats.org/spreadsheetml/2006/main" count="2005" uniqueCount="647">
  <si>
    <t>EI</t>
  </si>
  <si>
    <t>Baseline</t>
  </si>
  <si>
    <t>Your Tube</t>
  </si>
  <si>
    <t>I, m^4</t>
  </si>
  <si>
    <t>OD, m</t>
  </si>
  <si>
    <t>UTS, N</t>
  </si>
  <si>
    <t>UTS, N as welded</t>
  </si>
  <si>
    <t>Steel</t>
  </si>
  <si>
    <t>UTS welded, Pa</t>
  </si>
  <si>
    <t>Yield strength, welded, Pa</t>
  </si>
  <si>
    <t>Yield strength, Pa</t>
  </si>
  <si>
    <t>UTS, Pa</t>
  </si>
  <si>
    <t>Aluminium 1</t>
  </si>
  <si>
    <t>Other 1</t>
  </si>
  <si>
    <t>Other 2</t>
  </si>
  <si>
    <t>Other 3</t>
  </si>
  <si>
    <t>Material name</t>
  </si>
  <si>
    <t>Aluminium 2</t>
  </si>
  <si>
    <t>Material Property</t>
  </si>
  <si>
    <t>Material name /grade</t>
  </si>
  <si>
    <t>Youngs Modulus, E</t>
  </si>
  <si>
    <t>Your Composite</t>
  </si>
  <si>
    <t>Your Total</t>
  </si>
  <si>
    <t>NA</t>
  </si>
  <si>
    <t>Thickness of panel, mm</t>
  </si>
  <si>
    <t>Thickness of core, mm</t>
  </si>
  <si>
    <t>Panel height,mm</t>
  </si>
  <si>
    <t>Enter construction type</t>
  </si>
  <si>
    <t>Tubing only</t>
  </si>
  <si>
    <t>Main Hoop Structural Equivalency - note, only steel may be used</t>
  </si>
  <si>
    <t>Material type</t>
  </si>
  <si>
    <t>Number of tubes</t>
  </si>
  <si>
    <t>Your Tubes Total</t>
  </si>
  <si>
    <t>Your Tube type 1</t>
  </si>
  <si>
    <t>Your Tube type 2</t>
  </si>
  <si>
    <t>Your Tube type 3</t>
  </si>
  <si>
    <t>Front Hoop Structural Equivalency</t>
  </si>
  <si>
    <t>Front Hoop Bracing</t>
  </si>
  <si>
    <t>Front Bulkhead Support Structure</t>
  </si>
  <si>
    <t>Front Bulkhead</t>
  </si>
  <si>
    <t>Material Data Sheet</t>
  </si>
  <si>
    <t>Main Hoop Bracing Supports</t>
  </si>
  <si>
    <t>Shoulder Harness Bar</t>
  </si>
  <si>
    <t>Tube shape</t>
  </si>
  <si>
    <t>Round</t>
  </si>
  <si>
    <t>Square</t>
  </si>
  <si>
    <t>Tubing Type</t>
  </si>
  <si>
    <t>University Name</t>
  </si>
  <si>
    <t>Car No.(s) &amp; Event(s)</t>
  </si>
  <si>
    <t>Team Contact</t>
  </si>
  <si>
    <t>Email Address</t>
  </si>
  <si>
    <t>Faculty Advisor</t>
  </si>
  <si>
    <t>Is proof of equivalency for your design required for any of the rules?</t>
  </si>
  <si>
    <t>Baseline Material Used</t>
  </si>
  <si>
    <t>Alternative Material Used</t>
  </si>
  <si>
    <t>Rule No.</t>
  </si>
  <si>
    <t>Rule Description</t>
  </si>
  <si>
    <t>Main Roll Hoop Tubing</t>
  </si>
  <si>
    <t>Front Roll Hoop Tubing</t>
  </si>
  <si>
    <t>Main Roll Hoop Bracing Tubing</t>
  </si>
  <si>
    <t>Front Hoop Bracing - Tube Frames</t>
  </si>
  <si>
    <t>Front Bulkhead - Tube Frames</t>
  </si>
  <si>
    <t>Front Bulkhead Support - Tube Frames</t>
  </si>
  <si>
    <t>Impact Attenuator Anti-Intrusion Plate</t>
  </si>
  <si>
    <t>Side Impact Structure - Tube Frames</t>
  </si>
  <si>
    <t>Main Hoop Attachment - Monocoques</t>
  </si>
  <si>
    <t>Front Hoop Bracing - Monocoques</t>
  </si>
  <si>
    <t>Front Bulkhead - Monocoques</t>
  </si>
  <si>
    <t>Front Bulkhead Support - Monocoques</t>
  </si>
  <si>
    <t>Impact Attenuator Attachment - Monocoques</t>
  </si>
  <si>
    <t>Safety Harness Attachment - Monocoques</t>
  </si>
  <si>
    <t>Attachment Checklist (make sure all are included in your report)</t>
  </si>
  <si>
    <t>P</t>
  </si>
  <si>
    <t>Receipt, letter of donation or proof for non-steel materials (composite, honeycomb, resin, etc)</t>
  </si>
  <si>
    <t>Properties for all non-steel materials</t>
  </si>
  <si>
    <t>Monocoque Laminate Test data and pictures</t>
  </si>
  <si>
    <t>Holes &gt;4mm drilled in any regulated tubing require proof of equivalency, include area and moment of inertia</t>
  </si>
  <si>
    <t>COMPLETE APPROPRIATE TABS TO PROVE EQUIVALENCY</t>
  </si>
  <si>
    <t>TECHNICAL COMMITTEE DECISION/COMMENTS</t>
  </si>
  <si>
    <t>Approved by</t>
  </si>
  <si>
    <t>Date</t>
  </si>
  <si>
    <t>NOTE: THIS FORM AND THE APPROVED COPY OF THE SUBMISSION MUST BE PRESENTED
AT TECHNICAL INSPECTION AT EVERY FORMULA SAE EVENT ENTERED</t>
  </si>
  <si>
    <t>Area</t>
  </si>
  <si>
    <t>Yield</t>
  </si>
  <si>
    <t>UTS</t>
  </si>
  <si>
    <t>Yield as Welded</t>
  </si>
  <si>
    <t>UTS as Welded</t>
  </si>
  <si>
    <t>Max Bending Load at UTS</t>
  </si>
  <si>
    <t>Max deflection at max baseline load</t>
  </si>
  <si>
    <t>Energy absorbed during bending</t>
  </si>
  <si>
    <t>Tube type</t>
  </si>
  <si>
    <t>Tube 1</t>
  </si>
  <si>
    <t>Tube Material</t>
  </si>
  <si>
    <t>Outside Dimension</t>
  </si>
  <si>
    <t>Wall thickness</t>
  </si>
  <si>
    <t>Tube 2</t>
  </si>
  <si>
    <t>Tube 3</t>
  </si>
  <si>
    <t>Composite</t>
  </si>
  <si>
    <t>Material</t>
  </si>
  <si>
    <t>Panel Thickness</t>
  </si>
  <si>
    <t>Panel Height</t>
  </si>
  <si>
    <t>Paste images of test setup here</t>
  </si>
  <si>
    <t>Figure 1: Test setup</t>
  </si>
  <si>
    <t>Paste load deflection curve here</t>
  </si>
  <si>
    <t>Figure 2: Load Deflection Curve</t>
  </si>
  <si>
    <t>Enter values for minimum and maximum load/deflection in linear-elastic region</t>
  </si>
  <si>
    <t>(&gt;= bending strength of two baseline side impact tubes)</t>
  </si>
  <si>
    <t>h (mm)</t>
  </si>
  <si>
    <t>b (mm)</t>
  </si>
  <si>
    <t>Second moment of area</t>
  </si>
  <si>
    <t>E (GPa)</t>
  </si>
  <si>
    <r>
      <t>x</t>
    </r>
    <r>
      <rPr>
        <vertAlign val="subscript"/>
        <sz val="10"/>
        <rFont val="Verdana"/>
        <family val="2"/>
      </rPr>
      <t xml:space="preserve">1 </t>
    </r>
    <r>
      <rPr>
        <sz val="10"/>
        <rFont val="Verdana"/>
        <family val="2"/>
      </rPr>
      <t>(mm)</t>
    </r>
  </si>
  <si>
    <r>
      <t>y</t>
    </r>
    <r>
      <rPr>
        <vertAlign val="subscript"/>
        <sz val="10"/>
        <rFont val="Verdana"/>
        <family val="2"/>
      </rPr>
      <t>1</t>
    </r>
    <r>
      <rPr>
        <sz val="10"/>
        <rFont val="Verdana"/>
        <family val="2"/>
      </rPr>
      <t xml:space="preserve"> (N)</t>
    </r>
  </si>
  <si>
    <r>
      <t>x</t>
    </r>
    <r>
      <rPr>
        <vertAlign val="subscript"/>
        <sz val="10"/>
        <rFont val="Verdana"/>
        <family val="2"/>
      </rPr>
      <t xml:space="preserve">2 </t>
    </r>
    <r>
      <rPr>
        <sz val="10"/>
        <rFont val="Verdana"/>
        <family val="2"/>
      </rPr>
      <t>(mm)</t>
    </r>
  </si>
  <si>
    <r>
      <t>y</t>
    </r>
    <r>
      <rPr>
        <vertAlign val="subscript"/>
        <sz val="10"/>
        <rFont val="Verdana"/>
        <family val="2"/>
      </rPr>
      <t>2</t>
    </r>
    <r>
      <rPr>
        <sz val="10"/>
        <rFont val="Verdana"/>
        <family val="2"/>
      </rPr>
      <t xml:space="preserve"> (N)</t>
    </r>
  </si>
  <si>
    <r>
      <t>y</t>
    </r>
    <r>
      <rPr>
        <vertAlign val="subscript"/>
        <sz val="10"/>
        <rFont val="Verdana"/>
        <family val="2"/>
      </rPr>
      <t>max</t>
    </r>
    <r>
      <rPr>
        <sz val="10"/>
        <rFont val="Verdana"/>
        <family val="2"/>
      </rPr>
      <t xml:space="preserve"> (N)</t>
    </r>
  </si>
  <si>
    <r>
      <t>t</t>
    </r>
    <r>
      <rPr>
        <vertAlign val="subscript"/>
        <sz val="10"/>
        <rFont val="Verdana"/>
        <family val="2"/>
      </rPr>
      <t>1</t>
    </r>
    <r>
      <rPr>
        <sz val="10"/>
        <rFont val="Verdana"/>
        <family val="2"/>
      </rPr>
      <t xml:space="preserve"> (mm)</t>
    </r>
  </si>
  <si>
    <r>
      <t>t</t>
    </r>
    <r>
      <rPr>
        <vertAlign val="subscript"/>
        <sz val="10"/>
        <rFont val="Verdana"/>
        <family val="2"/>
      </rPr>
      <t>2</t>
    </r>
    <r>
      <rPr>
        <sz val="10"/>
        <rFont val="Verdana"/>
        <family val="2"/>
      </rPr>
      <t xml:space="preserve"> (mm)</t>
    </r>
  </si>
  <si>
    <r>
      <t>I (mm</t>
    </r>
    <r>
      <rPr>
        <vertAlign val="superscript"/>
        <sz val="10"/>
        <rFont val="Verdana"/>
        <family val="2"/>
      </rPr>
      <t>4</t>
    </r>
    <r>
      <rPr>
        <sz val="10"/>
        <rFont val="Verdana"/>
        <family val="2"/>
      </rPr>
      <t>)</t>
    </r>
  </si>
  <si>
    <t>Enter details of skin thickness</t>
  </si>
  <si>
    <r>
      <t>t</t>
    </r>
    <r>
      <rPr>
        <sz val="10"/>
        <rFont val="Verdana"/>
        <family val="2"/>
      </rPr>
      <t xml:space="preserve"> (mm)</t>
    </r>
  </si>
  <si>
    <r>
      <t>σ</t>
    </r>
    <r>
      <rPr>
        <vertAlign val="subscript"/>
        <sz val="10"/>
        <rFont val="Verdana"/>
        <family val="2"/>
      </rPr>
      <t>shear</t>
    </r>
    <r>
      <rPr>
        <sz val="10"/>
        <rFont val="Verdana"/>
        <family val="2"/>
      </rPr>
      <t xml:space="preserve"> (Mpa)</t>
    </r>
  </si>
  <si>
    <t>Enter value for force at panel failure or maximum tested force</t>
  </si>
  <si>
    <t>Enter value for force at failure or maximum tested force</t>
  </si>
  <si>
    <t>Paste load deflection curves here</t>
  </si>
  <si>
    <t>Shoulder Harness Attachment</t>
  </si>
  <si>
    <t>Lap Belt Attachment</t>
  </si>
  <si>
    <t>Anti-submarine Belt Attachment</t>
  </si>
  <si>
    <t>Combined Lap Belt &amp; Anti-submarine Belt Attachment</t>
  </si>
  <si>
    <t>(&gt;= 13000N)</t>
  </si>
  <si>
    <t>(&gt;= 6500N)</t>
  </si>
  <si>
    <t>(&gt;= 19500N)</t>
  </si>
  <si>
    <t>Figure 1: Test setup - Laminate Panel</t>
  </si>
  <si>
    <t>Enter details of tube(s) tested</t>
  </si>
  <si>
    <t>n</t>
  </si>
  <si>
    <t>Tube Outer Diameter</t>
  </si>
  <si>
    <t>Tube Inner Diameter</t>
  </si>
  <si>
    <r>
      <t>D</t>
    </r>
    <r>
      <rPr>
        <vertAlign val="subscript"/>
        <sz val="10"/>
        <rFont val="Verdana"/>
        <family val="2"/>
      </rPr>
      <t>o</t>
    </r>
    <r>
      <rPr>
        <sz val="10"/>
        <rFont val="Verdana"/>
        <family val="2"/>
      </rPr>
      <t xml:space="preserve"> (mm)</t>
    </r>
  </si>
  <si>
    <r>
      <t>D</t>
    </r>
    <r>
      <rPr>
        <vertAlign val="subscript"/>
        <sz val="10"/>
        <rFont val="Verdana"/>
        <family val="2"/>
      </rPr>
      <t>i</t>
    </r>
    <r>
      <rPr>
        <sz val="10"/>
        <rFont val="Verdana"/>
        <family val="2"/>
      </rPr>
      <t xml:space="preserve"> (mm)</t>
    </r>
  </si>
  <si>
    <t>Rig Compliance (N/mm)</t>
  </si>
  <si>
    <t>Enter details of test setup, panel core and skin thicknesses below</t>
  </si>
  <si>
    <t>l (mm)</t>
  </si>
  <si>
    <t>Panel Support Span</t>
  </si>
  <si>
    <r>
      <t>Theoretical EI (N.mm</t>
    </r>
    <r>
      <rPr>
        <vertAlign val="superscript"/>
        <sz val="10"/>
        <rFont val="Verdana"/>
        <family val="2"/>
      </rPr>
      <t>2</t>
    </r>
    <r>
      <rPr>
        <sz val="10"/>
        <rFont val="Verdana"/>
        <family val="2"/>
      </rPr>
      <t>)</t>
    </r>
  </si>
  <si>
    <t>Tube Support Span</t>
  </si>
  <si>
    <r>
      <t>Tested EI (N.mm</t>
    </r>
    <r>
      <rPr>
        <vertAlign val="superscript"/>
        <sz val="10"/>
        <rFont val="Verdana"/>
        <family val="2"/>
      </rPr>
      <t>2</t>
    </r>
    <r>
      <rPr>
        <sz val="10"/>
        <rFont val="Verdana"/>
        <family val="2"/>
      </rPr>
      <t>)</t>
    </r>
  </si>
  <si>
    <t>Figure 4: Load Deflection Curve - Steel Tube(s)</t>
  </si>
  <si>
    <t>Number of Tubes</t>
  </si>
  <si>
    <t>Gradient (N/mm)</t>
  </si>
  <si>
    <t>Figure 3: Test setup - Steel tube(s)</t>
  </si>
  <si>
    <t>Main Hoop Bracing - Note: Only Steel may be used</t>
  </si>
  <si>
    <t>Front Hoop Attachment - Monocoques</t>
  </si>
  <si>
    <t>Tube and Laminate Equivalency</t>
  </si>
  <si>
    <t>N/A</t>
  </si>
  <si>
    <t>Main Hoop Bracing Support - Monocoques</t>
  </si>
  <si>
    <t>Main Hoop Bracing Support - Tube Frames</t>
  </si>
  <si>
    <t>Baseline design?</t>
  </si>
  <si>
    <t>Your Mat. 2</t>
  </si>
  <si>
    <t>Material Spreadsheet Code</t>
  </si>
  <si>
    <t>Wall, m</t>
  </si>
  <si>
    <t>Area, mm^2</t>
  </si>
  <si>
    <t>Yield tensile strength, N</t>
  </si>
  <si>
    <t>Yield tensile strength, N as welded</t>
  </si>
  <si>
    <t>Max load at mid span to give UTS for 1m long tube, N</t>
  </si>
  <si>
    <t>Max deflection at baseline load for 1m long tube, m</t>
  </si>
  <si>
    <t>Energy absorbed up to UTS, J</t>
  </si>
  <si>
    <t>Tube OD, mm</t>
  </si>
  <si>
    <t>Wall, mm</t>
  </si>
  <si>
    <t>Shoulder Harness Bar Equivalency</t>
  </si>
  <si>
    <t>Please use this sheet to include additional information required for your proof of equivalency that isn't covered by the standard forms e.g. material receipts. This tab may be copied if one page isn't sufficient.</t>
  </si>
  <si>
    <r>
      <t>σ</t>
    </r>
    <r>
      <rPr>
        <vertAlign val="subscript"/>
        <sz val="8"/>
        <rFont val="Verdana"/>
        <family val="2"/>
      </rPr>
      <t>UTS</t>
    </r>
    <r>
      <rPr>
        <sz val="10"/>
        <rFont val="Verdana"/>
        <family val="2"/>
      </rPr>
      <t>(MPa)</t>
    </r>
  </si>
  <si>
    <t>Your Tube + Insert</t>
  </si>
  <si>
    <t>Note - the calculations above take account of the "as welded condition" strength reduction</t>
  </si>
  <si>
    <t>Attachment 1</t>
  </si>
  <si>
    <t>No. of fasteners</t>
  </si>
  <si>
    <t>Hoop Bracing Attach. - Monocoques</t>
  </si>
  <si>
    <t>Fastener dia., mm</t>
  </si>
  <si>
    <t>Bracket thickness, mm</t>
  </si>
  <si>
    <t>Bracket perimeter, mm</t>
  </si>
  <si>
    <t>Bracket to hoop weld length, mm</t>
  </si>
  <si>
    <t>Backing plate thickness, mm</t>
  </si>
  <si>
    <t>Backing plate perimeter, mm</t>
  </si>
  <si>
    <t>Perimeter shear strength, kN</t>
  </si>
  <si>
    <t>No. of attachment points per side</t>
  </si>
  <si>
    <t>Attachment 2</t>
  </si>
  <si>
    <t>Attachment 3</t>
  </si>
  <si>
    <t>Attachment 4</t>
  </si>
  <si>
    <t>Skin shear strength, MPa</t>
  </si>
  <si>
    <t>Main Hoop Attachments</t>
  </si>
  <si>
    <t>Shear strength of skin, used for attachment calcs where appropriate</t>
  </si>
  <si>
    <t>Skin thickness, mm</t>
  </si>
  <si>
    <t>Combined Lap &amp; Anti-submarine belt?</t>
  </si>
  <si>
    <t>Shoulder harness attached to monocoque?</t>
  </si>
  <si>
    <t>Lap-belt attached to monocoque?</t>
  </si>
  <si>
    <t>Anti-submarine bolt attached to monocoque?</t>
  </si>
  <si>
    <t>NO</t>
  </si>
  <si>
    <t>Front Hoop Attachments</t>
  </si>
  <si>
    <t>Front hoop material</t>
  </si>
  <si>
    <t>SIS</t>
  </si>
  <si>
    <t>Side Impact or Frt B'Head S'port</t>
  </si>
  <si>
    <t>Your Plate</t>
  </si>
  <si>
    <t>UTS shear, Pa</t>
  </si>
  <si>
    <t>Monocoque Hoop Bracing Attachments</t>
  </si>
  <si>
    <t>Front Hoop Brace to Monocoque?</t>
  </si>
  <si>
    <t>Main Hoop Brace to Monocoque?</t>
  </si>
  <si>
    <t>Bracket to brace weld length, mm</t>
  </si>
  <si>
    <t>Front Hoop Brace Material?</t>
  </si>
  <si>
    <t>If you have more than one type of insert please copy this tab</t>
  </si>
  <si>
    <t>Insert calculations or CAD screenshot proving tube + insert area and second moment</t>
  </si>
  <si>
    <t>Revisions:</t>
  </si>
  <si>
    <t>The SES template has been created to simplify the process of proving structural equivalency.</t>
  </si>
  <si>
    <t xml:space="preserve">As downloaded the spreadsheet assumes a baseline steel chassis design. The majority of the cells in the spreadsheet are locked, you can only edit the cells shaded yellow. </t>
  </si>
  <si>
    <t>Cells shaded grey are dependant on the data entered in yellow cells, the formulae in these grey cells have been left visible so you can see how the results are calculated.</t>
  </si>
  <si>
    <t>There have been a few questions about how to handle bent/two piece tubes in place of a single baseline tube. If properly triangulated then the reinforced bent/two piece tube will be stiffer and stronger than the baseline tube, so please ensure you include images of the tube(s) in the "Chassis Pics" tab for the SES assessor to review. You may add additional proof of equivalence to the "Additional Info" tab if you deem it necessary. You do not need to adjust the number of tubes in the relevant calculation tab.</t>
  </si>
  <si>
    <r>
      <t xml:space="preserve">Please see </t>
    </r>
    <r>
      <rPr>
        <sz val="10"/>
        <color indexed="12"/>
        <rFont val="Arial"/>
        <family val="2"/>
      </rPr>
      <t>"Structural Equivalency Spreadsheet Guide"</t>
    </r>
    <r>
      <rPr>
        <sz val="10"/>
        <rFont val="Arial"/>
        <family val="2"/>
      </rPr>
      <t xml:space="preserve"> on the Read_Me tab of the SES Workbook</t>
    </r>
  </si>
  <si>
    <t>Other 4</t>
  </si>
  <si>
    <t>Other 5</t>
  </si>
  <si>
    <t>Your Mat. 4</t>
  </si>
  <si>
    <t>Your Mat. 5</t>
  </si>
  <si>
    <t>Tube Shape</t>
  </si>
  <si>
    <t>If you have to resubmit your SES then please update the table below, indicating what changes you have made from the previous submission.</t>
  </si>
  <si>
    <t>Submission Version</t>
  </si>
  <si>
    <t>Original Submission</t>
  </si>
  <si>
    <t>Revision Comments</t>
  </si>
  <si>
    <t>Tube area, mm^2</t>
  </si>
  <si>
    <t>Insert area, mm^2</t>
  </si>
  <si>
    <t>Side Impact Structure</t>
  </si>
  <si>
    <t>Core Thickness</t>
  </si>
  <si>
    <t>Inner Skin Thickness</t>
  </si>
  <si>
    <t>Outer Skin Thickness</t>
  </si>
  <si>
    <t>Skin modulus of elasticity</t>
  </si>
  <si>
    <t>UTS of skins</t>
  </si>
  <si>
    <t>Accumulator Protection</t>
  </si>
  <si>
    <t>Distance from top of front hoop to front hoop brace attachment</t>
  </si>
  <si>
    <t>Distance from top of main hoop to main hoop brace attachment</t>
  </si>
  <si>
    <t>Images must include dimensions/labels indicating the following:</t>
  </si>
  <si>
    <t>Cutout Width</t>
  </si>
  <si>
    <t>Cutout Height</t>
  </si>
  <si>
    <t>Bulkhead Width</t>
  </si>
  <si>
    <t>Bulkhead Height</t>
  </si>
  <si>
    <t>Monocoque Bulkhead Dimensions</t>
  </si>
  <si>
    <t>Bulkhead Width, mm</t>
  </si>
  <si>
    <t>Bulkhead Height, mm</t>
  </si>
  <si>
    <t>Cutout Width, mm</t>
  </si>
  <si>
    <t>Cutout Height, mm</t>
  </si>
  <si>
    <t>Tractive System Protection</t>
  </si>
  <si>
    <t>Accumulator Mass (kg)</t>
  </si>
  <si>
    <t>b (m)</t>
  </si>
  <si>
    <t>h (m)</t>
  </si>
  <si>
    <t>Centroid (m)</t>
  </si>
  <si>
    <r>
      <t>A</t>
    </r>
    <r>
      <rPr>
        <vertAlign val="subscript"/>
        <sz val="10"/>
        <rFont val="Arial"/>
        <family val="2"/>
      </rPr>
      <t>1</t>
    </r>
    <r>
      <rPr>
        <sz val="10"/>
        <rFont val="Arial"/>
        <family val="2"/>
      </rPr>
      <t xml:space="preserve"> (m^2)</t>
    </r>
  </si>
  <si>
    <r>
      <t>A</t>
    </r>
    <r>
      <rPr>
        <vertAlign val="subscript"/>
        <sz val="10"/>
        <rFont val="Arial"/>
        <family val="2"/>
      </rPr>
      <t>2</t>
    </r>
    <r>
      <rPr>
        <sz val="10"/>
        <rFont val="Arial"/>
        <family val="2"/>
      </rPr>
      <t xml:space="preserve"> (m^2)</t>
    </r>
  </si>
  <si>
    <r>
      <t>A</t>
    </r>
    <r>
      <rPr>
        <vertAlign val="subscript"/>
        <sz val="10"/>
        <rFont val="Arial"/>
        <family val="2"/>
      </rPr>
      <t>3</t>
    </r>
    <r>
      <rPr>
        <sz val="10"/>
        <rFont val="Arial"/>
        <family val="2"/>
      </rPr>
      <t xml:space="preserve"> (m^2)</t>
    </r>
  </si>
  <si>
    <r>
      <t>A</t>
    </r>
    <r>
      <rPr>
        <vertAlign val="subscript"/>
        <sz val="10"/>
        <rFont val="Arial"/>
        <family val="2"/>
      </rPr>
      <t>4</t>
    </r>
    <r>
      <rPr>
        <sz val="10"/>
        <rFont val="Arial"/>
        <family val="2"/>
      </rPr>
      <t xml:space="preserve"> (m^2)</t>
    </r>
  </si>
  <si>
    <r>
      <t>Ic</t>
    </r>
    <r>
      <rPr>
        <vertAlign val="subscript"/>
        <sz val="10"/>
        <rFont val="Arial"/>
        <family val="2"/>
      </rPr>
      <t>1</t>
    </r>
    <r>
      <rPr>
        <sz val="10"/>
        <rFont val="Arial"/>
        <family val="2"/>
      </rPr>
      <t xml:space="preserve"> (m^4)</t>
    </r>
  </si>
  <si>
    <r>
      <t>Ic</t>
    </r>
    <r>
      <rPr>
        <vertAlign val="subscript"/>
        <sz val="10"/>
        <rFont val="Arial"/>
        <family val="2"/>
      </rPr>
      <t>2</t>
    </r>
    <r>
      <rPr>
        <sz val="10"/>
        <rFont val="Arial"/>
        <family val="2"/>
      </rPr>
      <t xml:space="preserve"> (m^4)</t>
    </r>
  </si>
  <si>
    <r>
      <t>Ic</t>
    </r>
    <r>
      <rPr>
        <vertAlign val="subscript"/>
        <sz val="10"/>
        <rFont val="Arial"/>
        <family val="2"/>
      </rPr>
      <t>3</t>
    </r>
    <r>
      <rPr>
        <sz val="10"/>
        <rFont val="Arial"/>
        <family val="2"/>
      </rPr>
      <t xml:space="preserve"> (m^4)</t>
    </r>
  </si>
  <si>
    <r>
      <t>Ic</t>
    </r>
    <r>
      <rPr>
        <vertAlign val="subscript"/>
        <sz val="10"/>
        <rFont val="Arial"/>
        <family val="2"/>
      </rPr>
      <t>4</t>
    </r>
    <r>
      <rPr>
        <sz val="10"/>
        <rFont val="Arial"/>
        <family val="2"/>
      </rPr>
      <t xml:space="preserve"> (m^4)</t>
    </r>
  </si>
  <si>
    <t>Bulkhead</t>
  </si>
  <si>
    <t>Front Bulkhead Support</t>
  </si>
  <si>
    <r>
      <t>Ic</t>
    </r>
    <r>
      <rPr>
        <vertAlign val="subscript"/>
        <sz val="10"/>
        <rFont val="Arial"/>
        <family val="2"/>
      </rPr>
      <t>12</t>
    </r>
    <r>
      <rPr>
        <sz val="10"/>
        <rFont val="Arial"/>
        <family val="2"/>
      </rPr>
      <t xml:space="preserve"> (m^4)</t>
    </r>
  </si>
  <si>
    <r>
      <t>Ic</t>
    </r>
    <r>
      <rPr>
        <vertAlign val="subscript"/>
        <sz val="10"/>
        <rFont val="Arial"/>
        <family val="2"/>
      </rPr>
      <t>34</t>
    </r>
    <r>
      <rPr>
        <sz val="10"/>
        <rFont val="Arial"/>
        <family val="2"/>
      </rPr>
      <t xml:space="preserve"> (m^4)</t>
    </r>
  </si>
  <si>
    <r>
      <t>E</t>
    </r>
    <r>
      <rPr>
        <vertAlign val="subscript"/>
        <sz val="10"/>
        <rFont val="Arial"/>
        <family val="2"/>
      </rPr>
      <t>34</t>
    </r>
  </si>
  <si>
    <r>
      <t>x</t>
    </r>
    <r>
      <rPr>
        <vertAlign val="subscript"/>
        <sz val="10"/>
        <rFont val="Arial"/>
        <family val="2"/>
      </rPr>
      <t>1</t>
    </r>
    <r>
      <rPr>
        <sz val="10"/>
        <rFont val="Arial"/>
        <family val="2"/>
      </rPr>
      <t xml:space="preserve"> (m)</t>
    </r>
  </si>
  <si>
    <r>
      <t>x</t>
    </r>
    <r>
      <rPr>
        <vertAlign val="subscript"/>
        <sz val="10"/>
        <rFont val="Arial"/>
        <family val="2"/>
      </rPr>
      <t xml:space="preserve">2 </t>
    </r>
    <r>
      <rPr>
        <sz val="10"/>
        <rFont val="Arial"/>
        <family val="2"/>
      </rPr>
      <t>(m)</t>
    </r>
  </si>
  <si>
    <r>
      <t>x</t>
    </r>
    <r>
      <rPr>
        <vertAlign val="subscript"/>
        <sz val="10"/>
        <rFont val="Arial"/>
        <family val="2"/>
      </rPr>
      <t xml:space="preserve">3 </t>
    </r>
    <r>
      <rPr>
        <sz val="10"/>
        <rFont val="Arial"/>
        <family val="2"/>
      </rPr>
      <t>(m)</t>
    </r>
  </si>
  <si>
    <r>
      <t>x</t>
    </r>
    <r>
      <rPr>
        <vertAlign val="subscript"/>
        <sz val="10"/>
        <rFont val="Arial"/>
        <family val="2"/>
      </rPr>
      <t xml:space="preserve">4 </t>
    </r>
    <r>
      <rPr>
        <sz val="10"/>
        <rFont val="Arial"/>
        <family val="2"/>
      </rPr>
      <t>(m)</t>
    </r>
  </si>
  <si>
    <t>FBHS</t>
  </si>
  <si>
    <t>BH</t>
  </si>
  <si>
    <r>
      <t>I</t>
    </r>
    <r>
      <rPr>
        <vertAlign val="subscript"/>
        <sz val="10"/>
        <rFont val="Arial"/>
        <family val="2"/>
      </rPr>
      <t xml:space="preserve">1 </t>
    </r>
    <r>
      <rPr>
        <sz val="10"/>
        <rFont val="Arial"/>
        <family val="2"/>
      </rPr>
      <t>(m^4)</t>
    </r>
  </si>
  <si>
    <r>
      <t>I</t>
    </r>
    <r>
      <rPr>
        <vertAlign val="subscript"/>
        <sz val="10"/>
        <rFont val="Arial"/>
        <family val="2"/>
      </rPr>
      <t xml:space="preserve">2 </t>
    </r>
    <r>
      <rPr>
        <sz val="10"/>
        <rFont val="Arial"/>
        <family val="2"/>
      </rPr>
      <t>(m^4)</t>
    </r>
  </si>
  <si>
    <r>
      <t>I</t>
    </r>
    <r>
      <rPr>
        <vertAlign val="subscript"/>
        <sz val="10"/>
        <rFont val="Arial"/>
        <family val="2"/>
      </rPr>
      <t>3</t>
    </r>
    <r>
      <rPr>
        <sz val="10"/>
        <rFont val="Arial"/>
        <family val="2"/>
      </rPr>
      <t xml:space="preserve"> (m^4)</t>
    </r>
  </si>
  <si>
    <r>
      <t>I</t>
    </r>
    <r>
      <rPr>
        <vertAlign val="subscript"/>
        <sz val="10"/>
        <rFont val="Arial"/>
        <family val="2"/>
      </rPr>
      <t>4</t>
    </r>
    <r>
      <rPr>
        <sz val="10"/>
        <rFont val="Arial"/>
        <family val="2"/>
      </rPr>
      <t xml:space="preserve"> (m^4)</t>
    </r>
  </si>
  <si>
    <t>V1.0</t>
  </si>
  <si>
    <t>Clarification ID</t>
  </si>
  <si>
    <t xml:space="preserve">Details of any rules clarifications must be referenced and appended in this tab. </t>
  </si>
  <si>
    <t>Angle between main hoop bracing and main hoop</t>
  </si>
  <si>
    <t>Teams entering cars with EV Powertrains must show the location of all HV components in these images and highlight them by colouring them orange.</t>
  </si>
  <si>
    <t>Outer diameter and wall thickness of all tubes / monocoque lay-up</t>
  </si>
  <si>
    <r>
      <t xml:space="preserve">Please attach pictures of the frame and/or monocoque in the table below for review during the SES process. 
</t>
    </r>
    <r>
      <rPr>
        <b/>
        <sz val="10"/>
        <rFont val="Arial"/>
        <family val="2"/>
      </rPr>
      <t>All tubes/lay-ups must be colour coded to show outer diameter and wall thickness</t>
    </r>
    <r>
      <rPr>
        <sz val="10"/>
        <rFont val="Arial"/>
      </rPr>
      <t>. Three view drawings and isometric views of the structure (CAD, FEA models, etc) are acceptable. Note: The final decision about all designs will be made at technical inspection. Approval of an SES does not guarantee passing Tech. Inspection.</t>
    </r>
  </si>
  <si>
    <t>CAD Screenshots / Images proving all panel dimensions must be appended below</t>
  </si>
  <si>
    <t>CAD Screenshots / Images proving all panel dimensions and any additional proof must be appended below</t>
  </si>
  <si>
    <t>All test specimens must be presented at Tech. Inspection</t>
  </si>
  <si>
    <t>Details of Clarification Question and Answer</t>
  </si>
  <si>
    <t>Enter values for force at first and second peak (see monocoque guidance tab)</t>
  </si>
  <si>
    <t>Peak 2 (N)</t>
  </si>
  <si>
    <t>Thickness of outer skin, mm</t>
  </si>
  <si>
    <t>Thickness of inner skin, mm</t>
  </si>
  <si>
    <t>Composite 1</t>
  </si>
  <si>
    <t>Inner</t>
  </si>
  <si>
    <t>Outer</t>
  </si>
  <si>
    <t>Panel height,mm (half width across top of chassis)</t>
  </si>
  <si>
    <t>support equivalency.</t>
  </si>
  <si>
    <t>1. Chassis with a square/rectangular structure rearward</t>
  </si>
  <si>
    <t xml:space="preserve">of the main hoop; the design is &gt;=100% equivalency </t>
  </si>
  <si>
    <t>using the flat-panel calc by entering the panel height</t>
  </si>
  <si>
    <t>as per the image shown to the right of this text.</t>
  </si>
  <si>
    <t xml:space="preserve">2. Chassis with a structure as per 1., but where &gt;=100% equivalence is not shown on the </t>
  </si>
  <si>
    <t>flat panel calc alone.</t>
  </si>
  <si>
    <t>In this case additional proof of equivalence is required, by showing the actual chassis</t>
  </si>
  <si>
    <t>Using a CAD measure of the cross-section, or other appropriate method, provide proof</t>
  </si>
  <si>
    <t>of the second moment of area and area of the monocoque skins.</t>
  </si>
  <si>
    <t>buckling modulus is equivalent.</t>
  </si>
  <si>
    <t>tubes.</t>
  </si>
  <si>
    <t>Multiply this measured "I" by the "E" derived from the required physical test to prove the</t>
  </si>
  <si>
    <t>The measured "I" must be transposed from the cross-section centroid to a reference</t>
  </si>
  <si>
    <t>co-ordinate system on the chassis centre-line, and the same completed for the baseline</t>
  </si>
  <si>
    <t>The measured "A" must be multiplied by the physical test derived skin UTS to prove</t>
  </si>
  <si>
    <t>the strength of the section is &gt;=100%</t>
  </si>
  <si>
    <t>There are three scenarios for main hoop bracing</t>
  </si>
  <si>
    <t>3. Teams with non square/rectangular structures must complete an analysis similar to</t>
  </si>
  <si>
    <t>equivalent tube offset ("d" in the image below) is ~ 75mm.</t>
  </si>
  <si>
    <t>that required in scenario 2, but at a cross-section through the structure where the</t>
  </si>
  <si>
    <t>In this case no additional proof is required, but images</t>
  </si>
  <si>
    <t>of the chassis proving the panel height entered</t>
  </si>
  <si>
    <t>must be supplied.</t>
  </si>
  <si>
    <t xml:space="preserve">If you find a new problem with the SES template or require a clarification 72 hours or less before the SES submission deadline please include your own </t>
  </si>
  <si>
    <t>proof of equivalency in the "Additional Info" tab as well as filing a Rules question.</t>
  </si>
  <si>
    <t>1. Chassis where, when calculated as a flat panel, half of the width of the upper horizontal</t>
  </si>
  <si>
    <t>panel between the top of the front bulkhead and the top of the front hoop shows &gt;=100%</t>
  </si>
  <si>
    <t>equivalency to 1 front hoop bracing tube.</t>
  </si>
  <si>
    <t>In this case no additional proof is required, but images of the chassis proving the panel</t>
  </si>
  <si>
    <t>width entered must be supplied.</t>
  </si>
  <si>
    <t xml:space="preserve">2. Chassis where the flat panel calculation shows &lt;100% equivalence to 1 front hoop </t>
  </si>
  <si>
    <t>bracing tube.</t>
  </si>
  <si>
    <t>design is &gt;=100% equivalent.</t>
  </si>
  <si>
    <t>The height of the moncoque section used for comparison must not exceed 50mm</t>
  </si>
  <si>
    <r>
      <t>h</t>
    </r>
    <r>
      <rPr>
        <vertAlign val="subscript"/>
        <sz val="10"/>
        <rFont val="Arial"/>
        <family val="2"/>
      </rPr>
      <t>1</t>
    </r>
    <r>
      <rPr>
        <sz val="10"/>
        <rFont val="Arial"/>
        <family val="2"/>
      </rPr>
      <t xml:space="preserve"> (m)</t>
    </r>
  </si>
  <si>
    <r>
      <t>h</t>
    </r>
    <r>
      <rPr>
        <vertAlign val="subscript"/>
        <sz val="10"/>
        <rFont val="Arial"/>
        <family val="2"/>
      </rPr>
      <t>2</t>
    </r>
    <r>
      <rPr>
        <sz val="10"/>
        <rFont val="Arial"/>
        <family val="2"/>
      </rPr>
      <t xml:space="preserve"> (m)</t>
    </r>
  </si>
  <si>
    <r>
      <t>b</t>
    </r>
    <r>
      <rPr>
        <vertAlign val="subscript"/>
        <sz val="10"/>
        <rFont val="Arial"/>
        <family val="2"/>
      </rPr>
      <t>3</t>
    </r>
    <r>
      <rPr>
        <sz val="10"/>
        <rFont val="Arial"/>
        <family val="2"/>
      </rPr>
      <t xml:space="preserve"> (m)</t>
    </r>
  </si>
  <si>
    <r>
      <t>b</t>
    </r>
    <r>
      <rPr>
        <vertAlign val="subscript"/>
        <sz val="10"/>
        <rFont val="Arial"/>
        <family val="2"/>
      </rPr>
      <t>4</t>
    </r>
    <r>
      <rPr>
        <sz val="10"/>
        <rFont val="Arial"/>
        <family val="2"/>
      </rPr>
      <t xml:space="preserve"> (m)</t>
    </r>
  </si>
  <si>
    <t>There are two scenarios for front bulkhead bracing support equivalency.</t>
  </si>
  <si>
    <t>1. Chassis where, when calculated as a flat panel, the vertical panel between the</t>
  </si>
  <si>
    <t>front bulkhead and front hoop shows &gt;=100% to 3 front bulkhead support tubes.</t>
  </si>
  <si>
    <t>height entered must be supplied.</t>
  </si>
  <si>
    <t>front bulkhead support tubes.</t>
  </si>
  <si>
    <t>2. Chassis where the flat panel calculation shows &gt;33% but &lt;100% equivalence to 3</t>
  </si>
  <si>
    <t>thickness must be increased and the physical tests repeated until &gt;33% is achieved)</t>
  </si>
  <si>
    <t>(If the flat panel calculation shows &lt;33% equivalence the panel core and/or skin</t>
  </si>
  <si>
    <t>Composite AIP</t>
  </si>
  <si>
    <t>Panel Height (should be 275mm, alternative sizes must be agreed in advance)</t>
  </si>
  <si>
    <t>Baseline Design?</t>
  </si>
  <si>
    <t>Panel width, mm (from Front Bulkhead tab)</t>
  </si>
  <si>
    <t>Panel height,mm (from Front Bulkhead tab)</t>
  </si>
  <si>
    <t>Impact Attenuator Height, mm</t>
  </si>
  <si>
    <t>Impact Attenuator Width, mm</t>
  </si>
  <si>
    <t>Max BM, Vertical (120kN Partial UDL), Nm</t>
  </si>
  <si>
    <t>Max BM, Horizontal (120kN Partial UDL), Nm</t>
  </si>
  <si>
    <t>Max Stress, Vertical, Pa</t>
  </si>
  <si>
    <t>Max Stress, Horizontal, Pa</t>
  </si>
  <si>
    <t>Safety Factor, Bending</t>
  </si>
  <si>
    <t>I, Vertical, m^4</t>
  </si>
  <si>
    <t>I, Horizontal, m^4</t>
  </si>
  <si>
    <t>Perimeter Shear Stress, 120kN Load, Pa</t>
  </si>
  <si>
    <t>Safety Factor, Perimeter Shear</t>
  </si>
  <si>
    <t>There are three scenarios for anti-intrusion plate equivalency</t>
  </si>
  <si>
    <t>1. Baseline steel or aluminium AIP used</t>
  </si>
  <si>
    <t>2. Composite AIP used, proof of equivalency using material properties derived from</t>
  </si>
  <si>
    <t>three point bending and shear tests.</t>
  </si>
  <si>
    <t xml:space="preserve"> - Select "Composite AIP" as your material</t>
  </si>
  <si>
    <t xml:space="preserve">In this case: </t>
  </si>
  <si>
    <t xml:space="preserve"> - Enter the relevant test data in the AIP physical test tabs</t>
  </si>
  <si>
    <t xml:space="preserve"> - Enter the dimensions of your actual AIP in the relevant cells</t>
  </si>
  <si>
    <t>Safety factors for bending and perimeter shear must both be &gt;=1</t>
  </si>
  <si>
    <t>Images proving the dimensions of your AIP must be included.</t>
  </si>
  <si>
    <t>3. Composite AIP used, proof of equiavlency from IAD test</t>
  </si>
  <si>
    <t xml:space="preserve"> - Select "Comp (IAD Test)" as your material</t>
  </si>
  <si>
    <t xml:space="preserve"> - Enter the relevant test data from your IAD Test</t>
  </si>
  <si>
    <t xml:space="preserve"> - Include photographic evidence of the test setup and show that the AIP did not fail</t>
  </si>
  <si>
    <t>Composite Floor (Horizontal)</t>
  </si>
  <si>
    <t>Panel height (Vertical Side)/width (Horiz. Floor),mm</t>
  </si>
  <si>
    <t>Side</t>
  </si>
  <si>
    <t>Floor</t>
  </si>
  <si>
    <t>Composite Side (Vertical)</t>
  </si>
  <si>
    <t>Enter values for minimum and maximum load/deflection in linear-elastic region.</t>
  </si>
  <si>
    <t>Gradient must be &gt;= that of two baseline steel tubes</t>
  </si>
  <si>
    <t>Enter value of absorbed energy, must be &gt;= that of two baseline tubes</t>
  </si>
  <si>
    <t>Energy (J)</t>
  </si>
  <si>
    <t>Enter value for force at panel failure or maximum tested force.</t>
  </si>
  <si>
    <t>Enter value of absorbed energy upto 12.7mm of deflection</t>
  </si>
  <si>
    <t>Logged data must be appended in the section below</t>
  </si>
  <si>
    <t>Paste in logged data from test below:</t>
  </si>
  <si>
    <t>Enter values for force at first and second peak (see guidance notes)</t>
  </si>
  <si>
    <t>When entering peak loads please ensure they are in accordance with the image below:</t>
  </si>
  <si>
    <t>The requirement to prove buckling modulus remains, but with a more stringent requirement</t>
  </si>
  <si>
    <t>where:</t>
  </si>
  <si>
    <t xml:space="preserve"> - The vertical side-impact zone, when calculated as a flat-panel must equivalent EI to</t>
  </si>
  <si>
    <t>two baseline side-impact tubes.</t>
  </si>
  <si>
    <t>Note: In practical terms it is impossible for a car with rules compliant ride height to</t>
  </si>
  <si>
    <t>return a null value for EI</t>
  </si>
  <si>
    <t xml:space="preserve"> - The horizontal floor (up-to the centre of the chassis), when calculated as flat-panel</t>
  </si>
  <si>
    <t>must have equivalent EI to one baseline side-impact tube.</t>
  </si>
  <si>
    <t>Unlike other areas of the monocoque, no allowance for geometric form is allowed.</t>
  </si>
  <si>
    <t>There is only one scenario for monocoque side-impact structure equivalency.</t>
  </si>
  <si>
    <t>Insert Perimeter, mm</t>
  </si>
  <si>
    <t>Attachment Status</t>
  </si>
  <si>
    <t>Insert images of each attachment point proving the values entered above:</t>
  </si>
  <si>
    <t>Figure 1: Load Deflection Curves</t>
  </si>
  <si>
    <t>Front Hoop</t>
  </si>
  <si>
    <t>Main Hoop</t>
  </si>
  <si>
    <t xml:space="preserve">Paste images of test setups &amp; actual design here, these must </t>
  </si>
  <si>
    <t>show that the test conditions are representative:</t>
  </si>
  <si>
    <t xml:space="preserve"> - Test fixture does not artficially reinforce the attachment</t>
  </si>
  <si>
    <t>Powertrain Type</t>
  </si>
  <si>
    <t>EI / Safety Factor</t>
  </si>
  <si>
    <t>Monocoque Impact Attenuator Attachments</t>
  </si>
  <si>
    <t>AIP Thickness, mm</t>
  </si>
  <si>
    <t>Washer/bolt perimeter, mm</t>
  </si>
  <si>
    <t xml:space="preserve">of area below. </t>
  </si>
  <si>
    <t>The vast majority of the tabs can be accessed using the hyperlinks on the cover sheet. If you enable macros when opening the document "Ctrl+e" will return you to the cover sheet.</t>
  </si>
  <si>
    <t>All monocoque attachment tabs follow the same order, stepping through each key element</t>
  </si>
  <si>
    <t>Entering the combined perimeter of all inserts between the outer and inner skins is</t>
  </si>
  <si>
    <t>optional, provided the strength in both loading directions is &gt;=30kN without their inclusion.</t>
  </si>
  <si>
    <t xml:space="preserve">from Row 13 to Row 20. </t>
  </si>
  <si>
    <t>The images below show an example hoop attachment, in this case the following data</t>
  </si>
  <si>
    <t>would be entered:</t>
  </si>
  <si>
    <t xml:space="preserve">Row 13: </t>
  </si>
  <si>
    <t>Row 14:</t>
  </si>
  <si>
    <t>Row 15:</t>
  </si>
  <si>
    <t>Row 16:</t>
  </si>
  <si>
    <t>Row 17:</t>
  </si>
  <si>
    <t>Row 18:</t>
  </si>
  <si>
    <t>Row 19:</t>
  </si>
  <si>
    <t>Row 20:</t>
  </si>
  <si>
    <t>Outside perimeter of the bracket joined to the hoop</t>
  </si>
  <si>
    <t>Thickness of the bracket joined to the hoop</t>
  </si>
  <si>
    <t>Thickness of the laminate skin in contact with the bracket joined to the hoop</t>
  </si>
  <si>
    <t>Combined outside perimeter of all inserts in the core material</t>
  </si>
  <si>
    <t>Thickness of the laminate skin in contact with the backing plate</t>
  </si>
  <si>
    <t>Thickness of the backing plate</t>
  </si>
  <si>
    <t>Outside perimeter of the backing plate</t>
  </si>
  <si>
    <t>Total weld length of all welds joining the hoop tube to the bracket</t>
  </si>
  <si>
    <r>
      <t>y</t>
    </r>
    <r>
      <rPr>
        <vertAlign val="subscript"/>
        <sz val="10"/>
        <rFont val="Arial"/>
        <family val="2"/>
      </rPr>
      <t>1</t>
    </r>
    <r>
      <rPr>
        <sz val="10"/>
        <rFont val="Arial"/>
        <family val="2"/>
      </rPr>
      <t xml:space="preserve"> (m)</t>
    </r>
  </si>
  <si>
    <r>
      <t>y</t>
    </r>
    <r>
      <rPr>
        <vertAlign val="subscript"/>
        <sz val="10"/>
        <rFont val="Arial"/>
        <family val="2"/>
      </rPr>
      <t xml:space="preserve">2 </t>
    </r>
    <r>
      <rPr>
        <sz val="10"/>
        <rFont val="Arial"/>
        <family val="2"/>
      </rPr>
      <t>(m)</t>
    </r>
  </si>
  <si>
    <t>In both cases this is calculated about the weakest axis.</t>
  </si>
  <si>
    <t>Perimeter shear, N (monocoques only)</t>
  </si>
  <si>
    <t>Floor Material</t>
  </si>
  <si>
    <t>Thickness (mm)</t>
  </si>
  <si>
    <t>Height (mm)</t>
  </si>
  <si>
    <t>Cover Mat.</t>
  </si>
  <si>
    <t>External Vertical Wall Material</t>
  </si>
  <si>
    <t>Internal Vertical Wall Material</t>
  </si>
  <si>
    <t>Segment 1 Mass (kg)</t>
  </si>
  <si>
    <t>Segment 2 Mass (kg)</t>
  </si>
  <si>
    <t>Segment 3 Mass (kg)</t>
  </si>
  <si>
    <t>Segment 4 Mass (kg)</t>
  </si>
  <si>
    <t>Segment 5 Mass (kg)</t>
  </si>
  <si>
    <t>Alternative Material Proof of Equivalency</t>
  </si>
  <si>
    <t>Baseline Floor</t>
  </si>
  <si>
    <t>Your Floor</t>
  </si>
  <si>
    <t>Your Ext Wall</t>
  </si>
  <si>
    <t>Baseline Int. Wall</t>
  </si>
  <si>
    <t>Baseline Ext. Wall</t>
  </si>
  <si>
    <t>Your Ext. Wall</t>
  </si>
  <si>
    <t>Baseline Cover</t>
  </si>
  <si>
    <t>Your Cover</t>
  </si>
  <si>
    <t>Panel height/width,mm</t>
  </si>
  <si>
    <t>Safety Factors</t>
  </si>
  <si>
    <t>Shear</t>
  </si>
  <si>
    <t>Width (mm)</t>
  </si>
  <si>
    <t>CAD Screenshots / Images proving all panel thicknesses and any additional proof must be appended below</t>
  </si>
  <si>
    <t>Accumulator Attachments</t>
  </si>
  <si>
    <t>No. of attachment required</t>
  </si>
  <si>
    <t>Each of the following must be proved:</t>
  </si>
  <si>
    <t>Insert images of each attachment point &amp; calculations proving the required properties:</t>
  </si>
  <si>
    <t>If brackets are bolted to the container, that there is sufficient shear area under the head of the bolts/washers so the perimeter shear strength is &gt;=20kN x the number of fasteners per bracket</t>
  </si>
  <si>
    <t>The attachment of any brackets to the container is as at least as strong as 20kN x the number of fasteners per bracket</t>
  </si>
  <si>
    <t>For monocoques, that each attachment point has &gt;=20kN x the number of fasteners per bracket in any direction (please see the Comp IAD attachment calcs for an example)</t>
  </si>
  <si>
    <t>Vertical</t>
  </si>
  <si>
    <t>Horizontal</t>
  </si>
  <si>
    <t>Note: If the first peak is higher than the second then it can be used for the punch through</t>
  </si>
  <si>
    <t>strength requirement.</t>
  </si>
  <si>
    <t>In this case just select the appropriate material.</t>
  </si>
  <si>
    <t>- The ply schedule of the skins is the same but the core is thicker or thinner.</t>
  </si>
  <si>
    <t>This tab is only required for all areas of the monocoque that do not satisy these conditions.</t>
  </si>
  <si>
    <t>Your Ext. Walls</t>
  </si>
  <si>
    <t>Your Int. Walls</t>
  </si>
  <si>
    <r>
      <t>z</t>
    </r>
    <r>
      <rPr>
        <vertAlign val="subscript"/>
        <sz val="10"/>
        <rFont val="Arial"/>
        <family val="2"/>
      </rPr>
      <t>1</t>
    </r>
    <r>
      <rPr>
        <sz val="10"/>
        <rFont val="Arial"/>
        <family val="2"/>
      </rPr>
      <t xml:space="preserve"> (m)</t>
    </r>
  </si>
  <si>
    <r>
      <t>z</t>
    </r>
    <r>
      <rPr>
        <vertAlign val="subscript"/>
        <sz val="10"/>
        <rFont val="Arial"/>
        <family val="2"/>
      </rPr>
      <t xml:space="preserve">2 </t>
    </r>
    <r>
      <rPr>
        <sz val="10"/>
        <rFont val="Arial"/>
        <family val="2"/>
      </rPr>
      <t>(m)</t>
    </r>
  </si>
  <si>
    <t>Link to Guidance Notes</t>
  </si>
  <si>
    <t>Link to guidance notes</t>
  </si>
  <si>
    <t>There are two scenarios for front hoop bracing support equivalency.</t>
  </si>
  <si>
    <t>design is &gt;=100% equivalent, it is acceptable to include half of the chassis in this proof.</t>
  </si>
  <si>
    <t>Tearout strength, kN</t>
  </si>
  <si>
    <t>Edge distance, mm</t>
  </si>
  <si>
    <t>Below are some examples of brackets which are not acceptable:</t>
  </si>
  <si>
    <t xml:space="preserve">Note: Brackets which have no "form" or gusseting are not acceptable as they will fail in </t>
  </si>
  <si>
    <t>bending at &lt;30KN</t>
  </si>
  <si>
    <t>Monocoque Lap Joints</t>
  </si>
  <si>
    <t>Test sample lap area, mm^2</t>
  </si>
  <si>
    <t>Lap joint shear strength, MPa</t>
  </si>
  <si>
    <t>Joint Status</t>
  </si>
  <si>
    <t>Insert images of test sample and data from pull tests used to derive shear strength below:</t>
  </si>
  <si>
    <t>Overlap length "w", mm</t>
  </si>
  <si>
    <t>Safety Factor</t>
  </si>
  <si>
    <t>Load/unit length, N/mm</t>
  </si>
  <si>
    <t>Load/unit length</t>
  </si>
  <si>
    <t>Skin UTS, MPa (from 3pt bend)</t>
  </si>
  <si>
    <t>Side Impact Structure - Monocoques, Side</t>
  </si>
  <si>
    <t>Side Impact Structure - Monocoques, Floor</t>
  </si>
  <si>
    <t>Row 21:</t>
  </si>
  <si>
    <t>Bulkhead Support Tube OD, mm</t>
  </si>
  <si>
    <t>Bulkhead Support Tube Wall, mm</t>
  </si>
  <si>
    <t>Steering Rack Collar OD, mm</t>
  </si>
  <si>
    <t>Steering Rack Collar Wall, mm</t>
  </si>
  <si>
    <t>Welded Steering Rack Collar in Bulkhead Support Tube</t>
  </si>
  <si>
    <t>Your Collar</t>
  </si>
  <si>
    <t>Maximum Bending Stress, Pa</t>
  </si>
  <si>
    <t>OR, m</t>
  </si>
  <si>
    <t>IR, m</t>
  </si>
  <si>
    <t>Distance to Centroid, m</t>
  </si>
  <si>
    <t>Area, m^2</t>
  </si>
  <si>
    <t>Insert calculations or CAD screenshot proving all data entered above.</t>
  </si>
  <si>
    <t>Buckling Load, N (Peak IA load /6)</t>
  </si>
  <si>
    <t>Teams entering cars with IC Powertrains must show the location of the fuel tank in these images and highlight it by colouring it red.</t>
  </si>
  <si>
    <t>Angle of main and front hoops, including angle of main hoop below upper side impact tube.</t>
  </si>
  <si>
    <t>Upper SIS Member</t>
  </si>
  <si>
    <t>Straight</t>
  </si>
  <si>
    <t>Straight or Bent / Multipiece Upper Member?</t>
  </si>
  <si>
    <t>Insert images of fully laminated hoop or attachments proving the values entered above and proof that the brackets are adequately stiff (stresses are acceptable when loaded with 30kN):</t>
  </si>
  <si>
    <t>Insert images of each attachment point proving the values entered above and proof that the brackets are adequately stiff (stresses are acceptable when loaded with 30kN):</t>
  </si>
  <si>
    <t>Min Distance between bolt centres</t>
  </si>
  <si>
    <t xml:space="preserve"> - Loads are applied normal to the test sample</t>
  </si>
  <si>
    <t>0-8</t>
  </si>
  <si>
    <t>Please read the guidance notes located at the end of the workbook if your car has a monocoque chassis.</t>
  </si>
  <si>
    <t>It is acceptable to resample the data at a lower frequency to reduce the number of datapoints.</t>
  </si>
  <si>
    <t>Flexural Rigidity</t>
  </si>
  <si>
    <t>Bending Strength</t>
  </si>
  <si>
    <t>Shortest distance from edge of bolt hole to nearest "free edge"</t>
  </si>
  <si>
    <t>T2.9</t>
  </si>
  <si>
    <t>T2.10</t>
  </si>
  <si>
    <t>T2.11</t>
  </si>
  <si>
    <t>T2.12</t>
  </si>
  <si>
    <t>T2.6</t>
  </si>
  <si>
    <t>T2.15</t>
  </si>
  <si>
    <t>T2.11.5</t>
  </si>
  <si>
    <t>T2.14</t>
  </si>
  <si>
    <t>T2.16.1</t>
  </si>
  <si>
    <t>T2.16.2</t>
  </si>
  <si>
    <t>T4.5</t>
  </si>
  <si>
    <t>BACK</t>
  </si>
  <si>
    <t>T2.20</t>
  </si>
  <si>
    <t>Design Description and/or Material Name</t>
  </si>
  <si>
    <t>MONOCOQUE SIDE IMPACT STRUCTURE GUIDANCE NOTES</t>
  </si>
  <si>
    <t>IA AI PLATE GUIDANCE NOTES</t>
  </si>
  <si>
    <t xml:space="preserve"> MONOCOQUE EQUIVALENCY GUIDANCE NOTES - FRONT BULKHEAD SUPPORT</t>
  </si>
  <si>
    <t xml:space="preserve"> MONOCOQUE EQUIVALENCY GUIDANCE NOTES - FRONT HOOP BRACING</t>
  </si>
  <si>
    <t xml:space="preserve"> MONOCOQUE EQUIVALENCY GUIDANCE NOTES - MAIN HOOP BRACING SUPPORT</t>
  </si>
  <si>
    <t xml:space="preserve"> SES - T2.6.9 PERIMETER SHEAR TEST RESULTS</t>
  </si>
  <si>
    <t xml:space="preserve"> MONOCOQUE ATTACHMENTS GUIDANCE NOTES</t>
  </si>
  <si>
    <t>T2.17</t>
  </si>
  <si>
    <t>T2.18.5</t>
  </si>
  <si>
    <t xml:space="preserve"> STRUCTURAL EQUIVALENCY SPREADSHEET - HARNESS ATTACHMENT TEST RESULTS</t>
  </si>
  <si>
    <t>T3.5</t>
  </si>
  <si>
    <t>T2.6_Laminate</t>
  </si>
  <si>
    <t xml:space="preserve"> SES - LAMINATE TEST RESULTS</t>
  </si>
  <si>
    <t xml:space="preserve"> SES - STEEL TUBE TEST RESULTS</t>
  </si>
  <si>
    <t xml:space="preserve">- T2.6.3 Composite structures with different core thicknesses but otherwise identical </t>
  </si>
  <si>
    <t>construction may use material properties derived from a single test panel.</t>
  </si>
  <si>
    <t xml:space="preserve"> SES - COMPOSITE AIP LAMINATE TEST RESULTS</t>
  </si>
  <si>
    <t xml:space="preserve"> SES - COMPOSITE AIP RIG COMPLIANCE TEST RESULTS (OPTIONAL)</t>
  </si>
  <si>
    <t xml:space="preserve"> SES - COMPOSITE AIP PERIMETER SHEAR TEST RESULTS</t>
  </si>
  <si>
    <t>2018 FS Structural Equivalency Spreadsheet Guide</t>
  </si>
  <si>
    <t>First release for 2018 rules</t>
  </si>
  <si>
    <r>
      <t xml:space="preserve">In the event that the FS Technical Committee requests additional information or calculations, </t>
    </r>
    <r>
      <rPr>
        <b/>
        <sz val="10"/>
        <rFont val="Arial"/>
        <family val="2"/>
      </rPr>
      <t>teams have seven days from the date of request</t>
    </r>
    <r>
      <rPr>
        <sz val="10"/>
        <rFont val="Arial"/>
        <family val="2"/>
      </rPr>
      <t xml:space="preserve"> to submit the requested information.</t>
    </r>
  </si>
  <si>
    <t>BACK to COVER SHEET</t>
  </si>
  <si>
    <t>(This is for Front Bulkhead Support)</t>
  </si>
  <si>
    <t>(This is for  Side Impact Structure)</t>
  </si>
  <si>
    <t xml:space="preserve"> SES - OTHER MATERIAL "X" SHEAR TEST RESULTS</t>
  </si>
  <si>
    <t>Please use this sheet to prove your accumulator container design complies with Rule EV6.5.5/6</t>
  </si>
  <si>
    <t>Enter annotated images/drawings below showing your design complies with all requirements of EV6.5</t>
  </si>
  <si>
    <t>Enter proof of compliance with EV6.5 below</t>
  </si>
  <si>
    <t xml:space="preserve"> STRUCTURAL EQUIVALENCY SPREADSHEET - ACCUMULATOR CONTAINER</t>
  </si>
  <si>
    <t xml:space="preserve"> SES - EV6.5.6 LAMINATE TEST RESULTS - FLOOR</t>
  </si>
  <si>
    <t xml:space="preserve"> SES - EV6.5.6 LAMINATE TEST RESULTS - EXT. WALLS</t>
  </si>
  <si>
    <t xml:space="preserve"> SES - EV6.5.6 LAMINATE TEST RESULTS - INT. WALLS</t>
  </si>
  <si>
    <t xml:space="preserve"> SES - EV6.5.6 LAMINATE TEST RESULTS - COVER</t>
  </si>
  <si>
    <t xml:space="preserve"> SES - EV6.5.6 SHEAR TEST RESULTS - FLOOR</t>
  </si>
  <si>
    <t xml:space="preserve"> SES - EV6.5.6 SHEAR TEST RESULTS - EXT WALLS</t>
  </si>
  <si>
    <t xml:space="preserve"> SES - EV6.5.6 SHEAR TEST RESULTS - INT WALLS</t>
  </si>
  <si>
    <t xml:space="preserve"> SES - EV6.5.6 SHEAR TEST RESULTS - COVER</t>
  </si>
  <si>
    <t>For monocoques, that the structure in the chassis the bracket attaches to can withstand &gt;=20kN x the number of fasteners per bracket in any direction</t>
  </si>
  <si>
    <t>EV6.5.12</t>
  </si>
  <si>
    <t>EV6.5.1&amp;3</t>
  </si>
  <si>
    <t>EV6.5.5&amp;6</t>
  </si>
  <si>
    <t>EV5.4</t>
  </si>
  <si>
    <t>Welded Tube Insert Equivalency - required for all mandated tubes per T2.3.4 with drilled holes &gt; 4mm dia.</t>
  </si>
  <si>
    <t xml:space="preserve"> STRUCTURAL EQUIVALENCY SPREADSHEET - CONTINUATION TAB</t>
  </si>
  <si>
    <t>25,4</t>
  </si>
  <si>
    <t>Other 6</t>
  </si>
  <si>
    <t>Other 7</t>
  </si>
  <si>
    <t>Other 8</t>
  </si>
  <si>
    <t>Your Mat. 6</t>
  </si>
  <si>
    <t>Your Mat. 7</t>
  </si>
  <si>
    <t>Your Mat. 8</t>
  </si>
  <si>
    <t>Figure 3: Test setup - Steel tubes</t>
  </si>
  <si>
    <t>Figure 4: Load Deflection Curve - Steel Tubes</t>
  </si>
  <si>
    <t>Please enter your values in the yellow cells and paste all the images in the specific tabs which shows your entered values.</t>
  </si>
  <si>
    <t>SES - DIFFERENT LAYUP RIG COMPLIANCE TEST RESULTS (OPTIONAL)</t>
  </si>
  <si>
    <t>Tubes + composite</t>
  </si>
  <si>
    <t>SES - DIFFERENT LAYUP LAMINATE TEST RESULTS</t>
  </si>
  <si>
    <t xml:space="preserve"> SES - DIFFERENT LAYUP RIG COMPLIANCE TEST RESULTS (OPTIONAL)</t>
  </si>
  <si>
    <t>PERIMETER SHEAR TEST GUIDANCE NOTES</t>
  </si>
  <si>
    <t>Internal Combustion</t>
  </si>
  <si>
    <t>Your Mat.3</t>
  </si>
  <si>
    <t>Composite only</t>
  </si>
  <si>
    <t>(Determines Shear Strength for T2.16.2)</t>
  </si>
  <si>
    <t>(Determines Shear Strength for T2.15 where appropriate)</t>
  </si>
  <si>
    <t>Note: It is acceptable to use the derived properties from the T2.6 test elsewhere if -</t>
  </si>
  <si>
    <t>Tests must be completed with the requirements given in T3.5</t>
  </si>
  <si>
    <t>have a panel height greater than 320mm, panel heights greater than this will</t>
  </si>
  <si>
    <t>T2.14 /T2.6</t>
  </si>
  <si>
    <t>T2.15 /T2.6</t>
  </si>
  <si>
    <t>T2.11.5/T2.6</t>
  </si>
  <si>
    <t>The SES has been extensively tested, but if you think you have found a mistake in the document or have any questions on how to use the template please submit a question in the usual manner.</t>
  </si>
  <si>
    <t>you must fill out manually the columns at “Other X” in this Material Data Sheet TAB.</t>
  </si>
  <si>
    <t>● Steel properties based on SAE 1010 and are given in Rule T2.3.3 .  All steels are treated equally and are to use the above properties.</t>
  </si>
  <si>
    <t>● Results from extra physical test required by T2.6 should be entered in the "Other x" materials column as required.</t>
  </si>
  <si>
    <t xml:space="preserve">● If you are using TAB “T2.6 Different Layups” to create different/multiple composite layups other than your SIS-Layup from TAB “T2.6 Laminate Test”, </t>
  </si>
  <si>
    <t>Front Bulkhead -&gt; FBH</t>
  </si>
  <si>
    <t>Frint Bulkhead Support -&gt; FBHS</t>
  </si>
  <si>
    <t>Front Hoop Bracing -&gt; FHB</t>
  </si>
  <si>
    <t>Main Hoop Bracing Support -&gt; MHBS</t>
  </si>
  <si>
    <t>Shoulder Harness Bar -&gt; SHB</t>
  </si>
  <si>
    <t>Accumulator Container Protection Structure -&gt; ACPS</t>
  </si>
  <si>
    <t>Tractive System Protection Structure -&gt; TSPS</t>
  </si>
  <si>
    <t>the upper and lower member from front bulkhead back to the front hoop.</t>
  </si>
  <si>
    <t>For frame cars please add a picture in side view of the front frame and mark the upper member, the lower member and the diagonal member between</t>
  </si>
  <si>
    <t>All dimensions and units must follow the European SI System!</t>
  </si>
  <si>
    <t>This form must be completed and submitted by all teams no later than the date specified in the Action Deadlines on specific event website. The Technical Committee will review all submissions which deviate from the FS rules and reply with a decision about the requested deviation.  All requests will have a confirmation of receipt sent to the team.  Structural Equivalency Spreadsheets (SES) must be submitted electronically in Microsoft Excel Format (*.xls). The submissions must be named as follows: schoolname_ses.xls using the complete school name. Please submit as described in the Action Deadlines for each event.</t>
  </si>
  <si>
    <t xml:space="preserve"> FS 2018 STRUCTURAL EQUIVALENCY SPREADSHEET - CHASSIS PICTURES</t>
  </si>
  <si>
    <t>Please use the following abbreviations for your specific lamiante structure (Your Mat. "X")</t>
  </si>
  <si>
    <t>Figure 1: Test setup - Laminate Panel for Front Bulkhead Support</t>
  </si>
  <si>
    <t>Figure 2: Load Deflection Curve for Front Bulkhead Support</t>
  </si>
  <si>
    <r>
      <t xml:space="preserve">Figure 1: Test setup - Laminate Panel for </t>
    </r>
    <r>
      <rPr>
        <sz val="10"/>
        <color indexed="10"/>
        <rFont val="Verdana"/>
        <family val="2"/>
      </rPr>
      <t>vertical Side impact structure</t>
    </r>
  </si>
  <si>
    <r>
      <t xml:space="preserve">Figure 2: Load Deflection Curve for </t>
    </r>
    <r>
      <rPr>
        <sz val="10"/>
        <color indexed="10"/>
        <rFont val="Verdana"/>
        <family val="2"/>
      </rPr>
      <t>vertical Side impact structure</t>
    </r>
  </si>
  <si>
    <t>V1.1</t>
  </si>
  <si>
    <t>Corrected link in TAB "MaterialData"</t>
  </si>
  <si>
    <t>V1.2</t>
  </si>
  <si>
    <t>Corrected link in Tab "MaterialData" for calculating the shear strenght of the SIS</t>
  </si>
  <si>
    <t>Application of all possible materials given in the TAB "MaterialData" in the drop drown list in several TABS</t>
  </si>
  <si>
    <t>V1.3</t>
  </si>
  <si>
    <t>V1.3.1</t>
  </si>
  <si>
    <t>Corrected links</t>
  </si>
  <si>
    <r>
      <t>2018 FS</t>
    </r>
    <r>
      <rPr>
        <sz val="10"/>
        <rFont val="Arial"/>
        <family val="2"/>
      </rPr>
      <t xml:space="preserve"> STRUCTURAL EQUIVALENCY SPREADSHEET (SES) V1.3.1 - COVER SHEET</t>
    </r>
  </si>
  <si>
    <t>EPSA</t>
  </si>
  <si>
    <t>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</si>
</sst>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
    <numFmt numFmtId="166" formatCode="0.000E+00"/>
  </numFmts>
  <fonts count="41" x14ac:knownFonts="1">
    <font>
      <sz val="10"/>
      <name val="Arial"/>
    </font>
    <font>
      <sz val="10"/>
      <name val="Arial"/>
    </font>
    <font>
      <sz val="8"/>
      <name val="Arial"/>
      <family val="2"/>
    </font>
    <font>
      <b/>
      <sz val="10"/>
      <name val="Arial"/>
      <family val="2"/>
    </font>
    <font>
      <sz val="10"/>
      <name val="Arial"/>
      <family val="2"/>
    </font>
    <font>
      <b/>
      <sz val="10"/>
      <color indexed="10"/>
      <name val="Arial"/>
      <family val="2"/>
    </font>
    <font>
      <u/>
      <sz val="10"/>
      <color indexed="12"/>
      <name val="Arial"/>
      <family val="2"/>
    </font>
    <font>
      <b/>
      <sz val="12"/>
      <name val="Arial"/>
      <family val="2"/>
    </font>
    <font>
      <b/>
      <sz val="14"/>
      <name val="Arial"/>
      <family val="2"/>
    </font>
    <font>
      <sz val="10"/>
      <color indexed="12"/>
      <name val="Arial"/>
      <family val="2"/>
    </font>
    <font>
      <sz val="11"/>
      <color indexed="60"/>
      <name val="Calibri"/>
      <family val="2"/>
    </font>
    <font>
      <sz val="10"/>
      <name val="Verdana"/>
      <family val="2"/>
    </font>
    <font>
      <vertAlign val="subscript"/>
      <sz val="10"/>
      <name val="Verdana"/>
      <family val="2"/>
    </font>
    <font>
      <b/>
      <sz val="10"/>
      <name val="Verdana"/>
      <family val="2"/>
    </font>
    <font>
      <vertAlign val="superscript"/>
      <sz val="10"/>
      <name val="Verdana"/>
      <family val="2"/>
    </font>
    <font>
      <sz val="10"/>
      <color indexed="9"/>
      <name val="Verdana"/>
      <family val="2"/>
    </font>
    <font>
      <sz val="10"/>
      <color indexed="9"/>
      <name val="Arial"/>
      <family val="2"/>
    </font>
    <font>
      <sz val="9"/>
      <color indexed="81"/>
      <name val="Tahoma"/>
      <family val="2"/>
    </font>
    <font>
      <b/>
      <sz val="9"/>
      <color indexed="81"/>
      <name val="Tahoma"/>
      <family val="2"/>
    </font>
    <font>
      <vertAlign val="subscript"/>
      <sz val="8"/>
      <name val="Verdana"/>
      <family val="2"/>
    </font>
    <font>
      <sz val="8"/>
      <name val="Arial"/>
      <family val="2"/>
    </font>
    <font>
      <vertAlign val="subscript"/>
      <sz val="10"/>
      <name val="Arial"/>
      <family val="2"/>
    </font>
    <font>
      <b/>
      <sz val="9"/>
      <name val="Arial"/>
      <family val="2"/>
    </font>
    <font>
      <b/>
      <sz val="10"/>
      <name val="Arial"/>
      <family val="2"/>
    </font>
    <font>
      <sz val="10"/>
      <name val="Arial"/>
      <family val="2"/>
    </font>
    <font>
      <sz val="10"/>
      <color indexed="8"/>
      <name val="Arial"/>
      <family val="2"/>
    </font>
    <font>
      <sz val="10"/>
      <color indexed="10"/>
      <name val="Arial"/>
      <family val="2"/>
    </font>
    <font>
      <sz val="10"/>
      <name val="Arial"/>
      <family val="2"/>
    </font>
    <font>
      <sz val="8"/>
      <name val="Arial"/>
      <family val="2"/>
    </font>
    <font>
      <u/>
      <sz val="10"/>
      <color indexed="12"/>
      <name val="Arial"/>
      <family val="2"/>
    </font>
    <font>
      <b/>
      <sz val="10"/>
      <name val="Wingdings 2"/>
      <family val="1"/>
      <charset val="2"/>
    </font>
    <font>
      <b/>
      <sz val="10"/>
      <color indexed="10"/>
      <name val="Arial"/>
      <family val="2"/>
    </font>
    <font>
      <b/>
      <sz val="9"/>
      <color indexed="81"/>
      <name val="Segoe UI"/>
      <family val="2"/>
    </font>
    <font>
      <sz val="10"/>
      <color indexed="9"/>
      <name val="Arial"/>
      <family val="2"/>
    </font>
    <font>
      <sz val="10"/>
      <color indexed="9"/>
      <name val="Verdana"/>
      <family val="2"/>
    </font>
    <font>
      <sz val="10"/>
      <color indexed="10"/>
      <name val="Arial"/>
      <family val="2"/>
    </font>
    <font>
      <b/>
      <sz val="10"/>
      <color indexed="10"/>
      <name val="Arial"/>
      <family val="2"/>
    </font>
    <font>
      <sz val="10"/>
      <color indexed="10"/>
      <name val="Verdana"/>
      <family val="2"/>
    </font>
    <font>
      <b/>
      <sz val="10"/>
      <color indexed="10"/>
      <name val="Verdana"/>
      <family val="2"/>
    </font>
    <font>
      <sz val="10"/>
      <color indexed="10"/>
      <name val="Arial"/>
    </font>
    <font>
      <sz val="11"/>
      <color theme="1"/>
      <name val="Calibri"/>
      <family val="2"/>
      <scheme val="minor"/>
    </font>
  </fonts>
  <fills count="9">
    <fill>
      <patternFill patternType="none"/>
    </fill>
    <fill>
      <patternFill patternType="gray125"/>
    </fill>
    <fill>
      <patternFill patternType="solid">
        <fgColor indexed="43"/>
      </patternFill>
    </fill>
    <fill>
      <patternFill patternType="solid">
        <fgColor indexed="13"/>
        <bgColor indexed="64"/>
      </patternFill>
    </fill>
    <fill>
      <patternFill patternType="solid">
        <fgColor indexed="22"/>
        <bgColor indexed="64"/>
      </patternFill>
    </fill>
    <fill>
      <patternFill patternType="lightDown"/>
    </fill>
    <fill>
      <patternFill patternType="solid">
        <fgColor indexed="55"/>
        <bgColor indexed="64"/>
      </patternFill>
    </fill>
    <fill>
      <patternFill patternType="lightUp"/>
    </fill>
    <fill>
      <patternFill patternType="solid">
        <fgColor indexed="9"/>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7">
    <xf numFmtId="0" fontId="0" fillId="0" borderId="0"/>
    <xf numFmtId="0" fontId="6" fillId="0" borderId="0" applyNumberFormat="0" applyFill="0" applyBorder="0" applyAlignment="0" applyProtection="0">
      <alignment vertical="top"/>
      <protection locked="0"/>
    </xf>
    <xf numFmtId="0" fontId="10" fillId="2" borderId="0" applyNumberFormat="0" applyBorder="0" applyAlignment="0" applyProtection="0"/>
    <xf numFmtId="0" fontId="4" fillId="0" borderId="0"/>
    <xf numFmtId="0" fontId="40" fillId="0" borderId="0"/>
    <xf numFmtId="0" fontId="40" fillId="0" borderId="0"/>
    <xf numFmtId="0" fontId="4" fillId="0" borderId="0"/>
  </cellStyleXfs>
  <cellXfs count="791">
    <xf numFmtId="0" fontId="0" fillId="0" borderId="0" xfId="0"/>
    <xf numFmtId="0" fontId="0" fillId="0" borderId="0" xfId="0" applyBorder="1"/>
    <xf numFmtId="0" fontId="7" fillId="0" borderId="0" xfId="0" applyFont="1"/>
    <xf numFmtId="0" fontId="4" fillId="3" borderId="1" xfId="0" applyFont="1" applyFill="1" applyBorder="1" applyProtection="1">
      <protection locked="0"/>
    </xf>
    <xf numFmtId="0" fontId="0" fillId="0" borderId="2" xfId="0" applyBorder="1"/>
    <xf numFmtId="0" fontId="3" fillId="0" borderId="0" xfId="0" applyFont="1"/>
    <xf numFmtId="0" fontId="4" fillId="0" borderId="0" xfId="0" applyFont="1"/>
    <xf numFmtId="0" fontId="4" fillId="0" borderId="0" xfId="0" applyFont="1" applyAlignment="1">
      <alignment horizontal="left"/>
    </xf>
    <xf numFmtId="0" fontId="0" fillId="0" borderId="3" xfId="0" applyBorder="1"/>
    <xf numFmtId="0" fontId="0" fillId="0" borderId="3" xfId="0" applyBorder="1" applyAlignment="1">
      <alignment wrapText="1"/>
    </xf>
    <xf numFmtId="0" fontId="0" fillId="0" borderId="0" xfId="0" applyBorder="1" applyAlignment="1">
      <alignment wrapText="1"/>
    </xf>
    <xf numFmtId="0" fontId="0" fillId="0" borderId="4" xfId="0" applyBorder="1" applyAlignment="1">
      <alignment wrapText="1"/>
    </xf>
    <xf numFmtId="0" fontId="11" fillId="0" borderId="0" xfId="0" applyFont="1" applyBorder="1" applyAlignment="1"/>
    <xf numFmtId="0" fontId="11" fillId="0" borderId="3" xfId="0" applyFont="1" applyBorder="1" applyAlignment="1"/>
    <xf numFmtId="0" fontId="11" fillId="0" borderId="3" xfId="0" applyFont="1" applyBorder="1"/>
    <xf numFmtId="0" fontId="11" fillId="0" borderId="0" xfId="0" applyFont="1" applyBorder="1" applyAlignment="1">
      <alignment wrapText="1"/>
    </xf>
    <xf numFmtId="0" fontId="11" fillId="0" borderId="4" xfId="0" applyFont="1" applyBorder="1" applyAlignment="1">
      <alignment wrapText="1"/>
    </xf>
    <xf numFmtId="0" fontId="11" fillId="0" borderId="3" xfId="0" applyFont="1" applyBorder="1" applyAlignment="1">
      <alignment wrapText="1"/>
    </xf>
    <xf numFmtId="0" fontId="11" fillId="0" borderId="3" xfId="0" applyFont="1" applyBorder="1" applyAlignment="1">
      <alignment horizontal="right"/>
    </xf>
    <xf numFmtId="0" fontId="13" fillId="0" borderId="3" xfId="0" applyFont="1" applyBorder="1" applyAlignment="1">
      <alignment horizontal="left"/>
    </xf>
    <xf numFmtId="0" fontId="0" fillId="0" borderId="4" xfId="0" applyBorder="1"/>
    <xf numFmtId="0" fontId="0" fillId="0" borderId="1" xfId="0" applyBorder="1" applyAlignment="1">
      <alignment horizontal="center"/>
    </xf>
    <xf numFmtId="0" fontId="0" fillId="3" borderId="1" xfId="0" applyFill="1" applyBorder="1" applyProtection="1">
      <protection locked="0"/>
    </xf>
    <xf numFmtId="11" fontId="0" fillId="3" borderId="1" xfId="0" applyNumberFormat="1" applyFill="1" applyBorder="1" applyProtection="1">
      <protection locked="0"/>
    </xf>
    <xf numFmtId="0" fontId="0" fillId="3" borderId="5" xfId="0" applyFill="1" applyBorder="1" applyProtection="1">
      <protection locked="0"/>
    </xf>
    <xf numFmtId="0" fontId="0" fillId="3" borderId="2" xfId="0" applyFill="1" applyBorder="1" applyProtection="1">
      <protection locked="0"/>
    </xf>
    <xf numFmtId="0" fontId="0" fillId="3" borderId="6" xfId="0" applyFill="1" applyBorder="1" applyProtection="1">
      <protection locked="0"/>
    </xf>
    <xf numFmtId="0" fontId="0" fillId="3" borderId="3" xfId="0" applyFill="1" applyBorder="1" applyAlignment="1" applyProtection="1">
      <alignment wrapText="1"/>
      <protection locked="0"/>
    </xf>
    <xf numFmtId="0" fontId="0" fillId="3" borderId="0" xfId="0" applyFill="1" applyBorder="1" applyAlignment="1" applyProtection="1">
      <alignment wrapText="1"/>
      <protection locked="0"/>
    </xf>
    <xf numFmtId="0" fontId="0" fillId="3" borderId="4" xfId="0" applyFill="1" applyBorder="1" applyAlignment="1" applyProtection="1">
      <alignment wrapText="1"/>
      <protection locked="0"/>
    </xf>
    <xf numFmtId="0" fontId="0" fillId="3" borderId="3" xfId="0" applyFill="1" applyBorder="1" applyProtection="1">
      <protection locked="0"/>
    </xf>
    <xf numFmtId="0" fontId="0" fillId="3" borderId="0" xfId="0" applyFill="1" applyBorder="1" applyProtection="1">
      <protection locked="0"/>
    </xf>
    <xf numFmtId="0" fontId="0" fillId="3" borderId="4" xfId="0" applyFill="1" applyBorder="1" applyProtection="1">
      <protection locked="0"/>
    </xf>
    <xf numFmtId="0" fontId="11" fillId="3" borderId="0" xfId="0" applyFont="1" applyFill="1" applyBorder="1" applyAlignment="1" applyProtection="1">
      <protection locked="0"/>
    </xf>
    <xf numFmtId="0" fontId="0" fillId="3" borderId="7" xfId="0" applyFill="1" applyBorder="1" applyAlignment="1" applyProtection="1">
      <alignment wrapText="1"/>
      <protection locked="0"/>
    </xf>
    <xf numFmtId="0" fontId="0" fillId="3" borderId="8" xfId="0" applyFill="1" applyBorder="1" applyAlignment="1" applyProtection="1">
      <alignment wrapText="1"/>
      <protection locked="0"/>
    </xf>
    <xf numFmtId="0" fontId="0" fillId="3" borderId="8" xfId="0" applyFill="1" applyBorder="1" applyProtection="1">
      <protection locked="0"/>
    </xf>
    <xf numFmtId="0" fontId="0" fillId="3" borderId="9" xfId="0" applyFill="1" applyBorder="1" applyAlignment="1" applyProtection="1">
      <alignment wrapText="1"/>
      <protection locked="0"/>
    </xf>
    <xf numFmtId="0" fontId="0" fillId="3" borderId="7" xfId="0" applyFill="1" applyBorder="1" applyProtection="1">
      <protection locked="0"/>
    </xf>
    <xf numFmtId="0" fontId="0" fillId="3" borderId="9" xfId="0" applyFill="1" applyBorder="1" applyProtection="1">
      <protection locked="0"/>
    </xf>
    <xf numFmtId="0" fontId="0" fillId="3" borderId="5" xfId="0" applyFill="1" applyBorder="1" applyAlignment="1" applyProtection="1">
      <alignment wrapText="1"/>
      <protection locked="0"/>
    </xf>
    <xf numFmtId="0" fontId="0" fillId="3" borderId="2" xfId="0" applyFill="1" applyBorder="1" applyAlignment="1" applyProtection="1">
      <alignment wrapText="1"/>
      <protection locked="0"/>
    </xf>
    <xf numFmtId="0" fontId="0" fillId="3" borderId="6" xfId="0" applyFill="1" applyBorder="1" applyAlignment="1" applyProtection="1">
      <alignment wrapText="1"/>
      <protection locked="0"/>
    </xf>
    <xf numFmtId="0" fontId="0" fillId="3" borderId="0" xfId="0" applyFill="1" applyProtection="1">
      <protection locked="0"/>
    </xf>
    <xf numFmtId="0" fontId="0" fillId="4" borderId="1" xfId="0" applyFill="1" applyBorder="1" applyProtection="1"/>
    <xf numFmtId="0" fontId="4" fillId="4" borderId="1" xfId="0" applyFont="1" applyFill="1" applyBorder="1" applyProtection="1"/>
    <xf numFmtId="11" fontId="0" fillId="4" borderId="1" xfId="0" applyNumberFormat="1" applyFill="1" applyBorder="1" applyProtection="1"/>
    <xf numFmtId="164" fontId="0" fillId="4" borderId="1" xfId="0" applyNumberFormat="1" applyFill="1" applyBorder="1" applyProtection="1"/>
    <xf numFmtId="0" fontId="0" fillId="3" borderId="3" xfId="0" applyFill="1" applyBorder="1" applyAlignment="1" applyProtection="1">
      <protection locked="0"/>
    </xf>
    <xf numFmtId="0" fontId="0" fillId="3" borderId="0" xfId="0" applyFill="1" applyAlignment="1" applyProtection="1">
      <protection locked="0"/>
    </xf>
    <xf numFmtId="0" fontId="0" fillId="3" borderId="7" xfId="0" applyFill="1" applyBorder="1" applyAlignment="1" applyProtection="1">
      <protection locked="0"/>
    </xf>
    <xf numFmtId="0" fontId="0" fillId="3" borderId="8" xfId="0" applyFill="1" applyBorder="1" applyAlignment="1" applyProtection="1">
      <protection locked="0"/>
    </xf>
    <xf numFmtId="0" fontId="0" fillId="3" borderId="10" xfId="0" applyFill="1" applyBorder="1" applyProtection="1">
      <protection locked="0"/>
    </xf>
    <xf numFmtId="0" fontId="0" fillId="0" borderId="11" xfId="0" applyBorder="1"/>
    <xf numFmtId="164" fontId="0" fillId="0" borderId="1" xfId="0" applyNumberFormat="1" applyBorder="1" applyProtection="1"/>
    <xf numFmtId="0" fontId="7" fillId="0" borderId="0" xfId="0" applyFont="1" applyProtection="1"/>
    <xf numFmtId="0" fontId="0" fillId="0" borderId="0" xfId="0" applyProtection="1"/>
    <xf numFmtId="0" fontId="3" fillId="0" borderId="1" xfId="0" applyFont="1" applyBorder="1" applyProtection="1"/>
    <xf numFmtId="0" fontId="4" fillId="0" borderId="1" xfId="0" applyFont="1" applyBorder="1" applyProtection="1"/>
    <xf numFmtId="0" fontId="0" fillId="0" borderId="1" xfId="0" applyBorder="1" applyProtection="1"/>
    <xf numFmtId="11" fontId="0" fillId="0" borderId="0" xfId="0" applyNumberFormat="1" applyProtection="1"/>
    <xf numFmtId="2" fontId="0" fillId="0" borderId="0" xfId="0" applyNumberFormat="1" applyProtection="1"/>
    <xf numFmtId="164" fontId="0" fillId="0" borderId="1" xfId="0" applyNumberFormat="1" applyBorder="1" applyAlignment="1" applyProtection="1">
      <alignment horizontal="center"/>
    </xf>
    <xf numFmtId="1" fontId="0" fillId="0" borderId="0" xfId="0" applyNumberFormat="1" applyFill="1" applyAlignment="1" applyProtection="1">
      <alignment horizontal="center"/>
    </xf>
    <xf numFmtId="0" fontId="8" fillId="0" borderId="0" xfId="0" applyFont="1" applyProtection="1"/>
    <xf numFmtId="0" fontId="3" fillId="4" borderId="1" xfId="0" applyFont="1" applyFill="1" applyBorder="1" applyProtection="1"/>
    <xf numFmtId="0" fontId="0" fillId="4" borderId="1" xfId="0" applyFill="1" applyBorder="1" applyAlignment="1" applyProtection="1">
      <alignment horizontal="center"/>
    </xf>
    <xf numFmtId="0" fontId="16" fillId="0" borderId="0" xfId="0" applyFont="1" applyProtection="1"/>
    <xf numFmtId="0" fontId="0" fillId="3" borderId="0" xfId="0" applyFill="1" applyBorder="1" applyAlignment="1" applyProtection="1">
      <protection locked="0"/>
    </xf>
    <xf numFmtId="0" fontId="0" fillId="0" borderId="12" xfId="0" applyBorder="1" applyAlignment="1">
      <alignment horizontal="center"/>
    </xf>
    <xf numFmtId="11" fontId="0" fillId="0" borderId="13" xfId="0" applyNumberFormat="1" applyFill="1" applyBorder="1" applyProtection="1"/>
    <xf numFmtId="0" fontId="3" fillId="0" borderId="1" xfId="0" applyFont="1" applyBorder="1" applyAlignment="1" applyProtection="1">
      <alignment wrapText="1"/>
    </xf>
    <xf numFmtId="0" fontId="0" fillId="0" borderId="0" xfId="0" applyAlignment="1" applyProtection="1">
      <alignment wrapText="1"/>
    </xf>
    <xf numFmtId="0" fontId="0" fillId="0" borderId="0" xfId="0" applyFill="1" applyBorder="1" applyProtection="1"/>
    <xf numFmtId="0" fontId="0" fillId="0" borderId="1" xfId="0" applyBorder="1" applyAlignment="1" applyProtection="1">
      <alignment wrapText="1"/>
    </xf>
    <xf numFmtId="0" fontId="3" fillId="0" borderId="0" xfId="0" applyFont="1" applyFill="1" applyBorder="1" applyProtection="1"/>
    <xf numFmtId="164" fontId="0" fillId="3" borderId="1" xfId="0" applyNumberFormat="1" applyFill="1" applyBorder="1" applyProtection="1">
      <protection locked="0"/>
    </xf>
    <xf numFmtId="11" fontId="0" fillId="0" borderId="0" xfId="0" applyNumberFormat="1" applyFill="1" applyBorder="1" applyProtection="1"/>
    <xf numFmtId="0" fontId="0" fillId="0" borderId="3" xfId="0" applyFill="1" applyBorder="1" applyProtection="1"/>
    <xf numFmtId="0" fontId="0" fillId="0" borderId="4" xfId="0" applyBorder="1" applyAlignment="1" applyProtection="1">
      <alignment horizontal="center"/>
    </xf>
    <xf numFmtId="0" fontId="0" fillId="0" borderId="4" xfId="0" applyBorder="1" applyProtection="1"/>
    <xf numFmtId="11" fontId="0" fillId="0" borderId="4" xfId="0" applyNumberFormat="1" applyFill="1" applyBorder="1" applyProtection="1"/>
    <xf numFmtId="11" fontId="0" fillId="0" borderId="3" xfId="0" applyNumberFormat="1" applyFill="1" applyBorder="1" applyProtection="1"/>
    <xf numFmtId="0" fontId="3" fillId="0" borderId="11" xfId="0" applyFont="1" applyFill="1" applyBorder="1" applyProtection="1"/>
    <xf numFmtId="0" fontId="0" fillId="0" borderId="5" xfId="0" applyBorder="1"/>
    <xf numFmtId="11" fontId="0" fillId="0" borderId="6" xfId="0" applyNumberFormat="1" applyFill="1" applyBorder="1" applyAlignment="1" applyProtection="1">
      <alignment horizontal="center"/>
    </xf>
    <xf numFmtId="11" fontId="0" fillId="0" borderId="14" xfId="0" applyNumberFormat="1" applyFill="1" applyBorder="1" applyAlignment="1" applyProtection="1">
      <alignment horizontal="center"/>
    </xf>
    <xf numFmtId="0" fontId="0" fillId="0" borderId="11" xfId="0" applyFill="1" applyBorder="1" applyProtection="1"/>
    <xf numFmtId="11" fontId="0" fillId="0" borderId="1" xfId="0" applyNumberFormat="1" applyFill="1" applyBorder="1" applyAlignment="1" applyProtection="1">
      <alignment horizontal="center"/>
    </xf>
    <xf numFmtId="11" fontId="0" fillId="0" borderId="12" xfId="0" applyNumberFormat="1" applyFill="1" applyBorder="1" applyAlignment="1" applyProtection="1">
      <alignment horizontal="center"/>
    </xf>
    <xf numFmtId="0" fontId="4" fillId="0" borderId="11" xfId="0" applyFont="1" applyFill="1" applyBorder="1" applyProtection="1"/>
    <xf numFmtId="1" fontId="0" fillId="4" borderId="11" xfId="0" applyNumberFormat="1" applyFill="1" applyBorder="1" applyProtection="1"/>
    <xf numFmtId="1" fontId="0" fillId="4" borderId="1" xfId="0" applyNumberFormat="1" applyFill="1" applyBorder="1" applyProtection="1"/>
    <xf numFmtId="1" fontId="0" fillId="4" borderId="11" xfId="0" applyNumberFormat="1" applyFill="1" applyBorder="1"/>
    <xf numFmtId="0" fontId="15" fillId="0" borderId="3" xfId="0" applyFont="1" applyBorder="1"/>
    <xf numFmtId="0" fontId="0" fillId="0" borderId="0" xfId="0" applyFill="1" applyBorder="1" applyAlignment="1">
      <alignment horizontal="center"/>
    </xf>
    <xf numFmtId="0" fontId="0" fillId="0" borderId="0" xfId="0" applyFill="1"/>
    <xf numFmtId="0" fontId="0" fillId="0" borderId="0" xfId="0" applyFill="1" applyProtection="1"/>
    <xf numFmtId="0" fontId="0" fillId="0" borderId="0" xfId="0" applyFill="1" applyBorder="1"/>
    <xf numFmtId="0" fontId="0" fillId="0" borderId="1" xfId="0" applyFill="1" applyBorder="1" applyProtection="1"/>
    <xf numFmtId="11" fontId="0" fillId="0" borderId="0" xfId="0" applyNumberFormat="1" applyFill="1" applyBorder="1" applyAlignment="1" applyProtection="1">
      <alignment horizontal="center"/>
    </xf>
    <xf numFmtId="0" fontId="4" fillId="0" borderId="0" xfId="0" applyFont="1" applyFill="1" applyBorder="1" applyProtection="1"/>
    <xf numFmtId="1" fontId="0" fillId="0" borderId="0" xfId="0" applyNumberFormat="1" applyFill="1" applyBorder="1" applyProtection="1"/>
    <xf numFmtId="0" fontId="0" fillId="0" borderId="0" xfId="0" applyNumberFormat="1" applyFill="1" applyBorder="1" applyProtection="1"/>
    <xf numFmtId="0" fontId="0" fillId="0" borderId="0" xfId="0" applyFill="1" applyBorder="1" applyAlignment="1" applyProtection="1">
      <alignment horizontal="center"/>
    </xf>
    <xf numFmtId="0" fontId="0" fillId="0" borderId="0" xfId="0" applyBorder="1" applyProtection="1"/>
    <xf numFmtId="0" fontId="3" fillId="0" borderId="0" xfId="0" applyFont="1" applyBorder="1" applyProtection="1"/>
    <xf numFmtId="0" fontId="0" fillId="0" borderId="14" xfId="0" applyBorder="1" applyProtection="1"/>
    <xf numFmtId="0" fontId="0" fillId="4" borderId="11" xfId="0" applyFill="1" applyBorder="1" applyAlignment="1" applyProtection="1">
      <alignment horizontal="right"/>
    </xf>
    <xf numFmtId="0" fontId="0" fillId="0" borderId="13" xfId="0" applyBorder="1" applyProtection="1"/>
    <xf numFmtId="11" fontId="0" fillId="0" borderId="0" xfId="0" applyNumberFormat="1" applyBorder="1" applyProtection="1"/>
    <xf numFmtId="11" fontId="0" fillId="0" borderId="13" xfId="0" applyNumberFormat="1" applyBorder="1" applyProtection="1"/>
    <xf numFmtId="0" fontId="0" fillId="4" borderId="10" xfId="0" applyFill="1" applyBorder="1" applyProtection="1"/>
    <xf numFmtId="0" fontId="0" fillId="0" borderId="15" xfId="0" applyBorder="1" applyProtection="1"/>
    <xf numFmtId="0" fontId="0" fillId="4" borderId="1" xfId="0" applyFill="1" applyBorder="1" applyAlignment="1" applyProtection="1">
      <alignment horizontal="right"/>
    </xf>
    <xf numFmtId="11" fontId="0" fillId="4" borderId="1" xfId="0" applyNumberFormat="1" applyFill="1" applyBorder="1" applyAlignment="1" applyProtection="1">
      <alignment horizontal="right"/>
    </xf>
    <xf numFmtId="164" fontId="0" fillId="0" borderId="0" xfId="0" applyNumberFormat="1" applyBorder="1" applyProtection="1"/>
    <xf numFmtId="0" fontId="0" fillId="3" borderId="11" xfId="0" applyFill="1" applyBorder="1" applyProtection="1">
      <protection locked="0"/>
    </xf>
    <xf numFmtId="0" fontId="3" fillId="0" borderId="10" xfId="0" applyFont="1" applyBorder="1" applyProtection="1"/>
    <xf numFmtId="0" fontId="3" fillId="0" borderId="12" xfId="0" applyFont="1" applyBorder="1" applyAlignment="1" applyProtection="1">
      <alignment wrapText="1"/>
    </xf>
    <xf numFmtId="0" fontId="0" fillId="0" borderId="3" xfId="0" applyBorder="1" applyProtection="1"/>
    <xf numFmtId="0" fontId="0" fillId="0" borderId="11" xfId="0" applyBorder="1" applyProtection="1"/>
    <xf numFmtId="0" fontId="0" fillId="0" borderId="12" xfId="0" applyBorder="1" applyAlignment="1" applyProtection="1">
      <alignment horizontal="right"/>
    </xf>
    <xf numFmtId="0" fontId="0" fillId="0" borderId="7" xfId="0" applyBorder="1" applyProtection="1"/>
    <xf numFmtId="0" fontId="0" fillId="0" borderId="8" xfId="0" applyBorder="1" applyProtection="1"/>
    <xf numFmtId="0" fontId="0" fillId="0" borderId="9" xfId="0" applyBorder="1" applyProtection="1"/>
    <xf numFmtId="164" fontId="0" fillId="0" borderId="13" xfId="0" applyNumberFormat="1" applyBorder="1" applyProtection="1"/>
    <xf numFmtId="0" fontId="3" fillId="0" borderId="0" xfId="0" applyFont="1" applyProtection="1"/>
    <xf numFmtId="0" fontId="3" fillId="0" borderId="10" xfId="0" applyFont="1" applyBorder="1" applyAlignment="1" applyProtection="1">
      <alignment wrapText="1"/>
    </xf>
    <xf numFmtId="0" fontId="0" fillId="0" borderId="10" xfId="0" applyBorder="1" applyAlignment="1" applyProtection="1">
      <alignment horizontal="right"/>
    </xf>
    <xf numFmtId="0" fontId="11" fillId="0" borderId="3" xfId="0" applyFont="1" applyBorder="1" applyProtection="1"/>
    <xf numFmtId="0" fontId="0" fillId="0" borderId="0" xfId="0" applyBorder="1" applyAlignment="1" applyProtection="1">
      <alignment wrapText="1"/>
    </xf>
    <xf numFmtId="0" fontId="0" fillId="0" borderId="4" xfId="0" applyBorder="1" applyAlignment="1" applyProtection="1">
      <alignment wrapText="1"/>
    </xf>
    <xf numFmtId="0" fontId="11" fillId="0" borderId="0" xfId="0" applyFont="1" applyBorder="1" applyProtection="1"/>
    <xf numFmtId="0" fontId="11" fillId="0" borderId="4" xfId="0" applyFont="1" applyBorder="1" applyProtection="1"/>
    <xf numFmtId="0" fontId="11" fillId="0" borderId="3" xfId="0" applyFont="1" applyBorder="1" applyAlignment="1" applyProtection="1">
      <alignment horizontal="left"/>
    </xf>
    <xf numFmtId="0" fontId="11" fillId="0" borderId="0" xfId="0" applyFont="1" applyBorder="1" applyAlignment="1" applyProtection="1">
      <alignment wrapText="1"/>
    </xf>
    <xf numFmtId="0" fontId="11" fillId="0" borderId="4" xfId="0" applyFont="1" applyBorder="1" applyAlignment="1" applyProtection="1">
      <alignment wrapText="1"/>
    </xf>
    <xf numFmtId="0" fontId="11" fillId="0" borderId="0" xfId="0" applyFont="1" applyBorder="1" applyAlignment="1" applyProtection="1"/>
    <xf numFmtId="0" fontId="11" fillId="0" borderId="0" xfId="0" applyFont="1" applyBorder="1" applyAlignment="1" applyProtection="1">
      <alignment horizontal="right"/>
    </xf>
    <xf numFmtId="0" fontId="11" fillId="0" borderId="3" xfId="0" applyFont="1" applyBorder="1" applyAlignment="1" applyProtection="1">
      <alignment wrapText="1"/>
    </xf>
    <xf numFmtId="0" fontId="11" fillId="0" borderId="0" xfId="0" applyFont="1" applyAlignment="1" applyProtection="1">
      <alignment horizontal="right"/>
    </xf>
    <xf numFmtId="0" fontId="11" fillId="0" borderId="0" xfId="0" applyFont="1" applyProtection="1"/>
    <xf numFmtId="0" fontId="11" fillId="0" borderId="3" xfId="0" applyFont="1" applyBorder="1" applyAlignment="1" applyProtection="1"/>
    <xf numFmtId="0" fontId="11" fillId="0" borderId="4" xfId="0" applyFont="1" applyBorder="1" applyAlignment="1" applyProtection="1">
      <alignment horizontal="right"/>
    </xf>
    <xf numFmtId="0" fontId="11" fillId="0" borderId="3" xfId="0" applyFont="1" applyBorder="1" applyAlignment="1" applyProtection="1">
      <alignment horizontal="right"/>
    </xf>
    <xf numFmtId="0" fontId="11" fillId="0" borderId="0" xfId="0" applyFont="1" applyBorder="1" applyAlignment="1" applyProtection="1">
      <alignment horizontal="center"/>
    </xf>
    <xf numFmtId="0" fontId="13" fillId="0" borderId="3" xfId="0" applyFont="1" applyBorder="1" applyAlignment="1" applyProtection="1">
      <alignment horizontal="right"/>
    </xf>
    <xf numFmtId="0" fontId="11" fillId="0" borderId="7" xfId="0" applyFont="1" applyBorder="1" applyAlignment="1" applyProtection="1">
      <alignment wrapText="1"/>
    </xf>
    <xf numFmtId="0" fontId="2" fillId="0" borderId="8" xfId="0" applyFont="1" applyBorder="1" applyAlignment="1" applyProtection="1">
      <alignment horizontal="right"/>
    </xf>
    <xf numFmtId="0" fontId="11" fillId="0" borderId="8" xfId="0" applyFont="1" applyBorder="1" applyAlignment="1" applyProtection="1"/>
    <xf numFmtId="0" fontId="11" fillId="0" borderId="8" xfId="0" applyFont="1" applyBorder="1" applyAlignment="1" applyProtection="1">
      <alignment wrapText="1"/>
    </xf>
    <xf numFmtId="0" fontId="11" fillId="0" borderId="9" xfId="0" applyFont="1" applyBorder="1" applyAlignment="1" applyProtection="1">
      <alignment wrapText="1"/>
    </xf>
    <xf numFmtId="0" fontId="11" fillId="0" borderId="7" xfId="0" applyFont="1" applyBorder="1" applyProtection="1"/>
    <xf numFmtId="0" fontId="11" fillId="0" borderId="8" xfId="0" applyFont="1" applyBorder="1" applyProtection="1"/>
    <xf numFmtId="0" fontId="11" fillId="0" borderId="9" xfId="0" applyFont="1" applyBorder="1" applyProtection="1"/>
    <xf numFmtId="0" fontId="0" fillId="0" borderId="3" xfId="0" applyBorder="1" applyAlignment="1" applyProtection="1">
      <alignment wrapText="1"/>
    </xf>
    <xf numFmtId="0" fontId="11" fillId="0" borderId="0" xfId="0" applyFont="1" applyFill="1" applyBorder="1" applyAlignment="1" applyProtection="1">
      <alignment horizontal="center"/>
    </xf>
    <xf numFmtId="0" fontId="11" fillId="0" borderId="2" xfId="0" applyFont="1" applyFill="1" applyBorder="1" applyAlignment="1" applyProtection="1">
      <alignment horizontal="center"/>
    </xf>
    <xf numFmtId="1" fontId="0" fillId="3" borderId="11" xfId="0" applyNumberFormat="1" applyFill="1" applyBorder="1" applyProtection="1">
      <protection locked="0"/>
    </xf>
    <xf numFmtId="1" fontId="0" fillId="3" borderId="5" xfId="0" applyNumberFormat="1" applyFill="1" applyBorder="1" applyProtection="1">
      <protection locked="0"/>
    </xf>
    <xf numFmtId="0" fontId="0" fillId="3" borderId="11" xfId="0" applyNumberFormat="1" applyFill="1" applyBorder="1" applyProtection="1">
      <protection locked="0"/>
    </xf>
    <xf numFmtId="1" fontId="0" fillId="3" borderId="14" xfId="0" applyNumberFormat="1" applyFill="1" applyBorder="1" applyProtection="1">
      <protection locked="0"/>
    </xf>
    <xf numFmtId="0" fontId="0" fillId="3" borderId="1" xfId="0" applyNumberFormat="1" applyFill="1" applyBorder="1" applyProtection="1">
      <protection locked="0"/>
    </xf>
    <xf numFmtId="1" fontId="0" fillId="3" borderId="1" xfId="0" applyNumberFormat="1" applyFill="1" applyBorder="1" applyProtection="1">
      <protection locked="0"/>
    </xf>
    <xf numFmtId="0" fontId="0" fillId="3" borderId="1" xfId="0" applyFill="1" applyBorder="1" applyAlignment="1" applyProtection="1">
      <alignment horizontal="center"/>
      <protection locked="0"/>
    </xf>
    <xf numFmtId="0" fontId="0" fillId="0" borderId="0" xfId="0" applyProtection="1">
      <protection locked="0"/>
    </xf>
    <xf numFmtId="164" fontId="0" fillId="3" borderId="5" xfId="0" applyNumberFormat="1" applyFill="1" applyBorder="1" applyProtection="1">
      <protection locked="0"/>
    </xf>
    <xf numFmtId="164" fontId="0" fillId="3" borderId="14" xfId="0" applyNumberFormat="1" applyFill="1" applyBorder="1" applyProtection="1">
      <protection locked="0"/>
    </xf>
    <xf numFmtId="0" fontId="0" fillId="3" borderId="2" xfId="0" applyFill="1" applyBorder="1" applyAlignment="1" applyProtection="1">
      <alignment vertical="top" wrapText="1"/>
      <protection locked="0"/>
    </xf>
    <xf numFmtId="0" fontId="0" fillId="3" borderId="6" xfId="0" applyFill="1" applyBorder="1" applyAlignment="1" applyProtection="1">
      <alignment vertical="top" wrapText="1"/>
      <protection locked="0"/>
    </xf>
    <xf numFmtId="0" fontId="0" fillId="3" borderId="3" xfId="0" applyFill="1" applyBorder="1" applyAlignment="1" applyProtection="1">
      <alignment vertical="top" wrapText="1"/>
      <protection locked="0"/>
    </xf>
    <xf numFmtId="0" fontId="0" fillId="3" borderId="0" xfId="0" applyFill="1" applyBorder="1" applyAlignment="1" applyProtection="1">
      <alignment vertical="top" wrapText="1"/>
      <protection locked="0"/>
    </xf>
    <xf numFmtId="0" fontId="0" fillId="3" borderId="4" xfId="0" applyFill="1" applyBorder="1" applyAlignment="1" applyProtection="1">
      <alignment vertical="top" wrapText="1"/>
      <protection locked="0"/>
    </xf>
    <xf numFmtId="0" fontId="0" fillId="3" borderId="7" xfId="0" applyFill="1" applyBorder="1" applyAlignment="1" applyProtection="1">
      <alignment vertical="top" wrapText="1"/>
      <protection locked="0"/>
    </xf>
    <xf numFmtId="0" fontId="0" fillId="3" borderId="8" xfId="0" applyFill="1" applyBorder="1" applyAlignment="1" applyProtection="1">
      <alignment vertical="top" wrapText="1"/>
      <protection locked="0"/>
    </xf>
    <xf numFmtId="0" fontId="0" fillId="3" borderId="9" xfId="0" applyFill="1" applyBorder="1" applyAlignment="1" applyProtection="1">
      <alignment vertical="top" wrapText="1"/>
      <protection locked="0"/>
    </xf>
    <xf numFmtId="0" fontId="16" fillId="0" borderId="5" xfId="0" applyFont="1" applyBorder="1" applyAlignment="1" applyProtection="1">
      <alignment horizontal="center"/>
    </xf>
    <xf numFmtId="0" fontId="16" fillId="0" borderId="2" xfId="0" applyFont="1" applyBorder="1" applyAlignment="1" applyProtection="1">
      <alignment horizontal="center"/>
    </xf>
    <xf numFmtId="0" fontId="16" fillId="0" borderId="3" xfId="0" applyFont="1" applyBorder="1" applyAlignment="1" applyProtection="1">
      <alignment horizontal="center"/>
    </xf>
    <xf numFmtId="0" fontId="16" fillId="0" borderId="0" xfId="0" applyFont="1" applyBorder="1" applyAlignment="1" applyProtection="1">
      <alignment horizontal="center"/>
    </xf>
    <xf numFmtId="0" fontId="16" fillId="0" borderId="4" xfId="0" applyFont="1" applyBorder="1" applyAlignment="1" applyProtection="1">
      <alignment horizontal="center"/>
    </xf>
    <xf numFmtId="0" fontId="4" fillId="3" borderId="0" xfId="0" applyFont="1" applyFill="1" applyBorder="1" applyAlignment="1" applyProtection="1">
      <alignment vertical="top" wrapText="1"/>
      <protection locked="0"/>
    </xf>
    <xf numFmtId="0" fontId="0" fillId="0" borderId="0" xfId="0" applyFill="1" applyProtection="1">
      <protection locked="0"/>
    </xf>
    <xf numFmtId="11" fontId="0" fillId="0" borderId="0" xfId="0" applyNumberFormat="1" applyFill="1" applyProtection="1">
      <protection locked="0"/>
    </xf>
    <xf numFmtId="0" fontId="3" fillId="0" borderId="0" xfId="0" applyFont="1" applyFill="1" applyProtection="1">
      <protection locked="0"/>
    </xf>
    <xf numFmtId="0" fontId="4" fillId="0" borderId="0" xfId="0" applyFont="1" applyProtection="1"/>
    <xf numFmtId="0" fontId="11" fillId="0" borderId="8" xfId="0" applyFont="1" applyBorder="1" applyAlignment="1">
      <alignment wrapText="1"/>
    </xf>
    <xf numFmtId="0" fontId="11" fillId="0" borderId="9" xfId="0" applyFont="1" applyBorder="1" applyAlignment="1">
      <alignment wrapText="1"/>
    </xf>
    <xf numFmtId="0" fontId="4" fillId="0" borderId="0" xfId="0" applyFont="1" applyBorder="1" applyProtection="1"/>
    <xf numFmtId="0" fontId="7" fillId="0" borderId="0" xfId="3" applyFont="1" applyProtection="1"/>
    <xf numFmtId="0" fontId="4" fillId="0" borderId="0" xfId="3" applyProtection="1"/>
    <xf numFmtId="0" fontId="4" fillId="0" borderId="0" xfId="3" applyBorder="1" applyProtection="1"/>
    <xf numFmtId="0" fontId="3" fillId="0" borderId="1" xfId="3" applyFont="1" applyBorder="1" applyProtection="1"/>
    <xf numFmtId="0" fontId="3" fillId="0" borderId="0" xfId="3" applyFont="1" applyBorder="1" applyProtection="1"/>
    <xf numFmtId="0" fontId="3" fillId="0" borderId="10" xfId="3" applyFont="1" applyBorder="1" applyProtection="1"/>
    <xf numFmtId="0" fontId="4" fillId="0" borderId="1" xfId="3" applyFont="1" applyBorder="1" applyProtection="1"/>
    <xf numFmtId="0" fontId="4" fillId="4" borderId="1" xfId="3" applyFill="1" applyBorder="1" applyProtection="1"/>
    <xf numFmtId="0" fontId="4" fillId="3" borderId="1" xfId="3" applyFill="1" applyBorder="1" applyProtection="1">
      <protection locked="0"/>
    </xf>
    <xf numFmtId="0" fontId="4" fillId="3" borderId="10" xfId="3" applyFill="1" applyBorder="1" applyProtection="1">
      <protection locked="0"/>
    </xf>
    <xf numFmtId="0" fontId="4" fillId="0" borderId="13" xfId="3" applyBorder="1" applyProtection="1"/>
    <xf numFmtId="0" fontId="4" fillId="0" borderId="1" xfId="3" applyBorder="1" applyProtection="1"/>
    <xf numFmtId="11" fontId="4" fillId="0" borderId="0" xfId="3" applyNumberFormat="1" applyProtection="1"/>
    <xf numFmtId="0" fontId="4" fillId="0" borderId="1" xfId="3" applyFill="1" applyBorder="1" applyProtection="1"/>
    <xf numFmtId="0" fontId="4" fillId="0" borderId="0" xfId="3" applyNumberFormat="1" applyProtection="1"/>
    <xf numFmtId="2" fontId="4" fillId="0" borderId="0" xfId="3" applyNumberFormat="1" applyProtection="1"/>
    <xf numFmtId="164" fontId="4" fillId="4" borderId="1" xfId="0" applyNumberFormat="1" applyFont="1" applyFill="1" applyBorder="1" applyProtection="1"/>
    <xf numFmtId="11" fontId="33" fillId="0" borderId="0" xfId="0" applyNumberFormat="1" applyFont="1" applyProtection="1"/>
    <xf numFmtId="0" fontId="33" fillId="0" borderId="0" xfId="0" applyFont="1" applyBorder="1" applyProtection="1"/>
    <xf numFmtId="0" fontId="0" fillId="3" borderId="13" xfId="0" applyFill="1" applyBorder="1" applyProtection="1">
      <protection locked="0"/>
    </xf>
    <xf numFmtId="0" fontId="3" fillId="0" borderId="1" xfId="0" applyFont="1" applyFill="1" applyBorder="1" applyAlignment="1" applyProtection="1">
      <alignment horizontal="center"/>
    </xf>
    <xf numFmtId="0" fontId="3" fillId="0" borderId="1" xfId="0" applyFont="1" applyFill="1" applyBorder="1" applyProtection="1"/>
    <xf numFmtId="0" fontId="0" fillId="0" borderId="8" xfId="0" applyFill="1" applyBorder="1" applyProtection="1"/>
    <xf numFmtId="0" fontId="4" fillId="3" borderId="13" xfId="0" applyFont="1" applyFill="1" applyBorder="1" applyProtection="1">
      <protection locked="0"/>
    </xf>
    <xf numFmtId="0" fontId="4" fillId="3" borderId="13" xfId="0" applyFont="1" applyFill="1" applyBorder="1" applyAlignment="1" applyProtection="1">
      <alignment horizontal="center"/>
      <protection locked="0"/>
    </xf>
    <xf numFmtId="164" fontId="4" fillId="4" borderId="1" xfId="0" applyNumberFormat="1" applyFont="1" applyFill="1" applyBorder="1" applyAlignment="1" applyProtection="1">
      <alignment horizontal="right"/>
    </xf>
    <xf numFmtId="0" fontId="0" fillId="0" borderId="0" xfId="0" applyFill="1" applyAlignment="1" applyProtection="1">
      <alignment wrapText="1"/>
      <protection locked="0"/>
    </xf>
    <xf numFmtId="11" fontId="0" fillId="0" borderId="0" xfId="0" applyNumberFormat="1" applyFill="1" applyAlignment="1" applyProtection="1">
      <alignment wrapText="1"/>
      <protection locked="0"/>
    </xf>
    <xf numFmtId="2" fontId="0" fillId="0" borderId="0" xfId="0" applyNumberFormat="1" applyFill="1" applyProtection="1">
      <protection locked="0"/>
    </xf>
    <xf numFmtId="0" fontId="3" fillId="0" borderId="5" xfId="0" applyFont="1" applyFill="1" applyBorder="1" applyAlignment="1" applyProtection="1"/>
    <xf numFmtId="0" fontId="0" fillId="0" borderId="2" xfId="0" applyFill="1" applyBorder="1" applyAlignment="1" applyProtection="1"/>
    <xf numFmtId="0" fontId="0" fillId="0" borderId="6" xfId="0" applyFill="1" applyBorder="1" applyAlignment="1" applyProtection="1"/>
    <xf numFmtId="0" fontId="4" fillId="0" borderId="3" xfId="0" applyFont="1" applyFill="1" applyBorder="1" applyAlignment="1" applyProtection="1"/>
    <xf numFmtId="0" fontId="0" fillId="0" borderId="0" xfId="0" applyFill="1" applyBorder="1" applyAlignment="1" applyProtection="1"/>
    <xf numFmtId="0" fontId="0" fillId="0" borderId="4" xfId="0" applyFill="1" applyBorder="1" applyAlignment="1" applyProtection="1"/>
    <xf numFmtId="0" fontId="4" fillId="0" borderId="7" xfId="0" applyFont="1" applyFill="1" applyBorder="1" applyAlignment="1" applyProtection="1"/>
    <xf numFmtId="0" fontId="0" fillId="0" borderId="8" xfId="0" applyFill="1" applyBorder="1" applyAlignment="1" applyProtection="1"/>
    <xf numFmtId="0" fontId="0" fillId="0" borderId="9" xfId="0" applyFill="1" applyBorder="1" applyAlignment="1" applyProtection="1"/>
    <xf numFmtId="0" fontId="0" fillId="0" borderId="5" xfId="0" applyBorder="1" applyProtection="1"/>
    <xf numFmtId="0" fontId="0" fillId="5" borderId="5" xfId="0" applyFill="1" applyBorder="1" applyProtection="1"/>
    <xf numFmtId="0" fontId="0" fillId="5" borderId="2" xfId="0" applyFill="1" applyBorder="1" applyProtection="1"/>
    <xf numFmtId="0" fontId="0" fillId="5" borderId="6" xfId="0" applyFill="1" applyBorder="1" applyProtection="1"/>
    <xf numFmtId="0" fontId="0" fillId="5" borderId="3" xfId="0" applyFill="1" applyBorder="1" applyProtection="1"/>
    <xf numFmtId="0" fontId="0" fillId="5" borderId="7" xfId="0" applyFill="1" applyBorder="1" applyProtection="1"/>
    <xf numFmtId="0" fontId="0" fillId="5" borderId="8" xfId="0" applyFill="1" applyBorder="1" applyProtection="1"/>
    <xf numFmtId="11" fontId="0" fillId="5" borderId="8" xfId="0" applyNumberFormat="1" applyFill="1" applyBorder="1" applyProtection="1"/>
    <xf numFmtId="0" fontId="0" fillId="5" borderId="9" xfId="0" applyFill="1" applyBorder="1" applyProtection="1"/>
    <xf numFmtId="0" fontId="0" fillId="5" borderId="4" xfId="0" applyFill="1" applyBorder="1" applyProtection="1"/>
    <xf numFmtId="0" fontId="4" fillId="0" borderId="7" xfId="0" applyFont="1" applyBorder="1" applyAlignment="1" applyProtection="1">
      <alignment horizontal="center" vertical="center"/>
    </xf>
    <xf numFmtId="0" fontId="4" fillId="0" borderId="0" xfId="0" applyFont="1" applyAlignment="1" applyProtection="1">
      <alignment horizontal="right"/>
    </xf>
    <xf numFmtId="0" fontId="3" fillId="0" borderId="0" xfId="0" applyFont="1" applyFill="1" applyBorder="1" applyAlignment="1" applyProtection="1">
      <alignment vertical="center"/>
    </xf>
    <xf numFmtId="0" fontId="0" fillId="6" borderId="10" xfId="0" applyFill="1" applyBorder="1" applyProtection="1"/>
    <xf numFmtId="0" fontId="4" fillId="0" borderId="5" xfId="0" applyFont="1" applyFill="1" applyBorder="1" applyAlignment="1" applyProtection="1">
      <alignment vertical="top"/>
    </xf>
    <xf numFmtId="0" fontId="0" fillId="0" borderId="2" xfId="0" applyFill="1" applyBorder="1" applyAlignment="1" applyProtection="1">
      <alignment vertical="top" wrapText="1"/>
    </xf>
    <xf numFmtId="0" fontId="4" fillId="0" borderId="3" xfId="0" applyFont="1" applyFill="1" applyBorder="1" applyAlignment="1" applyProtection="1">
      <alignment vertical="top"/>
    </xf>
    <xf numFmtId="0" fontId="0" fillId="0" borderId="0" xfId="0" applyFill="1" applyBorder="1" applyAlignment="1" applyProtection="1">
      <alignment vertical="top" wrapText="1"/>
    </xf>
    <xf numFmtId="0" fontId="4" fillId="0" borderId="7" xfId="0" applyFont="1" applyFill="1" applyBorder="1" applyAlignment="1" applyProtection="1">
      <alignment vertical="top"/>
    </xf>
    <xf numFmtId="0" fontId="0" fillId="0" borderId="8" xfId="0" applyFill="1" applyBorder="1" applyAlignment="1" applyProtection="1">
      <alignment vertical="top" wrapText="1"/>
    </xf>
    <xf numFmtId="0" fontId="0" fillId="0" borderId="6" xfId="0" applyFill="1" applyBorder="1" applyAlignment="1" applyProtection="1">
      <alignment vertical="top" wrapText="1"/>
    </xf>
    <xf numFmtId="0" fontId="0" fillId="0" borderId="4" xfId="0" applyFill="1" applyBorder="1" applyAlignment="1" applyProtection="1">
      <alignment vertical="top" wrapText="1"/>
    </xf>
    <xf numFmtId="0" fontId="0" fillId="0" borderId="0" xfId="0" applyAlignment="1" applyProtection="1">
      <alignment horizontal="right"/>
    </xf>
    <xf numFmtId="11" fontId="0" fillId="0" borderId="0" xfId="0" applyNumberFormat="1" applyAlignment="1" applyProtection="1">
      <alignment horizontal="right"/>
    </xf>
    <xf numFmtId="165" fontId="0" fillId="0" borderId="0" xfId="0" applyNumberFormat="1" applyProtection="1"/>
    <xf numFmtId="0" fontId="0" fillId="0" borderId="6" xfId="0" applyBorder="1" applyProtection="1"/>
    <xf numFmtId="0" fontId="0" fillId="0" borderId="12" xfId="0" applyBorder="1" applyProtection="1"/>
    <xf numFmtId="0" fontId="0" fillId="0" borderId="2" xfId="0" applyBorder="1" applyProtection="1"/>
    <xf numFmtId="0" fontId="0" fillId="0" borderId="13" xfId="0" applyBorder="1" applyAlignment="1" applyProtection="1">
      <alignment horizontal="center"/>
    </xf>
    <xf numFmtId="0" fontId="0" fillId="0" borderId="10" xfId="0" applyBorder="1" applyAlignment="1" applyProtection="1">
      <alignment horizontal="center"/>
    </xf>
    <xf numFmtId="0" fontId="4" fillId="0" borderId="0" xfId="0" applyFont="1" applyAlignment="1">
      <alignment horizontal="center"/>
    </xf>
    <xf numFmtId="0" fontId="3" fillId="0" borderId="0" xfId="0" applyFont="1" applyAlignment="1" applyProtection="1">
      <alignment horizontal="center"/>
    </xf>
    <xf numFmtId="0" fontId="0" fillId="0" borderId="0" xfId="0" applyAlignment="1">
      <alignment horizontal="left" wrapText="1"/>
    </xf>
    <xf numFmtId="0" fontId="4" fillId="3" borderId="0" xfId="0" applyFont="1" applyFill="1" applyBorder="1" applyAlignment="1" applyProtection="1">
      <protection locked="0"/>
    </xf>
    <xf numFmtId="0" fontId="4" fillId="3" borderId="3" xfId="0" applyFont="1" applyFill="1" applyBorder="1" applyProtection="1">
      <protection locked="0"/>
    </xf>
    <xf numFmtId="0" fontId="4" fillId="0" borderId="8" xfId="0" applyFont="1" applyBorder="1" applyAlignment="1" applyProtection="1"/>
    <xf numFmtId="0" fontId="4" fillId="0" borderId="1" xfId="0" applyFont="1" applyFill="1" applyBorder="1" applyProtection="1"/>
    <xf numFmtId="2" fontId="0" fillId="4" borderId="1" xfId="0" applyNumberFormat="1" applyFill="1" applyBorder="1" applyProtection="1"/>
    <xf numFmtId="11" fontId="0" fillId="6" borderId="1" xfId="0" applyNumberFormat="1" applyFill="1" applyBorder="1" applyProtection="1"/>
    <xf numFmtId="49" fontId="4" fillId="3" borderId="0" xfId="0" applyNumberFormat="1" applyFont="1" applyFill="1" applyBorder="1" applyAlignment="1" applyProtection="1">
      <protection locked="0"/>
    </xf>
    <xf numFmtId="0" fontId="4" fillId="3" borderId="0" xfId="0" applyFont="1" applyFill="1" applyBorder="1" applyProtection="1">
      <protection locked="0"/>
    </xf>
    <xf numFmtId="0" fontId="3" fillId="0" borderId="1" xfId="0" applyFont="1" applyBorder="1" applyAlignment="1" applyProtection="1">
      <alignment horizontal="center"/>
    </xf>
    <xf numFmtId="0" fontId="6" fillId="0" borderId="0" xfId="1" applyFill="1" applyBorder="1" applyAlignment="1" applyProtection="1"/>
    <xf numFmtId="0" fontId="0" fillId="0" borderId="3" xfId="0" applyFill="1" applyBorder="1" applyAlignment="1" applyProtection="1">
      <protection locked="0"/>
    </xf>
    <xf numFmtId="0" fontId="0" fillId="0" borderId="0" xfId="0" applyFill="1" applyBorder="1" applyAlignment="1" applyProtection="1">
      <protection locked="0"/>
    </xf>
    <xf numFmtId="0" fontId="0" fillId="0" borderId="4" xfId="0" applyFill="1" applyBorder="1" applyAlignment="1" applyProtection="1">
      <protection locked="0"/>
    </xf>
    <xf numFmtId="0" fontId="0" fillId="0" borderId="7" xfId="0" applyFill="1" applyBorder="1" applyAlignment="1" applyProtection="1">
      <protection locked="0"/>
    </xf>
    <xf numFmtId="0" fontId="0" fillId="0" borderId="8" xfId="0" applyFill="1" applyBorder="1" applyAlignment="1" applyProtection="1">
      <protection locked="0"/>
    </xf>
    <xf numFmtId="0" fontId="0" fillId="0" borderId="9" xfId="0" applyFill="1" applyBorder="1" applyAlignment="1" applyProtection="1">
      <protection locked="0"/>
    </xf>
    <xf numFmtId="0" fontId="0" fillId="0" borderId="5" xfId="0" applyFill="1" applyBorder="1" applyProtection="1">
      <protection locked="0"/>
    </xf>
    <xf numFmtId="0" fontId="0" fillId="0" borderId="2" xfId="0" applyFill="1" applyBorder="1" applyProtection="1">
      <protection locked="0"/>
    </xf>
    <xf numFmtId="0" fontId="0" fillId="0" borderId="6" xfId="0" applyFill="1" applyBorder="1" applyProtection="1">
      <protection locked="0"/>
    </xf>
    <xf numFmtId="0" fontId="11" fillId="0" borderId="3" xfId="0" applyFont="1" applyBorder="1" applyAlignment="1" applyProtection="1">
      <alignment horizontal="right" wrapText="1"/>
    </xf>
    <xf numFmtId="0" fontId="11" fillId="0" borderId="0" xfId="0" applyFont="1" applyBorder="1" applyAlignment="1" applyProtection="1">
      <alignment horizontal="right" wrapText="1"/>
    </xf>
    <xf numFmtId="0" fontId="11" fillId="0" borderId="0" xfId="0" applyFont="1"/>
    <xf numFmtId="0" fontId="11" fillId="0" borderId="0" xfId="0" applyFont="1" applyFill="1" applyBorder="1" applyAlignment="1" applyProtection="1">
      <protection locked="0"/>
    </xf>
    <xf numFmtId="0" fontId="4" fillId="0" borderId="0" xfId="0" applyFont="1" applyAlignment="1" applyProtection="1">
      <alignment horizontal="left"/>
    </xf>
    <xf numFmtId="0" fontId="4" fillId="0" borderId="0" xfId="0" applyFont="1" applyBorder="1" applyAlignment="1" applyProtection="1">
      <alignment horizontal="right"/>
    </xf>
    <xf numFmtId="0" fontId="0" fillId="6" borderId="1" xfId="0" applyFill="1" applyBorder="1" applyAlignment="1" applyProtection="1">
      <alignment horizontal="center"/>
    </xf>
    <xf numFmtId="0" fontId="0" fillId="6" borderId="1" xfId="0" applyFill="1" applyBorder="1" applyProtection="1"/>
    <xf numFmtId="166" fontId="0" fillId="6" borderId="1" xfId="0" applyNumberFormat="1" applyFill="1" applyBorder="1" applyProtection="1"/>
    <xf numFmtId="0" fontId="0" fillId="0" borderId="0" xfId="0" applyAlignment="1" applyProtection="1"/>
    <xf numFmtId="2" fontId="0" fillId="0" borderId="1" xfId="0" applyNumberFormat="1" applyBorder="1" applyProtection="1"/>
    <xf numFmtId="0" fontId="0" fillId="0" borderId="1" xfId="0" applyFont="1" applyFill="1" applyBorder="1" applyProtection="1"/>
    <xf numFmtId="0" fontId="0" fillId="0" borderId="0" xfId="0" applyNumberFormat="1" applyProtection="1"/>
    <xf numFmtId="0" fontId="4" fillId="0" borderId="0" xfId="0" applyFont="1" applyBorder="1" applyAlignment="1" applyProtection="1"/>
    <xf numFmtId="0" fontId="4" fillId="6" borderId="1" xfId="0" applyFont="1" applyFill="1" applyBorder="1" applyProtection="1"/>
    <xf numFmtId="11" fontId="4" fillId="6" borderId="1" xfId="0" applyNumberFormat="1" applyFont="1" applyFill="1" applyBorder="1" applyAlignment="1" applyProtection="1">
      <alignment horizontal="center"/>
    </xf>
    <xf numFmtId="11" fontId="0" fillId="4" borderId="11" xfId="0" applyNumberFormat="1" applyFill="1" applyBorder="1" applyProtection="1"/>
    <xf numFmtId="164" fontId="0" fillId="0" borderId="1" xfId="0" applyNumberFormat="1" applyBorder="1" applyAlignment="1" applyProtection="1">
      <alignment horizontal="right"/>
    </xf>
    <xf numFmtId="0" fontId="6" fillId="0" borderId="0" xfId="1" applyAlignment="1" applyProtection="1"/>
    <xf numFmtId="1" fontId="11" fillId="0" borderId="0" xfId="0" applyNumberFormat="1" applyFont="1" applyBorder="1" applyProtection="1"/>
    <xf numFmtId="0" fontId="11" fillId="0" borderId="0" xfId="0" applyFont="1" applyFill="1" applyBorder="1" applyAlignment="1" applyProtection="1">
      <alignment horizontal="center" wrapText="1"/>
      <protection locked="0"/>
    </xf>
    <xf numFmtId="0" fontId="11" fillId="0" borderId="0" xfId="0" applyFont="1" applyFill="1" applyBorder="1" applyAlignment="1" applyProtection="1">
      <alignment horizontal="right" wrapText="1"/>
    </xf>
    <xf numFmtId="0" fontId="11" fillId="0" borderId="0" xfId="0" applyFont="1" applyFill="1" applyBorder="1" applyProtection="1"/>
    <xf numFmtId="0" fontId="11" fillId="0" borderId="0" xfId="0" applyFont="1" applyFill="1" applyBorder="1" applyAlignment="1" applyProtection="1">
      <alignment horizontal="right"/>
    </xf>
    <xf numFmtId="0" fontId="3" fillId="0" borderId="0" xfId="0" applyFont="1" applyFill="1" applyBorder="1" applyAlignment="1" applyProtection="1">
      <alignment horizontal="center"/>
    </xf>
    <xf numFmtId="0" fontId="11" fillId="0" borderId="0" xfId="0" applyFont="1" applyFill="1" applyBorder="1" applyAlignment="1" applyProtection="1">
      <alignment wrapText="1"/>
    </xf>
    <xf numFmtId="0" fontId="11" fillId="0" borderId="4" xfId="0" applyFont="1" applyFill="1" applyBorder="1" applyAlignment="1" applyProtection="1">
      <alignment wrapText="1"/>
    </xf>
    <xf numFmtId="0" fontId="11" fillId="0" borderId="3" xfId="0" applyFont="1" applyFill="1" applyBorder="1" applyAlignment="1" applyProtection="1">
      <alignment horizontal="right" wrapText="1"/>
    </xf>
    <xf numFmtId="0" fontId="11" fillId="0" borderId="3" xfId="0" applyFont="1" applyFill="1" applyBorder="1" applyAlignment="1" applyProtection="1">
      <alignment horizontal="left"/>
    </xf>
    <xf numFmtId="0" fontId="13" fillId="3" borderId="3" xfId="0" applyFont="1" applyFill="1" applyBorder="1" applyProtection="1">
      <protection locked="0"/>
    </xf>
    <xf numFmtId="0" fontId="0" fillId="3" borderId="4" xfId="0" applyFill="1" applyBorder="1" applyAlignment="1" applyProtection="1">
      <protection locked="0"/>
    </xf>
    <xf numFmtId="0" fontId="0" fillId="3" borderId="9" xfId="0" applyFill="1" applyBorder="1" applyAlignment="1" applyProtection="1">
      <protection locked="0"/>
    </xf>
    <xf numFmtId="0" fontId="0" fillId="3" borderId="5" xfId="0" applyFill="1" applyBorder="1" applyAlignment="1" applyProtection="1">
      <protection locked="0"/>
    </xf>
    <xf numFmtId="0" fontId="0" fillId="3" borderId="2" xfId="0" applyFill="1" applyBorder="1" applyAlignment="1" applyProtection="1">
      <protection locked="0"/>
    </xf>
    <xf numFmtId="0" fontId="0" fillId="3" borderId="6" xfId="0" applyFill="1" applyBorder="1" applyAlignment="1" applyProtection="1">
      <protection locked="0"/>
    </xf>
    <xf numFmtId="0" fontId="33" fillId="0" borderId="3" xfId="0" applyFont="1" applyBorder="1"/>
    <xf numFmtId="0" fontId="0" fillId="0" borderId="0" xfId="0" applyFill="1" applyBorder="1" applyAlignment="1" applyProtection="1">
      <alignment horizontal="center"/>
      <protection locked="0"/>
    </xf>
    <xf numFmtId="0" fontId="3" fillId="0" borderId="0" xfId="0" applyFont="1" applyFill="1" applyBorder="1" applyAlignment="1" applyProtection="1">
      <alignment horizontal="left"/>
      <protection locked="0"/>
    </xf>
    <xf numFmtId="0" fontId="11" fillId="3" borderId="0" xfId="0" applyFont="1" applyFill="1" applyBorder="1" applyProtection="1">
      <protection locked="0"/>
    </xf>
    <xf numFmtId="0" fontId="11" fillId="3" borderId="0" xfId="0" quotePrefix="1" applyFont="1" applyFill="1" applyBorder="1" applyAlignment="1" applyProtection="1">
      <protection locked="0"/>
    </xf>
    <xf numFmtId="0" fontId="11" fillId="3" borderId="0" xfId="0" quotePrefix="1" applyFont="1" applyFill="1" applyBorder="1" applyProtection="1">
      <protection locked="0"/>
    </xf>
    <xf numFmtId="164" fontId="0" fillId="0" borderId="3" xfId="0" applyNumberFormat="1" applyFill="1" applyBorder="1" applyProtection="1"/>
    <xf numFmtId="0" fontId="0" fillId="0" borderId="3" xfId="0" applyNumberFormat="1" applyFill="1" applyBorder="1" applyProtection="1"/>
    <xf numFmtId="1" fontId="0" fillId="0" borderId="3" xfId="0" applyNumberFormat="1" applyFill="1" applyBorder="1" applyProtection="1"/>
    <xf numFmtId="1" fontId="0" fillId="6" borderId="11" xfId="0" applyNumberFormat="1" applyFill="1" applyBorder="1" applyProtection="1"/>
    <xf numFmtId="164" fontId="0" fillId="6" borderId="11" xfId="0" applyNumberFormat="1" applyFill="1" applyBorder="1" applyProtection="1"/>
    <xf numFmtId="0" fontId="0" fillId="3" borderId="3" xfId="0" applyFill="1" applyBorder="1" applyAlignment="1" applyProtection="1">
      <alignment vertical="top"/>
      <protection locked="0"/>
    </xf>
    <xf numFmtId="0" fontId="0" fillId="3" borderId="0" xfId="0" applyFill="1" applyBorder="1" applyAlignment="1" applyProtection="1">
      <alignment vertical="top"/>
      <protection locked="0"/>
    </xf>
    <xf numFmtId="0" fontId="0" fillId="3" borderId="4" xfId="0" applyFill="1" applyBorder="1" applyAlignment="1" applyProtection="1">
      <alignment vertical="top"/>
      <protection locked="0"/>
    </xf>
    <xf numFmtId="0" fontId="4" fillId="3" borderId="0" xfId="0" applyFont="1" applyFill="1" applyBorder="1" applyAlignment="1" applyProtection="1">
      <alignment vertical="top"/>
      <protection locked="0"/>
    </xf>
    <xf numFmtId="11" fontId="0" fillId="6" borderId="0" xfId="0" applyNumberFormat="1" applyFill="1" applyBorder="1" applyProtection="1"/>
    <xf numFmtId="11" fontId="4" fillId="4" borderId="1" xfId="0" applyNumberFormat="1" applyFont="1" applyFill="1" applyBorder="1" applyAlignment="1" applyProtection="1">
      <alignment horizontal="center"/>
    </xf>
    <xf numFmtId="11" fontId="0" fillId="4" borderId="1" xfId="0" applyNumberFormat="1" applyFill="1" applyBorder="1" applyAlignment="1" applyProtection="1">
      <alignment horizontal="center"/>
    </xf>
    <xf numFmtId="0" fontId="0" fillId="0" borderId="0" xfId="0" applyFill="1" applyBorder="1" applyAlignment="1" applyProtection="1">
      <alignment vertical="top"/>
    </xf>
    <xf numFmtId="0" fontId="0" fillId="0" borderId="3" xfId="0" applyFill="1" applyBorder="1" applyAlignment="1" applyProtection="1">
      <alignment vertical="top"/>
    </xf>
    <xf numFmtId="0" fontId="0" fillId="0" borderId="0" xfId="0" applyFill="1" applyBorder="1" applyAlignment="1" applyProtection="1">
      <alignment horizontal="center" vertical="top"/>
    </xf>
    <xf numFmtId="0" fontId="4" fillId="0" borderId="0" xfId="0" applyFont="1" applyFill="1" applyBorder="1" applyAlignment="1" applyProtection="1">
      <alignment vertical="top"/>
    </xf>
    <xf numFmtId="0" fontId="0" fillId="0" borderId="4" xfId="0" applyFill="1" applyBorder="1" applyAlignment="1" applyProtection="1">
      <alignment vertical="top"/>
    </xf>
    <xf numFmtId="0" fontId="4" fillId="0" borderId="0" xfId="0" applyFont="1" applyFill="1" applyBorder="1" applyAlignment="1" applyProtection="1">
      <alignment horizontal="left" vertical="top"/>
    </xf>
    <xf numFmtId="0" fontId="0" fillId="0" borderId="8" xfId="0" applyFill="1" applyBorder="1" applyAlignment="1" applyProtection="1">
      <alignment vertical="top"/>
    </xf>
    <xf numFmtId="0" fontId="4" fillId="0" borderId="8" xfId="0" applyFont="1" applyFill="1" applyBorder="1" applyAlignment="1" applyProtection="1">
      <alignment vertical="top"/>
    </xf>
    <xf numFmtId="0" fontId="0" fillId="0" borderId="9" xfId="0" applyFill="1" applyBorder="1" applyAlignment="1" applyProtection="1">
      <alignment vertical="top"/>
    </xf>
    <xf numFmtId="2" fontId="0" fillId="0" borderId="1" xfId="0" applyNumberFormat="1" applyBorder="1" applyAlignment="1" applyProtection="1">
      <alignment horizontal="center"/>
    </xf>
    <xf numFmtId="0" fontId="0" fillId="6" borderId="1" xfId="0" applyFill="1" applyBorder="1" applyAlignment="1" applyProtection="1">
      <alignment horizontal="right"/>
    </xf>
    <xf numFmtId="1" fontId="0" fillId="3" borderId="1" xfId="0" applyNumberFormat="1" applyFill="1" applyBorder="1" applyAlignment="1" applyProtection="1">
      <alignment horizontal="center"/>
      <protection locked="0"/>
    </xf>
    <xf numFmtId="0" fontId="4" fillId="0" borderId="0" xfId="0" applyFont="1" applyAlignment="1">
      <alignment horizontal="right"/>
    </xf>
    <xf numFmtId="11" fontId="3" fillId="0" borderId="11" xfId="0" applyNumberFormat="1" applyFont="1" applyFill="1" applyBorder="1" applyAlignment="1" applyProtection="1">
      <alignment horizontal="center"/>
    </xf>
    <xf numFmtId="0" fontId="0" fillId="3" borderId="0" xfId="0" applyFill="1"/>
    <xf numFmtId="11" fontId="34" fillId="0" borderId="0" xfId="0" applyNumberFormat="1" applyFont="1" applyBorder="1" applyProtection="1"/>
    <xf numFmtId="0" fontId="3" fillId="0" borderId="0" xfId="0" applyFont="1" applyAlignment="1" applyProtection="1">
      <alignment horizontal="right"/>
    </xf>
    <xf numFmtId="0" fontId="4" fillId="0" borderId="0" xfId="3"/>
    <xf numFmtId="0" fontId="4" fillId="3" borderId="5" xfId="3" applyFill="1" applyBorder="1" applyAlignment="1" applyProtection="1">
      <alignment wrapText="1"/>
      <protection locked="0"/>
    </xf>
    <xf numFmtId="0" fontId="4" fillId="3" borderId="2" xfId="3" applyFill="1" applyBorder="1" applyAlignment="1" applyProtection="1">
      <alignment wrapText="1"/>
      <protection locked="0"/>
    </xf>
    <xf numFmtId="0" fontId="4" fillId="3" borderId="6" xfId="3" applyFill="1" applyBorder="1" applyAlignment="1" applyProtection="1">
      <alignment wrapText="1"/>
      <protection locked="0"/>
    </xf>
    <xf numFmtId="0" fontId="4" fillId="3" borderId="3" xfId="3" applyFill="1" applyBorder="1" applyAlignment="1" applyProtection="1">
      <alignment wrapText="1"/>
      <protection locked="0"/>
    </xf>
    <xf numFmtId="0" fontId="4" fillId="3" borderId="0" xfId="3" applyFill="1" applyBorder="1" applyAlignment="1" applyProtection="1">
      <alignment wrapText="1"/>
      <protection locked="0"/>
    </xf>
    <xf numFmtId="0" fontId="4" fillId="3" borderId="4" xfId="3" applyFill="1" applyBorder="1" applyAlignment="1" applyProtection="1">
      <alignment wrapText="1"/>
      <protection locked="0"/>
    </xf>
    <xf numFmtId="0" fontId="4" fillId="3" borderId="0" xfId="3" applyFill="1" applyBorder="1" applyProtection="1">
      <protection locked="0"/>
    </xf>
    <xf numFmtId="0" fontId="11" fillId="3" borderId="0" xfId="3" applyFont="1" applyFill="1" applyBorder="1" applyAlignment="1" applyProtection="1">
      <protection locked="0"/>
    </xf>
    <xf numFmtId="0" fontId="4" fillId="3" borderId="7" xfId="3" applyFill="1" applyBorder="1" applyAlignment="1" applyProtection="1">
      <alignment wrapText="1"/>
      <protection locked="0"/>
    </xf>
    <xf numFmtId="0" fontId="4" fillId="3" borderId="8" xfId="3" applyFill="1" applyBorder="1" applyAlignment="1" applyProtection="1">
      <alignment wrapText="1"/>
      <protection locked="0"/>
    </xf>
    <xf numFmtId="0" fontId="4" fillId="3" borderId="8" xfId="3" applyFill="1" applyBorder="1" applyProtection="1">
      <protection locked="0"/>
    </xf>
    <xf numFmtId="0" fontId="4" fillId="3" borderId="9" xfId="3" applyFill="1" applyBorder="1" applyAlignment="1" applyProtection="1">
      <alignment wrapText="1"/>
      <protection locked="0"/>
    </xf>
    <xf numFmtId="0" fontId="11" fillId="0" borderId="3" xfId="3" applyFont="1" applyBorder="1" applyAlignment="1"/>
    <xf numFmtId="0" fontId="4" fillId="0" borderId="0" xfId="3" applyBorder="1" applyAlignment="1">
      <alignment wrapText="1"/>
    </xf>
    <xf numFmtId="0" fontId="4" fillId="0" borderId="4" xfId="3" applyBorder="1" applyAlignment="1">
      <alignment wrapText="1"/>
    </xf>
    <xf numFmtId="0" fontId="4" fillId="0" borderId="3" xfId="3" applyBorder="1" applyAlignment="1">
      <alignment wrapText="1"/>
    </xf>
    <xf numFmtId="0" fontId="4" fillId="3" borderId="0" xfId="3" applyFill="1" applyProtection="1">
      <protection locked="0"/>
    </xf>
    <xf numFmtId="0" fontId="4" fillId="3" borderId="3" xfId="3" applyFill="1" applyBorder="1" applyProtection="1">
      <protection locked="0"/>
    </xf>
    <xf numFmtId="0" fontId="4" fillId="3" borderId="7" xfId="3" applyFill="1" applyBorder="1" applyProtection="1">
      <protection locked="0"/>
    </xf>
    <xf numFmtId="0" fontId="11" fillId="0" borderId="3" xfId="3" applyFont="1" applyBorder="1" applyProtection="1"/>
    <xf numFmtId="0" fontId="4" fillId="0" borderId="0" xfId="3" applyBorder="1" applyAlignment="1" applyProtection="1">
      <alignment wrapText="1"/>
    </xf>
    <xf numFmtId="0" fontId="4" fillId="0" borderId="4" xfId="3" applyBorder="1" applyAlignment="1" applyProtection="1">
      <alignment wrapText="1"/>
    </xf>
    <xf numFmtId="0" fontId="4" fillId="0" borderId="3" xfId="3" applyBorder="1" applyAlignment="1" applyProtection="1">
      <alignment wrapText="1"/>
    </xf>
    <xf numFmtId="0" fontId="11" fillId="0" borderId="0" xfId="3" applyFont="1" applyBorder="1" applyAlignment="1" applyProtection="1">
      <alignment wrapText="1"/>
    </xf>
    <xf numFmtId="0" fontId="11" fillId="0" borderId="4" xfId="3" applyFont="1" applyBorder="1" applyAlignment="1" applyProtection="1">
      <alignment wrapText="1"/>
    </xf>
    <xf numFmtId="0" fontId="11" fillId="0" borderId="3" xfId="3" applyFont="1" applyBorder="1" applyAlignment="1" applyProtection="1"/>
    <xf numFmtId="0" fontId="4" fillId="0" borderId="0" xfId="3" applyFont="1" applyBorder="1" applyAlignment="1" applyProtection="1"/>
    <xf numFmtId="0" fontId="11" fillId="0" borderId="0" xfId="3" applyFont="1" applyBorder="1" applyAlignment="1" applyProtection="1"/>
    <xf numFmtId="0" fontId="11" fillId="0" borderId="3" xfId="3" applyFont="1" applyBorder="1" applyAlignment="1" applyProtection="1">
      <alignment wrapText="1"/>
    </xf>
    <xf numFmtId="0" fontId="11" fillId="0" borderId="3" xfId="3" applyFont="1" applyBorder="1" applyAlignment="1" applyProtection="1">
      <alignment horizontal="left"/>
    </xf>
    <xf numFmtId="0" fontId="11" fillId="0" borderId="0" xfId="3" applyFont="1" applyBorder="1" applyAlignment="1" applyProtection="1">
      <alignment horizontal="right"/>
    </xf>
    <xf numFmtId="0" fontId="11" fillId="0" borderId="0" xfId="3" applyFont="1" applyBorder="1" applyProtection="1"/>
    <xf numFmtId="0" fontId="11" fillId="0" borderId="3" xfId="3" applyFont="1" applyBorder="1" applyAlignment="1" applyProtection="1">
      <alignment horizontal="right"/>
    </xf>
    <xf numFmtId="0" fontId="11" fillId="0" borderId="0" xfId="3" applyFont="1" applyFill="1" applyBorder="1" applyAlignment="1" applyProtection="1">
      <alignment horizontal="center"/>
    </xf>
    <xf numFmtId="0" fontId="11" fillId="0" borderId="2" xfId="3" applyFont="1" applyFill="1" applyBorder="1" applyAlignment="1" applyProtection="1">
      <alignment horizontal="center"/>
    </xf>
    <xf numFmtId="0" fontId="11" fillId="0" borderId="7" xfId="3" applyFont="1" applyBorder="1" applyAlignment="1" applyProtection="1">
      <alignment wrapText="1"/>
    </xf>
    <xf numFmtId="0" fontId="11" fillId="0" borderId="8" xfId="3" applyFont="1" applyBorder="1" applyAlignment="1" applyProtection="1">
      <alignment wrapText="1"/>
    </xf>
    <xf numFmtId="0" fontId="11" fillId="0" borderId="9" xfId="3" applyFont="1" applyBorder="1" applyAlignment="1" applyProtection="1">
      <alignment wrapText="1"/>
    </xf>
    <xf numFmtId="0" fontId="4" fillId="3" borderId="5" xfId="3" applyFill="1" applyBorder="1" applyProtection="1">
      <protection locked="0"/>
    </xf>
    <xf numFmtId="0" fontId="4" fillId="3" borderId="2" xfId="3" applyFill="1" applyBorder="1" applyProtection="1">
      <protection locked="0"/>
    </xf>
    <xf numFmtId="0" fontId="4" fillId="3" borderId="6" xfId="3" applyFill="1" applyBorder="1" applyProtection="1">
      <protection locked="0"/>
    </xf>
    <xf numFmtId="0" fontId="13" fillId="3" borderId="3" xfId="3" applyFont="1" applyFill="1" applyBorder="1" applyProtection="1">
      <protection locked="0"/>
    </xf>
    <xf numFmtId="0" fontId="4" fillId="3" borderId="4" xfId="3" applyFill="1" applyBorder="1" applyProtection="1">
      <protection locked="0"/>
    </xf>
    <xf numFmtId="0" fontId="4" fillId="3" borderId="9" xfId="3" applyFill="1" applyBorder="1" applyProtection="1">
      <protection locked="0"/>
    </xf>
    <xf numFmtId="11" fontId="4" fillId="4" borderId="1" xfId="0" applyNumberFormat="1" applyFont="1" applyFill="1" applyBorder="1" applyProtection="1"/>
    <xf numFmtId="11" fontId="4" fillId="4" borderId="1" xfId="0" applyNumberFormat="1" applyFont="1" applyFill="1" applyBorder="1" applyAlignment="1" applyProtection="1">
      <alignment horizontal="right"/>
    </xf>
    <xf numFmtId="166" fontId="0" fillId="6" borderId="1" xfId="0" applyNumberFormat="1" applyFill="1" applyBorder="1" applyAlignment="1" applyProtection="1">
      <alignment horizontal="right"/>
    </xf>
    <xf numFmtId="0" fontId="6" fillId="3" borderId="3" xfId="1" applyFill="1" applyBorder="1" applyAlignment="1" applyProtection="1">
      <protection locked="0"/>
    </xf>
    <xf numFmtId="0" fontId="0" fillId="0" borderId="3" xfId="0" applyFill="1" applyBorder="1" applyProtection="1">
      <protection locked="0"/>
    </xf>
    <xf numFmtId="0" fontId="0" fillId="0" borderId="0" xfId="0" applyFill="1" applyBorder="1" applyProtection="1">
      <protection locked="0"/>
    </xf>
    <xf numFmtId="0" fontId="0" fillId="0" borderId="1" xfId="0" applyFont="1" applyFill="1" applyBorder="1"/>
    <xf numFmtId="1" fontId="0" fillId="4" borderId="1" xfId="0" applyNumberFormat="1" applyFill="1" applyBorder="1"/>
    <xf numFmtId="0" fontId="4" fillId="0" borderId="5" xfId="0" applyFont="1" applyBorder="1"/>
    <xf numFmtId="0" fontId="4" fillId="0" borderId="3" xfId="0" applyFont="1" applyBorder="1"/>
    <xf numFmtId="0" fontId="4" fillId="0" borderId="11" xfId="0" applyFont="1" applyBorder="1"/>
    <xf numFmtId="1" fontId="0" fillId="0" borderId="11" xfId="0" applyNumberFormat="1" applyFill="1" applyBorder="1" applyProtection="1">
      <protection locked="0"/>
    </xf>
    <xf numFmtId="0" fontId="0" fillId="0" borderId="11" xfId="0" applyFill="1" applyBorder="1" applyProtection="1">
      <protection locked="0"/>
    </xf>
    <xf numFmtId="164" fontId="0" fillId="3" borderId="11" xfId="0" applyNumberFormat="1" applyFill="1" applyBorder="1" applyProtection="1">
      <protection locked="0"/>
    </xf>
    <xf numFmtId="2" fontId="3" fillId="6" borderId="11" xfId="0" applyNumberFormat="1" applyFont="1" applyFill="1" applyBorder="1" applyProtection="1">
      <protection locked="0"/>
    </xf>
    <xf numFmtId="0" fontId="6" fillId="4" borderId="1" xfId="1" applyFill="1" applyBorder="1" applyAlignment="1" applyProtection="1"/>
    <xf numFmtId="0" fontId="0" fillId="4" borderId="1" xfId="0" applyFill="1" applyBorder="1" applyAlignment="1" applyProtection="1"/>
    <xf numFmtId="165" fontId="0" fillId="4" borderId="12" xfId="0" applyNumberFormat="1" applyFill="1" applyBorder="1" applyAlignment="1" applyProtection="1"/>
    <xf numFmtId="166" fontId="0" fillId="4" borderId="1" xfId="0" applyNumberFormat="1" applyFill="1" applyBorder="1" applyProtection="1"/>
    <xf numFmtId="0" fontId="4" fillId="0" borderId="0" xfId="0" applyFont="1" applyFill="1" applyAlignment="1" applyProtection="1">
      <alignment horizontal="right"/>
      <protection locked="0"/>
    </xf>
    <xf numFmtId="166" fontId="0" fillId="0" borderId="0" xfId="0" applyNumberFormat="1" applyProtection="1"/>
    <xf numFmtId="166" fontId="0" fillId="0" borderId="0" xfId="0" applyNumberFormat="1" applyFill="1" applyProtection="1">
      <protection locked="0"/>
    </xf>
    <xf numFmtId="166" fontId="0" fillId="4" borderId="1" xfId="0" applyNumberFormat="1" applyFill="1" applyBorder="1" applyAlignment="1" applyProtection="1"/>
    <xf numFmtId="166" fontId="0" fillId="4" borderId="1" xfId="0" applyNumberFormat="1" applyFill="1" applyBorder="1" applyAlignment="1" applyProtection="1">
      <alignment horizontal="right"/>
    </xf>
    <xf numFmtId="166" fontId="4" fillId="4" borderId="1" xfId="0" applyNumberFormat="1" applyFont="1" applyFill="1" applyBorder="1" applyAlignment="1" applyProtection="1">
      <alignment horizontal="right"/>
    </xf>
    <xf numFmtId="0" fontId="4" fillId="6" borderId="1" xfId="0" applyFont="1" applyFill="1" applyBorder="1" applyAlignment="1" applyProtection="1">
      <alignment horizontal="right"/>
    </xf>
    <xf numFmtId="1" fontId="0" fillId="3" borderId="3" xfId="0" applyNumberFormat="1" applyFill="1" applyBorder="1" applyProtection="1">
      <protection locked="0"/>
    </xf>
    <xf numFmtId="1" fontId="0" fillId="3" borderId="0" xfId="0" applyNumberFormat="1" applyFill="1" applyBorder="1" applyProtection="1">
      <protection locked="0"/>
    </xf>
    <xf numFmtId="11" fontId="0" fillId="3" borderId="0" xfId="0" applyNumberFormat="1" applyFill="1" applyBorder="1" applyProtection="1">
      <protection locked="0"/>
    </xf>
    <xf numFmtId="164" fontId="0" fillId="3" borderId="3" xfId="0" applyNumberFormat="1" applyFill="1" applyBorder="1" applyProtection="1">
      <protection locked="0"/>
    </xf>
    <xf numFmtId="11" fontId="0" fillId="3" borderId="0" xfId="0" applyNumberFormat="1" applyFill="1" applyBorder="1" applyAlignment="1" applyProtection="1">
      <alignment horizontal="center"/>
      <protection locked="0"/>
    </xf>
    <xf numFmtId="0" fontId="0" fillId="3" borderId="3" xfId="0" applyNumberFormat="1" applyFill="1" applyBorder="1" applyProtection="1">
      <protection locked="0"/>
    </xf>
    <xf numFmtId="0" fontId="0" fillId="3" borderId="0" xfId="0" applyNumberFormat="1" applyFill="1" applyBorder="1" applyProtection="1">
      <protection locked="0"/>
    </xf>
    <xf numFmtId="0" fontId="0" fillId="3" borderId="0" xfId="0" applyFill="1" applyBorder="1" applyAlignment="1" applyProtection="1">
      <alignment horizontal="center"/>
      <protection locked="0"/>
    </xf>
    <xf numFmtId="0" fontId="35" fillId="0" borderId="0" xfId="0" applyFont="1" applyAlignment="1">
      <alignment horizontal="left"/>
    </xf>
    <xf numFmtId="0" fontId="0" fillId="0" borderId="7" xfId="0" applyFill="1" applyBorder="1" applyAlignment="1" applyProtection="1">
      <alignment horizontal="center" vertical="top"/>
    </xf>
    <xf numFmtId="0" fontId="0" fillId="0" borderId="0" xfId="0" applyAlignment="1">
      <alignment horizontal="center"/>
    </xf>
    <xf numFmtId="0" fontId="0" fillId="0" borderId="2" xfId="0" applyFill="1" applyBorder="1" applyAlignment="1" applyProtection="1">
      <alignment horizontal="center"/>
    </xf>
    <xf numFmtId="0" fontId="23" fillId="0" borderId="0" xfId="0" applyFont="1" applyAlignment="1">
      <alignment horizontal="center"/>
    </xf>
    <xf numFmtId="1" fontId="24" fillId="0" borderId="0" xfId="0" applyNumberFormat="1" applyFont="1"/>
    <xf numFmtId="0" fontId="24" fillId="0" borderId="0" xfId="0" applyFont="1"/>
    <xf numFmtId="0" fontId="24" fillId="0" borderId="0" xfId="0" applyFont="1" applyBorder="1"/>
    <xf numFmtId="0" fontId="24" fillId="0" borderId="0" xfId="0" applyFont="1" applyBorder="1" applyAlignment="1"/>
    <xf numFmtId="0" fontId="24" fillId="0" borderId="0" xfId="0" applyFont="1" applyFill="1" applyBorder="1"/>
    <xf numFmtId="0" fontId="24" fillId="0" borderId="1" xfId="0" applyFont="1" applyBorder="1" applyAlignment="1">
      <alignment horizontal="center"/>
    </xf>
    <xf numFmtId="0" fontId="25" fillId="0" borderId="5" xfId="0" applyFont="1" applyBorder="1"/>
    <xf numFmtId="0" fontId="24" fillId="0" borderId="2" xfId="0" applyFont="1" applyBorder="1"/>
    <xf numFmtId="0" fontId="24" fillId="0" borderId="6" xfId="0" applyFont="1" applyBorder="1"/>
    <xf numFmtId="1" fontId="24" fillId="0" borderId="1" xfId="0" applyNumberFormat="1" applyFont="1" applyBorder="1" applyAlignment="1">
      <alignment horizontal="center"/>
    </xf>
    <xf numFmtId="0" fontId="24" fillId="0" borderId="1" xfId="0" quotePrefix="1" applyFont="1" applyBorder="1"/>
    <xf numFmtId="0" fontId="24" fillId="0" borderId="1" xfId="0" applyFont="1" applyBorder="1"/>
    <xf numFmtId="164" fontId="24" fillId="0" borderId="1" xfId="0" applyNumberFormat="1" applyFont="1" applyBorder="1"/>
    <xf numFmtId="2" fontId="24" fillId="0" borderId="1" xfId="0" applyNumberFormat="1" applyFont="1" applyBorder="1"/>
    <xf numFmtId="0" fontId="24" fillId="7" borderId="1" xfId="0" applyFont="1" applyFill="1" applyBorder="1"/>
    <xf numFmtId="164" fontId="24" fillId="7" borderId="1" xfId="0" applyNumberFormat="1" applyFont="1" applyFill="1" applyBorder="1"/>
    <xf numFmtId="2" fontId="24" fillId="7" borderId="1" xfId="0" applyNumberFormat="1" applyFont="1" applyFill="1" applyBorder="1"/>
    <xf numFmtId="0" fontId="24" fillId="0" borderId="1" xfId="0" quotePrefix="1" applyFont="1" applyBorder="1" applyAlignment="1">
      <alignment horizontal="center"/>
    </xf>
    <xf numFmtId="0" fontId="24" fillId="0" borderId="15" xfId="0" applyFont="1" applyBorder="1" applyAlignment="1">
      <alignment horizontal="center"/>
    </xf>
    <xf numFmtId="2" fontId="24" fillId="0" borderId="15" xfId="0" applyNumberFormat="1" applyFont="1" applyBorder="1"/>
    <xf numFmtId="164" fontId="24" fillId="0" borderId="15" xfId="0" applyNumberFormat="1" applyFont="1" applyBorder="1"/>
    <xf numFmtId="1" fontId="24" fillId="0" borderId="15" xfId="0" applyNumberFormat="1" applyFont="1" applyBorder="1"/>
    <xf numFmtId="1" fontId="24" fillId="7" borderId="1" xfId="0" applyNumberFormat="1" applyFont="1" applyFill="1" applyBorder="1"/>
    <xf numFmtId="1" fontId="24" fillId="0" borderId="1" xfId="0" applyNumberFormat="1" applyFont="1" applyBorder="1"/>
    <xf numFmtId="0" fontId="24" fillId="7" borderId="15" xfId="0" applyFont="1" applyFill="1" applyBorder="1"/>
    <xf numFmtId="0" fontId="24" fillId="7" borderId="1" xfId="0" applyFont="1" applyFill="1" applyBorder="1" applyAlignment="1">
      <alignment horizontal="left"/>
    </xf>
    <xf numFmtId="0" fontId="23" fillId="0" borderId="0" xfId="0" applyFont="1"/>
    <xf numFmtId="0" fontId="30" fillId="0" borderId="0" xfId="0" applyFont="1" applyAlignment="1">
      <alignment horizontal="center"/>
    </xf>
    <xf numFmtId="0" fontId="27" fillId="0" borderId="0" xfId="0" applyFont="1" applyAlignment="1">
      <alignment horizontal="left"/>
    </xf>
    <xf numFmtId="0" fontId="24" fillId="0" borderId="0" xfId="0" applyFont="1" applyBorder="1" applyAlignment="1">
      <alignment horizontal="left"/>
    </xf>
    <xf numFmtId="0" fontId="31" fillId="0" borderId="0" xfId="0" applyFont="1" applyAlignment="1">
      <alignment horizontal="center" wrapText="1"/>
    </xf>
    <xf numFmtId="0" fontId="0" fillId="0" borderId="0" xfId="0" applyAlignment="1">
      <alignment horizontal="left"/>
    </xf>
    <xf numFmtId="0" fontId="6" fillId="0" borderId="0" xfId="1" applyFill="1" applyBorder="1" applyAlignment="1" applyProtection="1">
      <protection locked="0"/>
    </xf>
    <xf numFmtId="0" fontId="6" fillId="0" borderId="0" xfId="1" quotePrefix="1" applyAlignment="1" applyProtection="1"/>
    <xf numFmtId="0" fontId="0" fillId="8" borderId="0" xfId="0" applyFill="1" applyBorder="1" applyProtection="1"/>
    <xf numFmtId="0" fontId="0" fillId="8" borderId="0" xfId="0" applyFill="1" applyBorder="1" applyProtection="1">
      <protection locked="0"/>
    </xf>
    <xf numFmtId="0" fontId="6" fillId="3" borderId="2" xfId="1" applyFill="1" applyBorder="1" applyAlignment="1" applyProtection="1">
      <protection locked="0"/>
    </xf>
    <xf numFmtId="0" fontId="6" fillId="3" borderId="6" xfId="1" applyFill="1" applyBorder="1" applyAlignment="1" applyProtection="1">
      <protection locked="0"/>
    </xf>
    <xf numFmtId="0" fontId="6" fillId="0" borderId="0" xfId="1" applyFill="1" applyAlignment="1" applyProtection="1">
      <protection locked="0"/>
    </xf>
    <xf numFmtId="0" fontId="6" fillId="0" borderId="0" xfId="1" applyAlignment="1" applyProtection="1">
      <protection locked="0"/>
    </xf>
    <xf numFmtId="49" fontId="4" fillId="4" borderId="1" xfId="0" applyNumberFormat="1" applyFont="1" applyFill="1" applyBorder="1" applyAlignment="1" applyProtection="1">
      <alignment horizontal="right"/>
    </xf>
    <xf numFmtId="49" fontId="4" fillId="3" borderId="1" xfId="0" applyNumberFormat="1" applyFont="1" applyFill="1" applyBorder="1" applyAlignment="1" applyProtection="1">
      <alignment horizontal="right"/>
      <protection locked="0"/>
    </xf>
    <xf numFmtId="0" fontId="36" fillId="0" borderId="0" xfId="0" applyFont="1" applyAlignment="1">
      <alignment horizontal="left"/>
    </xf>
    <xf numFmtId="0" fontId="4" fillId="4" borderId="1" xfId="0" applyFont="1" applyFill="1" applyBorder="1" applyAlignment="1" applyProtection="1">
      <alignment horizontal="center"/>
    </xf>
    <xf numFmtId="11" fontId="4" fillId="3" borderId="1" xfId="0" applyNumberFormat="1" applyFont="1" applyFill="1" applyBorder="1" applyProtection="1">
      <protection locked="0"/>
    </xf>
    <xf numFmtId="164" fontId="0" fillId="3" borderId="1" xfId="0" applyNumberFormat="1" applyFill="1" applyBorder="1" applyProtection="1"/>
    <xf numFmtId="11" fontId="0" fillId="3" borderId="1" xfId="0" applyNumberFormat="1" applyFill="1" applyBorder="1" applyProtection="1"/>
    <xf numFmtId="0" fontId="4" fillId="8" borderId="0" xfId="0" applyFont="1" applyFill="1" applyBorder="1" applyProtection="1"/>
    <xf numFmtId="0" fontId="37" fillId="0" borderId="7" xfId="0" applyFont="1" applyBorder="1" applyAlignment="1" applyProtection="1"/>
    <xf numFmtId="0" fontId="6" fillId="3" borderId="1" xfId="1" applyFill="1" applyBorder="1" applyAlignment="1" applyProtection="1">
      <alignment horizontal="center"/>
      <protection locked="0"/>
    </xf>
    <xf numFmtId="0" fontId="6" fillId="0" borderId="0" xfId="1" applyFill="1" applyBorder="1" applyAlignment="1" applyProtection="1">
      <alignment vertical="top"/>
    </xf>
    <xf numFmtId="0" fontId="6" fillId="8" borderId="0" xfId="1" applyFill="1" applyBorder="1" applyAlignment="1" applyProtection="1">
      <alignment vertical="top"/>
    </xf>
    <xf numFmtId="0" fontId="0" fillId="0" borderId="5" xfId="0" applyFill="1" applyBorder="1" applyProtection="1"/>
    <xf numFmtId="0" fontId="0" fillId="0" borderId="2" xfId="0" applyFill="1" applyBorder="1" applyProtection="1"/>
    <xf numFmtId="0" fontId="0" fillId="0" borderId="6" xfId="0" applyFill="1" applyBorder="1" applyProtection="1"/>
    <xf numFmtId="0" fontId="0" fillId="0" borderId="5" xfId="0" applyFill="1" applyBorder="1" applyAlignment="1" applyProtection="1">
      <alignment vertical="top"/>
    </xf>
    <xf numFmtId="0" fontId="0" fillId="0" borderId="2" xfId="0" applyFill="1" applyBorder="1" applyAlignment="1" applyProtection="1">
      <alignment vertical="top"/>
    </xf>
    <xf numFmtId="0" fontId="0" fillId="0" borderId="6" xfId="0" applyFill="1" applyBorder="1" applyAlignment="1" applyProtection="1">
      <alignment vertical="top"/>
    </xf>
    <xf numFmtId="0" fontId="0" fillId="0" borderId="3" xfId="0" applyFill="1" applyBorder="1" applyAlignment="1" applyProtection="1"/>
    <xf numFmtId="0" fontId="11" fillId="0" borderId="0" xfId="0" applyFont="1" applyFill="1" applyBorder="1" applyAlignment="1" applyProtection="1">
      <alignment vertical="top"/>
    </xf>
    <xf numFmtId="0" fontId="0" fillId="0" borderId="7" xfId="0" applyFill="1" applyBorder="1" applyAlignment="1" applyProtection="1">
      <alignment vertical="top"/>
    </xf>
    <xf numFmtId="0" fontId="0" fillId="0" borderId="7" xfId="0" applyFill="1" applyBorder="1" applyAlignment="1" applyProtection="1"/>
    <xf numFmtId="0" fontId="13" fillId="0" borderId="0" xfId="0" applyFont="1" applyFill="1" applyBorder="1" applyAlignment="1" applyProtection="1">
      <alignment vertical="top"/>
    </xf>
    <xf numFmtId="0" fontId="11" fillId="0" borderId="0" xfId="0" applyFont="1" applyFill="1" applyBorder="1" applyAlignment="1" applyProtection="1"/>
    <xf numFmtId="0" fontId="11" fillId="0" borderId="0" xfId="0" quotePrefix="1" applyFont="1" applyFill="1" applyBorder="1" applyAlignment="1" applyProtection="1">
      <alignment vertical="top"/>
    </xf>
    <xf numFmtId="0" fontId="11" fillId="0" borderId="0" xfId="0" quotePrefix="1" applyFont="1" applyProtection="1"/>
    <xf numFmtId="0" fontId="38" fillId="0" borderId="0" xfId="0" applyFont="1" applyFill="1" applyBorder="1" applyAlignment="1" applyProtection="1">
      <alignment vertical="top"/>
    </xf>
    <xf numFmtId="0" fontId="11" fillId="0" borderId="5" xfId="0" applyFont="1" applyFill="1" applyBorder="1" applyAlignment="1" applyProtection="1">
      <alignment vertical="top"/>
    </xf>
    <xf numFmtId="0" fontId="11" fillId="0" borderId="2" xfId="0" applyFont="1" applyFill="1" applyBorder="1" applyAlignment="1" applyProtection="1">
      <alignment vertical="top"/>
    </xf>
    <xf numFmtId="0" fontId="11" fillId="0" borderId="6" xfId="0" applyFont="1" applyFill="1" applyBorder="1" applyAlignment="1" applyProtection="1">
      <alignment vertical="top"/>
    </xf>
    <xf numFmtId="0" fontId="11" fillId="0" borderId="3" xfId="0" applyFont="1" applyFill="1" applyBorder="1" applyAlignment="1" applyProtection="1">
      <alignment vertical="top"/>
    </xf>
    <xf numFmtId="0" fontId="11" fillId="0" borderId="4" xfId="0" applyFont="1" applyFill="1" applyBorder="1" applyAlignment="1" applyProtection="1">
      <alignment vertical="top"/>
    </xf>
    <xf numFmtId="0" fontId="11" fillId="0" borderId="7" xfId="0" applyFont="1" applyFill="1" applyBorder="1" applyAlignment="1" applyProtection="1">
      <alignment vertical="top"/>
    </xf>
    <xf numFmtId="0" fontId="11" fillId="0" borderId="8" xfId="0" applyFont="1" applyFill="1" applyBorder="1" applyAlignment="1" applyProtection="1">
      <alignment vertical="top"/>
    </xf>
    <xf numFmtId="0" fontId="11" fillId="0" borderId="9" xfId="0" applyFont="1" applyFill="1" applyBorder="1" applyAlignment="1" applyProtection="1">
      <alignment vertical="top"/>
    </xf>
    <xf numFmtId="0" fontId="0" fillId="3" borderId="5" xfId="0" applyFill="1" applyBorder="1" applyProtection="1"/>
    <xf numFmtId="0" fontId="26" fillId="3" borderId="2" xfId="0" applyFont="1" applyFill="1" applyBorder="1" applyProtection="1"/>
    <xf numFmtId="0" fontId="0" fillId="3" borderId="2" xfId="0" applyFill="1" applyBorder="1" applyProtection="1"/>
    <xf numFmtId="0" fontId="0" fillId="3" borderId="6" xfId="0" applyFill="1" applyBorder="1" applyProtection="1"/>
    <xf numFmtId="0" fontId="6" fillId="3" borderId="3" xfId="1" applyFill="1" applyBorder="1" applyAlignment="1" applyProtection="1"/>
    <xf numFmtId="0" fontId="39" fillId="3" borderId="0" xfId="0" applyFont="1" applyFill="1" applyBorder="1" applyProtection="1"/>
    <xf numFmtId="0" fontId="0" fillId="3" borderId="0" xfId="0" applyFill="1" applyBorder="1" applyProtection="1"/>
    <xf numFmtId="0" fontId="0" fillId="3" borderId="4" xfId="0" applyFill="1" applyBorder="1" applyProtection="1"/>
    <xf numFmtId="0" fontId="37" fillId="3" borderId="0" xfId="0" applyFont="1" applyFill="1" applyBorder="1" applyAlignment="1" applyProtection="1"/>
    <xf numFmtId="0" fontId="0" fillId="3" borderId="0" xfId="0" applyFill="1" applyBorder="1" applyAlignment="1" applyProtection="1">
      <alignment wrapText="1"/>
    </xf>
    <xf numFmtId="0" fontId="0" fillId="3" borderId="0" xfId="0" applyFill="1" applyBorder="1" applyAlignment="1" applyProtection="1"/>
    <xf numFmtId="0" fontId="6" fillId="0" borderId="0" xfId="1" applyFill="1" applyBorder="1" applyAlignment="1" applyProtection="1">
      <alignment vertical="top" wrapText="1"/>
    </xf>
    <xf numFmtId="0" fontId="6" fillId="8" borderId="5" xfId="1" applyFill="1" applyBorder="1" applyAlignment="1" applyProtection="1">
      <alignment vertical="top"/>
    </xf>
    <xf numFmtId="0" fontId="6" fillId="8" borderId="2" xfId="1" applyFill="1" applyBorder="1" applyAlignment="1" applyProtection="1">
      <alignment vertical="top" wrapText="1"/>
    </xf>
    <xf numFmtId="0" fontId="0" fillId="0" borderId="0" xfId="0" applyAlignment="1">
      <alignment horizontal="left" wrapText="1"/>
    </xf>
    <xf numFmtId="0" fontId="4" fillId="0" borderId="0" xfId="0" applyFont="1" applyAlignment="1">
      <alignment horizontal="left" wrapText="1"/>
    </xf>
    <xf numFmtId="0" fontId="0" fillId="0" borderId="0" xfId="0" applyAlignment="1">
      <alignment horizontal="left"/>
    </xf>
    <xf numFmtId="0" fontId="24" fillId="3" borderId="1" xfId="0" applyFont="1" applyFill="1" applyBorder="1" applyAlignment="1" applyProtection="1">
      <alignment horizontal="left"/>
      <protection locked="0"/>
    </xf>
    <xf numFmtId="0" fontId="4" fillId="0" borderId="1" xfId="0" applyFont="1" applyFill="1" applyBorder="1" applyAlignment="1">
      <alignment horizontal="center"/>
    </xf>
    <xf numFmtId="0" fontId="24" fillId="0" borderId="1" xfId="0" applyFont="1" applyFill="1" applyBorder="1" applyAlignment="1">
      <alignment horizontal="center"/>
    </xf>
    <xf numFmtId="0" fontId="24" fillId="3" borderId="11" xfId="0" applyFont="1" applyFill="1" applyBorder="1" applyAlignment="1" applyProtection="1">
      <alignment horizontal="center"/>
      <protection locked="0"/>
    </xf>
    <xf numFmtId="0" fontId="24" fillId="3" borderId="10" xfId="0" applyFont="1" applyFill="1" applyBorder="1" applyAlignment="1" applyProtection="1">
      <alignment horizontal="center"/>
      <protection locked="0"/>
    </xf>
    <xf numFmtId="0" fontId="24" fillId="3" borderId="12" xfId="0" applyFont="1" applyFill="1" applyBorder="1" applyAlignment="1" applyProtection="1">
      <alignment horizontal="center"/>
      <protection locked="0"/>
    </xf>
    <xf numFmtId="0" fontId="6" fillId="0" borderId="1" xfId="1" applyFill="1" applyBorder="1" applyAlignment="1" applyProtection="1">
      <alignment horizontal="left" wrapText="1"/>
    </xf>
    <xf numFmtId="0" fontId="4" fillId="0" borderId="1" xfId="0" applyFont="1" applyBorder="1" applyAlignment="1">
      <alignment horizontal="center"/>
    </xf>
    <xf numFmtId="0" fontId="24" fillId="0" borderId="1" xfId="0" applyFont="1" applyBorder="1" applyAlignment="1">
      <alignment horizontal="center"/>
    </xf>
    <xf numFmtId="0" fontId="6" fillId="0" borderId="1" xfId="1" applyBorder="1" applyAlignment="1" applyProtection="1">
      <alignment horizontal="left" wrapText="1"/>
    </xf>
    <xf numFmtId="0" fontId="24" fillId="4" borderId="1" xfId="0" applyFont="1" applyFill="1" applyBorder="1" applyAlignment="1">
      <alignment horizontal="center"/>
    </xf>
    <xf numFmtId="0" fontId="24" fillId="4" borderId="1" xfId="0" applyFont="1" applyFill="1" applyBorder="1"/>
    <xf numFmtId="0" fontId="27" fillId="4" borderId="11" xfId="0" applyFont="1" applyFill="1" applyBorder="1" applyAlignment="1">
      <alignment horizontal="center"/>
    </xf>
    <xf numFmtId="0" fontId="24" fillId="4" borderId="12" xfId="0" applyFont="1" applyFill="1" applyBorder="1" applyAlignment="1">
      <alignment horizontal="center"/>
    </xf>
    <xf numFmtId="0" fontId="4" fillId="0" borderId="11" xfId="0" applyFont="1" applyBorder="1" applyAlignment="1">
      <alignment horizontal="center"/>
    </xf>
    <xf numFmtId="0" fontId="24" fillId="0" borderId="12" xfId="0" applyFont="1" applyBorder="1" applyAlignment="1">
      <alignment horizontal="center"/>
    </xf>
    <xf numFmtId="0" fontId="24" fillId="6" borderId="1" xfId="0" applyFont="1" applyFill="1" applyBorder="1" applyAlignment="1">
      <alignment horizontal="center"/>
    </xf>
    <xf numFmtId="0" fontId="24" fillId="6" borderId="1" xfId="0" applyFont="1" applyFill="1" applyBorder="1"/>
    <xf numFmtId="0" fontId="23" fillId="3" borderId="11" xfId="0" applyFont="1" applyFill="1" applyBorder="1" applyAlignment="1" applyProtection="1">
      <alignment horizontal="center"/>
      <protection locked="0"/>
    </xf>
    <xf numFmtId="0" fontId="23" fillId="3" borderId="10" xfId="0" applyFont="1" applyFill="1" applyBorder="1" applyAlignment="1" applyProtection="1">
      <alignment horizontal="center"/>
      <protection locked="0"/>
    </xf>
    <xf numFmtId="0" fontId="23" fillId="3" borderId="12" xfId="0" applyFont="1" applyFill="1" applyBorder="1" applyAlignment="1" applyProtection="1">
      <alignment horizontal="center"/>
      <protection locked="0"/>
    </xf>
    <xf numFmtId="0" fontId="24" fillId="0" borderId="14" xfId="0" applyFont="1" applyBorder="1" applyAlignment="1">
      <alignment horizontal="center" textRotation="90" wrapText="1"/>
    </xf>
    <xf numFmtId="0" fontId="24" fillId="0" borderId="13" xfId="0" applyFont="1" applyBorder="1" applyAlignment="1">
      <alignment horizontal="center" textRotation="90" wrapText="1"/>
    </xf>
    <xf numFmtId="0" fontId="24" fillId="0" borderId="15" xfId="0" applyFont="1" applyBorder="1" applyAlignment="1">
      <alignment horizontal="center" textRotation="90" wrapText="1"/>
    </xf>
    <xf numFmtId="0" fontId="28" fillId="0" borderId="14" xfId="0" applyFont="1" applyBorder="1" applyAlignment="1">
      <alignment horizontal="center" textRotation="90" wrapText="1"/>
    </xf>
    <xf numFmtId="0" fontId="28" fillId="0" borderId="13" xfId="0" applyFont="1" applyBorder="1" applyAlignment="1">
      <alignment horizontal="center" textRotation="90" wrapText="1"/>
    </xf>
    <xf numFmtId="0" fontId="28" fillId="0" borderId="15" xfId="0" applyFont="1" applyBorder="1" applyAlignment="1">
      <alignment horizontal="center" textRotation="90" wrapText="1"/>
    </xf>
    <xf numFmtId="0" fontId="28" fillId="0" borderId="1" xfId="0" applyFont="1" applyBorder="1" applyAlignment="1">
      <alignment horizontal="center" textRotation="90" wrapText="1"/>
    </xf>
    <xf numFmtId="0" fontId="24" fillId="0" borderId="11" xfId="0" applyFont="1" applyBorder="1" applyAlignment="1">
      <alignment horizontal="center"/>
    </xf>
    <xf numFmtId="0" fontId="24" fillId="0" borderId="10" xfId="0" applyFont="1" applyBorder="1" applyAlignment="1">
      <alignment horizontal="center"/>
    </xf>
    <xf numFmtId="0" fontId="24" fillId="0" borderId="1" xfId="0" applyFont="1" applyBorder="1" applyAlignment="1">
      <alignment horizontal="center" textRotation="90" wrapText="1"/>
    </xf>
    <xf numFmtId="0" fontId="0" fillId="0" borderId="1" xfId="0" applyFont="1" applyFill="1" applyBorder="1" applyAlignment="1">
      <alignment horizontal="center"/>
    </xf>
    <xf numFmtId="0" fontId="24" fillId="4" borderId="11" xfId="0" applyFont="1" applyFill="1" applyBorder="1" applyAlignment="1">
      <alignment horizontal="center"/>
    </xf>
    <xf numFmtId="0" fontId="27" fillId="0" borderId="0" xfId="0" applyFont="1" applyAlignment="1">
      <alignment horizontal="center"/>
    </xf>
    <xf numFmtId="0" fontId="6" fillId="0" borderId="15" xfId="1" applyFill="1" applyBorder="1" applyAlignment="1" applyProtection="1">
      <alignment horizontal="left" wrapText="1"/>
    </xf>
    <xf numFmtId="0" fontId="24" fillId="3" borderId="11" xfId="0" applyFont="1" applyFill="1" applyBorder="1" applyAlignment="1" applyProtection="1">
      <alignment horizontal="left"/>
      <protection locked="0"/>
    </xf>
    <xf numFmtId="0" fontId="24" fillId="3" borderId="10" xfId="0" applyFont="1" applyFill="1" applyBorder="1" applyAlignment="1" applyProtection="1">
      <alignment horizontal="left"/>
      <protection locked="0"/>
    </xf>
    <xf numFmtId="0" fontId="24" fillId="3" borderId="12" xfId="0" applyFont="1" applyFill="1" applyBorder="1" applyAlignment="1" applyProtection="1">
      <alignment horizontal="left"/>
      <protection locked="0"/>
    </xf>
    <xf numFmtId="0" fontId="31" fillId="0" borderId="0" xfId="0" applyFont="1" applyAlignment="1">
      <alignment horizontal="center" wrapText="1"/>
    </xf>
    <xf numFmtId="0" fontId="24" fillId="0" borderId="5" xfId="0" applyFont="1" applyBorder="1" applyAlignment="1">
      <alignment horizontal="left"/>
    </xf>
    <xf numFmtId="0" fontId="24" fillId="0" borderId="2" xfId="0" applyFont="1" applyBorder="1" applyAlignment="1">
      <alignment horizontal="left"/>
    </xf>
    <xf numFmtId="0" fontId="24" fillId="0" borderId="6" xfId="0" applyFont="1" applyBorder="1" applyAlignment="1">
      <alignment horizontal="left"/>
    </xf>
    <xf numFmtId="0" fontId="24" fillId="0" borderId="3" xfId="0" applyFont="1" applyBorder="1" applyAlignment="1">
      <alignment horizontal="left"/>
    </xf>
    <xf numFmtId="0" fontId="24" fillId="0" borderId="0" xfId="0" applyFont="1" applyBorder="1" applyAlignment="1">
      <alignment horizontal="left"/>
    </xf>
    <xf numFmtId="0" fontId="24" fillId="0" borderId="4" xfId="0" applyFont="1" applyBorder="1" applyAlignment="1">
      <alignment horizontal="left"/>
    </xf>
    <xf numFmtId="0" fontId="24" fillId="0" borderId="7" xfId="0" applyFont="1" applyBorder="1" applyAlignment="1">
      <alignment horizontal="left"/>
    </xf>
    <xf numFmtId="0" fontId="24" fillId="0" borderId="8" xfId="0" applyFont="1" applyBorder="1" applyAlignment="1">
      <alignment horizontal="left"/>
    </xf>
    <xf numFmtId="0" fontId="24" fillId="0" borderId="9" xfId="0" applyFont="1" applyBorder="1" applyAlignment="1">
      <alignment horizontal="left"/>
    </xf>
    <xf numFmtId="0" fontId="23" fillId="0" borderId="0" xfId="0" applyFont="1" applyAlignment="1">
      <alignment horizontal="center"/>
    </xf>
    <xf numFmtId="0" fontId="29" fillId="0" borderId="0" xfId="1" applyFont="1" applyAlignment="1" applyProtection="1">
      <alignment horizontal="left"/>
    </xf>
    <xf numFmtId="0" fontId="24" fillId="4" borderId="1" xfId="0" applyFont="1" applyFill="1" applyBorder="1" applyAlignment="1" applyProtection="1">
      <alignment horizontal="center"/>
    </xf>
    <xf numFmtId="0" fontId="24" fillId="4" borderId="1" xfId="0" applyFont="1" applyFill="1" applyBorder="1" applyProtection="1"/>
    <xf numFmtId="0" fontId="27" fillId="3" borderId="1" xfId="0" applyFont="1" applyFill="1" applyBorder="1" applyAlignment="1" applyProtection="1">
      <alignment horizontal="left"/>
      <protection locked="0"/>
    </xf>
    <xf numFmtId="0" fontId="27" fillId="4" borderId="11" xfId="0" applyFont="1" applyFill="1" applyBorder="1" applyAlignment="1" applyProtection="1">
      <alignment horizontal="center"/>
    </xf>
    <xf numFmtId="0" fontId="24" fillId="4" borderId="12" xfId="0" applyFont="1" applyFill="1" applyBorder="1" applyAlignment="1" applyProtection="1">
      <alignment horizontal="center"/>
    </xf>
    <xf numFmtId="17" fontId="4" fillId="0" borderId="1" xfId="0" applyNumberFormat="1" applyFont="1" applyFill="1" applyBorder="1" applyAlignment="1">
      <alignment horizontal="center"/>
    </xf>
    <xf numFmtId="0" fontId="24" fillId="0" borderId="8" xfId="0" applyFont="1" applyBorder="1" applyAlignment="1"/>
    <xf numFmtId="0" fontId="24" fillId="4" borderId="15" xfId="0" applyFont="1" applyFill="1" applyBorder="1" applyAlignment="1">
      <alignment horizontal="center"/>
    </xf>
    <xf numFmtId="0" fontId="24" fillId="4" borderId="15" xfId="0" applyFont="1" applyFill="1" applyBorder="1"/>
    <xf numFmtId="0" fontId="4" fillId="0" borderId="5" xfId="0" applyFont="1" applyBorder="1" applyAlignment="1">
      <alignment horizontal="center" vertical="center" wrapText="1"/>
    </xf>
    <xf numFmtId="0" fontId="24" fillId="0" borderId="2" xfId="0" applyFont="1" applyBorder="1" applyAlignment="1">
      <alignment horizontal="center" vertical="center" wrapText="1"/>
    </xf>
    <xf numFmtId="0" fontId="24" fillId="0" borderId="3" xfId="0" applyFont="1" applyBorder="1" applyAlignment="1">
      <alignment horizontal="center" vertical="center" wrapText="1"/>
    </xf>
    <xf numFmtId="0" fontId="24" fillId="0" borderId="0"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8" xfId="0" applyFont="1" applyBorder="1" applyAlignment="1">
      <alignment horizontal="center" vertical="center" wrapText="1"/>
    </xf>
    <xf numFmtId="0" fontId="24" fillId="0" borderId="5" xfId="0" applyFont="1" applyBorder="1" applyAlignment="1">
      <alignment horizontal="center" vertical="center" wrapText="1"/>
    </xf>
    <xf numFmtId="0" fontId="24" fillId="0" borderId="6"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9" xfId="0" applyFont="1" applyBorder="1" applyAlignment="1">
      <alignment horizontal="center" vertical="center" wrapText="1"/>
    </xf>
    <xf numFmtId="0" fontId="24" fillId="0" borderId="5" xfId="0" applyFont="1" applyBorder="1" applyAlignment="1">
      <alignment horizontal="center" wrapText="1"/>
    </xf>
    <xf numFmtId="0" fontId="24" fillId="0" borderId="2" xfId="0" applyFont="1" applyBorder="1" applyAlignment="1">
      <alignment horizontal="center" wrapText="1"/>
    </xf>
    <xf numFmtId="0" fontId="24" fillId="0" borderId="3" xfId="0" applyFont="1" applyBorder="1" applyAlignment="1">
      <alignment horizontal="center" wrapText="1"/>
    </xf>
    <xf numFmtId="0" fontId="24" fillId="0" borderId="0" xfId="0" applyFont="1" applyBorder="1" applyAlignment="1">
      <alignment horizontal="center" wrapText="1"/>
    </xf>
    <xf numFmtId="0" fontId="24" fillId="0" borderId="7" xfId="0" applyFont="1" applyBorder="1" applyAlignment="1">
      <alignment horizontal="center" wrapText="1"/>
    </xf>
    <xf numFmtId="0" fontId="24" fillId="0" borderId="8" xfId="0" applyFont="1" applyBorder="1" applyAlignment="1">
      <alignment horizontal="center" wrapText="1"/>
    </xf>
    <xf numFmtId="0" fontId="3" fillId="0" borderId="0" xfId="0" applyFont="1" applyAlignment="1">
      <alignment horizontal="center"/>
    </xf>
    <xf numFmtId="0" fontId="4" fillId="3" borderId="11" xfId="0" applyFont="1" applyFill="1" applyBorder="1" applyAlignment="1" applyProtection="1">
      <alignment horizontal="center"/>
      <protection locked="0"/>
    </xf>
    <xf numFmtId="0" fontId="25" fillId="0" borderId="0" xfId="0" applyFont="1" applyAlignment="1">
      <alignment horizontal="left" vertical="center" wrapText="1"/>
    </xf>
    <xf numFmtId="0" fontId="26" fillId="0" borderId="0" xfId="0" applyFont="1" applyAlignment="1">
      <alignment horizontal="left" wrapText="1"/>
    </xf>
    <xf numFmtId="0" fontId="24" fillId="0" borderId="2" xfId="0" applyFont="1" applyBorder="1" applyAlignment="1">
      <alignment horizontal="center" vertical="top" textRotation="90"/>
    </xf>
    <xf numFmtId="0" fontId="24" fillId="0" borderId="0" xfId="0" applyFont="1" applyAlignment="1">
      <alignment horizontal="center" vertical="top" textRotation="90"/>
    </xf>
    <xf numFmtId="0" fontId="0" fillId="0" borderId="15" xfId="0" applyFont="1" applyFill="1" applyBorder="1" applyAlignment="1">
      <alignment horizontal="center"/>
    </xf>
    <xf numFmtId="0" fontId="24" fillId="0" borderId="15" xfId="0" applyFont="1" applyFill="1" applyBorder="1" applyAlignment="1">
      <alignment horizontal="center"/>
    </xf>
    <xf numFmtId="0" fontId="6" fillId="0" borderId="0" xfId="1" applyAlignment="1" applyProtection="1">
      <alignment horizontal="left"/>
    </xf>
    <xf numFmtId="0" fontId="23" fillId="4" borderId="11" xfId="0" applyFont="1" applyFill="1" applyBorder="1" applyAlignment="1" applyProtection="1">
      <alignment horizontal="left"/>
    </xf>
    <xf numFmtId="0" fontId="23" fillId="4" borderId="10" xfId="0" applyFont="1" applyFill="1" applyBorder="1" applyAlignment="1" applyProtection="1">
      <alignment horizontal="left"/>
    </xf>
    <xf numFmtId="0" fontId="23" fillId="4" borderId="12" xfId="0" applyFont="1" applyFill="1" applyBorder="1" applyAlignment="1" applyProtection="1">
      <alignment horizontal="left"/>
    </xf>
    <xf numFmtId="0" fontId="24" fillId="0" borderId="6" xfId="0" applyFont="1" applyBorder="1"/>
    <xf numFmtId="0" fontId="24" fillId="0" borderId="3" xfId="0" applyFont="1" applyBorder="1"/>
    <xf numFmtId="0" fontId="24" fillId="0" borderId="4" xfId="0" applyFont="1" applyBorder="1"/>
    <xf numFmtId="0" fontId="24" fillId="0" borderId="7" xfId="0" applyFont="1" applyBorder="1"/>
    <xf numFmtId="0" fontId="24" fillId="0" borderId="9" xfId="0" applyFont="1" applyBorder="1"/>
    <xf numFmtId="0" fontId="24" fillId="0" borderId="1" xfId="0" applyFont="1" applyBorder="1" applyAlignment="1">
      <alignment horizontal="center" vertical="center"/>
    </xf>
    <xf numFmtId="0" fontId="6" fillId="0" borderId="0" xfId="1" applyFill="1" applyAlignment="1" applyProtection="1"/>
    <xf numFmtId="0" fontId="24" fillId="0" borderId="14" xfId="0" applyFont="1" applyBorder="1" applyAlignment="1">
      <alignment horizontal="center" vertical="center"/>
    </xf>
    <xf numFmtId="0" fontId="24" fillId="0" borderId="15" xfId="0" applyFont="1" applyBorder="1" applyAlignment="1">
      <alignment horizontal="center" vertical="center"/>
    </xf>
    <xf numFmtId="1" fontId="24" fillId="0" borderId="14" xfId="0" applyNumberFormat="1" applyFont="1" applyBorder="1" applyAlignment="1">
      <alignment horizontal="center" vertical="center"/>
    </xf>
    <xf numFmtId="1" fontId="24" fillId="0" borderId="15" xfId="0" applyNumberFormat="1" applyFont="1" applyBorder="1" applyAlignment="1">
      <alignment horizontal="center" vertical="center"/>
    </xf>
    <xf numFmtId="2" fontId="24" fillId="0" borderId="14" xfId="0" applyNumberFormat="1" applyFont="1" applyBorder="1" applyAlignment="1">
      <alignment horizontal="center" vertical="center"/>
    </xf>
    <xf numFmtId="2" fontId="24" fillId="0" borderId="15" xfId="0" applyNumberFormat="1" applyFont="1" applyBorder="1" applyAlignment="1">
      <alignment horizontal="center" vertical="center"/>
    </xf>
    <xf numFmtId="164" fontId="24" fillId="0" borderId="14" xfId="0" applyNumberFormat="1" applyFont="1" applyBorder="1" applyAlignment="1">
      <alignment horizontal="center" vertical="center"/>
    </xf>
    <xf numFmtId="164" fontId="24" fillId="0" borderId="15" xfId="0" applyNumberFormat="1" applyFont="1" applyBorder="1" applyAlignment="1">
      <alignment horizontal="center" vertical="center"/>
    </xf>
    <xf numFmtId="0" fontId="3" fillId="0" borderId="11" xfId="0" applyFont="1" applyFill="1" applyBorder="1" applyAlignment="1" applyProtection="1">
      <alignment horizontal="left" vertical="center" wrapText="1"/>
    </xf>
    <xf numFmtId="0" fontId="3" fillId="0" borderId="10" xfId="0" applyFont="1" applyFill="1" applyBorder="1" applyAlignment="1" applyProtection="1">
      <alignment horizontal="left" vertical="center" wrapText="1"/>
    </xf>
    <xf numFmtId="0" fontId="3" fillId="0" borderId="12" xfId="0" applyFont="1" applyFill="1" applyBorder="1" applyAlignment="1" applyProtection="1">
      <alignment horizontal="left" vertical="center" wrapText="1"/>
    </xf>
    <xf numFmtId="0" fontId="4" fillId="0" borderId="5" xfId="0" applyFont="1" applyBorder="1" applyAlignment="1">
      <alignment horizontal="left" wrapText="1"/>
    </xf>
    <xf numFmtId="0" fontId="0" fillId="0" borderId="2" xfId="0" applyBorder="1" applyAlignment="1">
      <alignment horizontal="left" wrapText="1"/>
    </xf>
    <xf numFmtId="0" fontId="0" fillId="0" borderId="3" xfId="0" applyBorder="1" applyAlignment="1">
      <alignment horizontal="left" wrapText="1"/>
    </xf>
    <xf numFmtId="0" fontId="0" fillId="0" borderId="0" xfId="0" applyBorder="1" applyAlignment="1">
      <alignment horizontal="left" wrapText="1"/>
    </xf>
    <xf numFmtId="0" fontId="0" fillId="0" borderId="7" xfId="0" applyBorder="1" applyAlignment="1">
      <alignment horizontal="left" wrapText="1"/>
    </xf>
    <xf numFmtId="0" fontId="0" fillId="0" borderId="8" xfId="0" applyBorder="1" applyAlignment="1">
      <alignment horizontal="left" wrapText="1"/>
    </xf>
    <xf numFmtId="0" fontId="0" fillId="0" borderId="8" xfId="0" applyFill="1" applyBorder="1" applyAlignment="1" applyProtection="1">
      <alignment horizontal="center"/>
    </xf>
    <xf numFmtId="0" fontId="0" fillId="8" borderId="0" xfId="0" applyFill="1" applyBorder="1" applyAlignment="1" applyProtection="1">
      <alignment horizontal="center"/>
    </xf>
    <xf numFmtId="0" fontId="3" fillId="0" borderId="1" xfId="0" applyFont="1" applyBorder="1" applyAlignment="1" applyProtection="1">
      <alignment horizontal="center"/>
    </xf>
    <xf numFmtId="0" fontId="5" fillId="3" borderId="11" xfId="0" applyFont="1" applyFill="1" applyBorder="1" applyAlignment="1" applyProtection="1">
      <alignment horizontal="left"/>
      <protection locked="0"/>
    </xf>
    <xf numFmtId="0" fontId="5" fillId="3" borderId="12" xfId="0" applyFont="1" applyFill="1" applyBorder="1" applyAlignment="1" applyProtection="1">
      <alignment horizontal="left"/>
      <protection locked="0"/>
    </xf>
    <xf numFmtId="0" fontId="3" fillId="0" borderId="11" xfId="3" applyFont="1" applyBorder="1" applyAlignment="1" applyProtection="1">
      <alignment horizontal="right"/>
    </xf>
    <xf numFmtId="0" fontId="3" fillId="0" borderId="10" xfId="3" applyFont="1" applyBorder="1" applyAlignment="1" applyProtection="1">
      <alignment horizontal="right"/>
    </xf>
    <xf numFmtId="0" fontId="3" fillId="0" borderId="12" xfId="3" applyFont="1" applyBorder="1" applyAlignment="1" applyProtection="1">
      <alignment horizontal="right"/>
    </xf>
    <xf numFmtId="0" fontId="5" fillId="3" borderId="11" xfId="3" applyFont="1" applyFill="1" applyBorder="1" applyAlignment="1" applyProtection="1">
      <alignment horizontal="left"/>
      <protection locked="0"/>
    </xf>
    <xf numFmtId="0" fontId="5" fillId="3" borderId="12" xfId="3" applyFont="1" applyFill="1" applyBorder="1" applyAlignment="1" applyProtection="1">
      <alignment horizontal="left"/>
      <protection locked="0"/>
    </xf>
    <xf numFmtId="0" fontId="4" fillId="3" borderId="10" xfId="0" applyFont="1" applyFill="1" applyBorder="1" applyAlignment="1" applyProtection="1">
      <alignment horizontal="center"/>
      <protection locked="0"/>
    </xf>
    <xf numFmtId="0" fontId="4" fillId="3" borderId="12" xfId="0" applyFont="1" applyFill="1" applyBorder="1" applyAlignment="1" applyProtection="1">
      <alignment horizontal="center"/>
      <protection locked="0"/>
    </xf>
    <xf numFmtId="0" fontId="4" fillId="0" borderId="6" xfId="0" applyFont="1" applyBorder="1" applyAlignment="1" applyProtection="1">
      <alignment horizontal="center" vertical="center" textRotation="180"/>
    </xf>
    <xf numFmtId="0" fontId="4" fillId="0" borderId="4" xfId="0" applyFont="1" applyBorder="1" applyAlignment="1" applyProtection="1">
      <alignment horizontal="center" vertical="center" textRotation="180"/>
    </xf>
    <xf numFmtId="0" fontId="4" fillId="0" borderId="9" xfId="0" applyFont="1" applyBorder="1" applyAlignment="1" applyProtection="1">
      <alignment horizontal="center" vertical="center" textRotation="180"/>
    </xf>
    <xf numFmtId="0" fontId="4" fillId="0" borderId="2" xfId="0" applyFont="1" applyBorder="1" applyAlignment="1" applyProtection="1">
      <alignment horizontal="center"/>
    </xf>
    <xf numFmtId="0" fontId="4" fillId="0" borderId="3" xfId="0" applyFont="1" applyBorder="1" applyAlignment="1" applyProtection="1">
      <alignment horizontal="center" vertical="center" textRotation="180"/>
    </xf>
    <xf numFmtId="0" fontId="0" fillId="3" borderId="11" xfId="0" applyFill="1" applyBorder="1" applyAlignment="1" applyProtection="1">
      <alignment horizontal="center"/>
      <protection locked="0"/>
    </xf>
    <xf numFmtId="0" fontId="0" fillId="3" borderId="10" xfId="0" applyFill="1" applyBorder="1" applyAlignment="1" applyProtection="1">
      <alignment horizontal="center"/>
      <protection locked="0"/>
    </xf>
    <xf numFmtId="0" fontId="0" fillId="3" borderId="12" xfId="0" applyFill="1" applyBorder="1" applyAlignment="1" applyProtection="1">
      <alignment horizontal="center"/>
      <protection locked="0"/>
    </xf>
    <xf numFmtId="0" fontId="4" fillId="0" borderId="0" xfId="0" applyFont="1" applyAlignment="1" applyProtection="1">
      <alignment horizontal="center"/>
    </xf>
    <xf numFmtId="0" fontId="3" fillId="0" borderId="3" xfId="0" applyFont="1" applyBorder="1" applyAlignment="1" applyProtection="1">
      <alignment horizontal="left" vertical="top" wrapText="1"/>
    </xf>
    <xf numFmtId="0" fontId="3" fillId="0" borderId="0" xfId="0" applyFont="1" applyBorder="1" applyAlignment="1" applyProtection="1">
      <alignment horizontal="left" vertical="top" wrapText="1"/>
    </xf>
    <xf numFmtId="0" fontId="3" fillId="0" borderId="4" xfId="0" applyFont="1" applyBorder="1" applyAlignment="1" applyProtection="1">
      <alignment horizontal="left" vertical="top" wrapText="1"/>
    </xf>
    <xf numFmtId="0" fontId="3" fillId="0" borderId="11" xfId="0" applyFont="1" applyBorder="1" applyAlignment="1" applyProtection="1">
      <alignment horizontal="right"/>
    </xf>
    <xf numFmtId="0" fontId="3" fillId="0" borderId="10" xfId="0" applyFont="1" applyBorder="1" applyAlignment="1" applyProtection="1">
      <alignment horizontal="right"/>
    </xf>
    <xf numFmtId="0" fontId="3" fillId="0" borderId="12" xfId="0" applyFont="1" applyBorder="1" applyAlignment="1" applyProtection="1">
      <alignment horizontal="right"/>
    </xf>
    <xf numFmtId="0" fontId="5" fillId="3" borderId="11" xfId="0" applyFont="1" applyFill="1" applyBorder="1" applyAlignment="1" applyProtection="1">
      <alignment horizontal="center"/>
      <protection locked="0"/>
    </xf>
    <xf numFmtId="0" fontId="5" fillId="3" borderId="12" xfId="0" applyFont="1" applyFill="1" applyBorder="1" applyAlignment="1" applyProtection="1">
      <alignment horizontal="center"/>
      <protection locked="0"/>
    </xf>
    <xf numFmtId="1" fontId="13" fillId="4" borderId="11" xfId="0" applyNumberFormat="1" applyFont="1" applyFill="1" applyBorder="1" applyAlignment="1" applyProtection="1">
      <alignment horizontal="center" wrapText="1"/>
    </xf>
    <xf numFmtId="1" fontId="13" fillId="4" borderId="12" xfId="0" applyNumberFormat="1" applyFont="1" applyFill="1" applyBorder="1" applyAlignment="1" applyProtection="1">
      <alignment horizontal="center" wrapText="1"/>
    </xf>
    <xf numFmtId="0" fontId="11" fillId="0" borderId="3" xfId="0" applyFont="1" applyBorder="1" applyAlignment="1" applyProtection="1">
      <alignment horizontal="right"/>
    </xf>
    <xf numFmtId="0" fontId="11" fillId="0" borderId="0" xfId="0" applyFont="1" applyBorder="1" applyAlignment="1" applyProtection="1">
      <alignment horizontal="right"/>
    </xf>
    <xf numFmtId="0" fontId="11" fillId="6" borderId="11" xfId="0" applyFont="1" applyFill="1" applyBorder="1" applyAlignment="1" applyProtection="1">
      <alignment horizontal="center"/>
    </xf>
    <xf numFmtId="0" fontId="11" fillId="6" borderId="12" xfId="0" applyFont="1" applyFill="1" applyBorder="1" applyAlignment="1" applyProtection="1">
      <alignment horizontal="center"/>
    </xf>
    <xf numFmtId="1" fontId="11" fillId="4" borderId="11" xfId="0" applyNumberFormat="1" applyFont="1" applyFill="1" applyBorder="1" applyAlignment="1" applyProtection="1">
      <alignment horizontal="center"/>
    </xf>
    <xf numFmtId="1" fontId="11" fillId="4" borderId="12" xfId="0" applyNumberFormat="1" applyFont="1" applyFill="1" applyBorder="1" applyAlignment="1" applyProtection="1">
      <alignment horizontal="center"/>
    </xf>
    <xf numFmtId="164" fontId="13" fillId="4" borderId="11" xfId="0" applyNumberFormat="1" applyFont="1" applyFill="1" applyBorder="1" applyAlignment="1" applyProtection="1">
      <alignment horizontal="center"/>
    </xf>
    <xf numFmtId="164" fontId="13" fillId="4" borderId="12" xfId="0" applyNumberFormat="1" applyFont="1" applyFill="1" applyBorder="1" applyAlignment="1" applyProtection="1">
      <alignment horizontal="center"/>
    </xf>
    <xf numFmtId="11" fontId="11" fillId="4" borderId="11" xfId="0" applyNumberFormat="1" applyFont="1" applyFill="1" applyBorder="1" applyAlignment="1" applyProtection="1">
      <alignment horizontal="center"/>
    </xf>
    <xf numFmtId="11" fontId="11" fillId="4" borderId="12" xfId="0" applyNumberFormat="1" applyFont="1" applyFill="1" applyBorder="1" applyAlignment="1" applyProtection="1">
      <alignment horizontal="center"/>
    </xf>
    <xf numFmtId="1" fontId="15" fillId="0" borderId="2" xfId="0" applyNumberFormat="1" applyFont="1" applyBorder="1" applyAlignment="1" applyProtection="1">
      <alignment horizontal="center" wrapText="1"/>
    </xf>
    <xf numFmtId="0" fontId="11" fillId="3" borderId="11" xfId="0" applyFont="1" applyFill="1" applyBorder="1" applyAlignment="1" applyProtection="1">
      <alignment horizontal="center"/>
      <protection locked="0"/>
    </xf>
    <xf numFmtId="0" fontId="11" fillId="3" borderId="12" xfId="0" applyFont="1" applyFill="1" applyBorder="1" applyAlignment="1" applyProtection="1">
      <alignment horizontal="center"/>
      <protection locked="0"/>
    </xf>
    <xf numFmtId="1" fontId="13" fillId="4" borderId="11" xfId="0" applyNumberFormat="1" applyFont="1" applyFill="1" applyBorder="1" applyAlignment="1" applyProtection="1">
      <alignment horizontal="center"/>
    </xf>
    <xf numFmtId="1" fontId="13" fillId="4" borderId="12" xfId="0" applyNumberFormat="1" applyFont="1" applyFill="1" applyBorder="1" applyAlignment="1" applyProtection="1">
      <alignment horizontal="center"/>
    </xf>
    <xf numFmtId="0" fontId="11" fillId="0" borderId="3" xfId="0" applyFont="1" applyBorder="1" applyAlignment="1" applyProtection="1">
      <alignment horizontal="right" wrapText="1"/>
    </xf>
    <xf numFmtId="0" fontId="11" fillId="0" borderId="0" xfId="0" applyFont="1" applyBorder="1" applyAlignment="1" applyProtection="1">
      <alignment horizontal="right" wrapText="1"/>
    </xf>
    <xf numFmtId="0" fontId="13" fillId="3" borderId="11" xfId="0" applyFont="1" applyFill="1" applyBorder="1" applyAlignment="1" applyProtection="1">
      <alignment horizontal="center" wrapText="1"/>
      <protection locked="0"/>
    </xf>
    <xf numFmtId="0" fontId="13" fillId="3" borderId="12" xfId="0" applyFont="1" applyFill="1" applyBorder="1" applyAlignment="1" applyProtection="1">
      <alignment horizontal="center" wrapText="1"/>
      <protection locked="0"/>
    </xf>
    <xf numFmtId="0" fontId="11" fillId="4" borderId="11" xfId="0" applyFont="1" applyFill="1" applyBorder="1" applyAlignment="1" applyProtection="1">
      <alignment horizontal="center"/>
    </xf>
    <xf numFmtId="0" fontId="11" fillId="4" borderId="12" xfId="0" applyFont="1" applyFill="1" applyBorder="1" applyAlignment="1" applyProtection="1">
      <alignment horizontal="center"/>
    </xf>
    <xf numFmtId="0" fontId="11" fillId="3" borderId="11" xfId="0" applyFont="1" applyFill="1" applyBorder="1" applyAlignment="1" applyProtection="1">
      <alignment horizontal="center" wrapText="1"/>
      <protection locked="0"/>
    </xf>
    <xf numFmtId="0" fontId="11" fillId="3" borderId="12" xfId="0" applyFont="1" applyFill="1" applyBorder="1" applyAlignment="1" applyProtection="1">
      <alignment horizontal="center" wrapText="1"/>
      <protection locked="0"/>
    </xf>
    <xf numFmtId="0" fontId="0" fillId="3" borderId="5" xfId="0" applyFill="1" applyBorder="1" applyAlignment="1" applyProtection="1">
      <alignment horizontal="center" wrapText="1"/>
      <protection locked="0"/>
    </xf>
    <xf numFmtId="0" fontId="0" fillId="3" borderId="2"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1" fontId="13" fillId="6" borderId="11" xfId="0" applyNumberFormat="1" applyFont="1" applyFill="1" applyBorder="1" applyAlignment="1" applyProtection="1">
      <alignment horizontal="center" wrapText="1"/>
    </xf>
    <xf numFmtId="1" fontId="13" fillId="6" borderId="12" xfId="0" applyNumberFormat="1" applyFont="1" applyFill="1" applyBorder="1" applyAlignment="1" applyProtection="1">
      <alignment horizontal="center" wrapText="1"/>
    </xf>
    <xf numFmtId="1" fontId="15" fillId="0" borderId="3" xfId="0" applyNumberFormat="1" applyFont="1" applyBorder="1" applyAlignment="1" applyProtection="1">
      <alignment horizontal="left" wrapText="1"/>
    </xf>
    <xf numFmtId="1" fontId="15" fillId="0" borderId="0" xfId="0" applyNumberFormat="1" applyFont="1" applyBorder="1" applyAlignment="1" applyProtection="1">
      <alignment horizontal="left" wrapText="1"/>
    </xf>
    <xf numFmtId="0" fontId="3" fillId="0" borderId="5" xfId="0" applyFont="1" applyBorder="1" applyAlignment="1">
      <alignment horizontal="center"/>
    </xf>
    <xf numFmtId="0" fontId="3" fillId="0" borderId="2" xfId="0" applyFont="1" applyBorder="1" applyAlignment="1">
      <alignment horizontal="center"/>
    </xf>
    <xf numFmtId="0" fontId="3" fillId="0" borderId="6" xfId="0" applyFon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 fillId="0" borderId="3" xfId="0" applyFont="1" applyBorder="1" applyAlignment="1" applyProtection="1">
      <alignment horizontal="right"/>
    </xf>
    <xf numFmtId="0" fontId="1" fillId="0" borderId="0" xfId="0" applyFont="1" applyBorder="1" applyAlignment="1" applyProtection="1">
      <alignment horizontal="right"/>
    </xf>
    <xf numFmtId="0" fontId="1" fillId="0" borderId="4" xfId="0" applyFont="1" applyBorder="1" applyAlignment="1" applyProtection="1">
      <alignment horizontal="right"/>
    </xf>
    <xf numFmtId="164" fontId="11" fillId="4" borderId="11" xfId="0" applyNumberFormat="1" applyFont="1" applyFill="1" applyBorder="1" applyAlignment="1" applyProtection="1">
      <alignment horizontal="center"/>
    </xf>
    <xf numFmtId="164" fontId="11" fillId="4" borderId="12" xfId="0" applyNumberFormat="1" applyFont="1" applyFill="1" applyBorder="1" applyAlignment="1" applyProtection="1">
      <alignment horizontal="center"/>
    </xf>
    <xf numFmtId="0" fontId="11" fillId="0" borderId="4" xfId="0" applyFont="1" applyBorder="1" applyAlignment="1" applyProtection="1">
      <alignment horizontal="right" wrapText="1"/>
    </xf>
    <xf numFmtId="0" fontId="11" fillId="0" borderId="4" xfId="0" applyFont="1" applyBorder="1" applyAlignment="1" applyProtection="1">
      <alignment horizontal="right"/>
    </xf>
    <xf numFmtId="2" fontId="11" fillId="3" borderId="11" xfId="0" applyNumberFormat="1" applyFont="1" applyFill="1" applyBorder="1" applyAlignment="1" applyProtection="1">
      <alignment horizontal="center"/>
      <protection locked="0"/>
    </xf>
    <xf numFmtId="2" fontId="11" fillId="3" borderId="12" xfId="0" applyNumberFormat="1" applyFont="1" applyFill="1" applyBorder="1" applyAlignment="1" applyProtection="1">
      <alignment horizontal="center"/>
      <protection locked="0"/>
    </xf>
    <xf numFmtId="1" fontId="13" fillId="0" borderId="11" xfId="0" applyNumberFormat="1" applyFont="1" applyBorder="1" applyAlignment="1" applyProtection="1">
      <alignment horizontal="center" wrapText="1"/>
    </xf>
    <xf numFmtId="1" fontId="13" fillId="0" borderId="12" xfId="0" applyNumberFormat="1" applyFont="1" applyBorder="1" applyAlignment="1" applyProtection="1">
      <alignment horizontal="center" wrapText="1"/>
    </xf>
    <xf numFmtId="1" fontId="34" fillId="0" borderId="3" xfId="0" applyNumberFormat="1" applyFont="1" applyBorder="1" applyAlignment="1" applyProtection="1">
      <alignment horizontal="left" wrapText="1"/>
    </xf>
    <xf numFmtId="1" fontId="34" fillId="0" borderId="0" xfId="0" applyNumberFormat="1" applyFont="1" applyBorder="1" applyAlignment="1" applyProtection="1">
      <alignment horizontal="left" wrapText="1"/>
    </xf>
    <xf numFmtId="1" fontId="34" fillId="0" borderId="2" xfId="0" applyNumberFormat="1" applyFont="1" applyFill="1" applyBorder="1" applyAlignment="1" applyProtection="1">
      <alignment horizontal="center" wrapText="1"/>
    </xf>
    <xf numFmtId="0" fontId="13" fillId="3" borderId="11" xfId="0" applyFont="1" applyFill="1" applyBorder="1" applyAlignment="1" applyProtection="1">
      <alignment horizontal="center"/>
      <protection locked="0"/>
    </xf>
    <xf numFmtId="0" fontId="13" fillId="3" borderId="12" xfId="0" applyFon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6" xfId="0" applyFill="1" applyBorder="1" applyAlignment="1" applyProtection="1">
      <alignment horizontal="center"/>
      <protection locked="0"/>
    </xf>
    <xf numFmtId="1" fontId="11" fillId="3" borderId="11" xfId="0" applyNumberFormat="1" applyFont="1" applyFill="1" applyBorder="1" applyAlignment="1" applyProtection="1">
      <alignment horizontal="center" wrapText="1"/>
      <protection locked="0"/>
    </xf>
    <xf numFmtId="1" fontId="11" fillId="3" borderId="12" xfId="0" applyNumberFormat="1" applyFont="1" applyFill="1" applyBorder="1" applyAlignment="1" applyProtection="1">
      <alignment horizontal="center" wrapText="1"/>
      <protection locked="0"/>
    </xf>
    <xf numFmtId="0" fontId="3" fillId="0" borderId="11" xfId="0" applyFont="1" applyBorder="1" applyAlignment="1" applyProtection="1">
      <alignment horizontal="center"/>
    </xf>
    <xf numFmtId="0" fontId="3" fillId="0" borderId="12" xfId="0" applyFont="1" applyBorder="1" applyAlignment="1" applyProtection="1">
      <alignment horizontal="center"/>
    </xf>
    <xf numFmtId="0" fontId="6" fillId="3" borderId="0" xfId="1" applyFill="1" applyBorder="1" applyAlignment="1" applyProtection="1">
      <alignment horizontal="center"/>
    </xf>
    <xf numFmtId="0" fontId="4" fillId="0" borderId="3" xfId="3" applyFont="1" applyBorder="1" applyAlignment="1" applyProtection="1">
      <alignment horizontal="right"/>
    </xf>
    <xf numFmtId="0" fontId="4" fillId="0" borderId="0" xfId="3" applyFont="1" applyBorder="1" applyAlignment="1" applyProtection="1">
      <alignment horizontal="right"/>
    </xf>
    <xf numFmtId="0" fontId="4" fillId="0" borderId="4" xfId="3" applyFont="1" applyBorder="1" applyAlignment="1" applyProtection="1">
      <alignment horizontal="right"/>
    </xf>
    <xf numFmtId="164" fontId="11" fillId="4" borderId="11" xfId="3" applyNumberFormat="1" applyFont="1" applyFill="1" applyBorder="1" applyAlignment="1" applyProtection="1">
      <alignment horizontal="center"/>
    </xf>
    <xf numFmtId="164" fontId="11" fillId="4" borderId="12" xfId="3" applyNumberFormat="1" applyFont="1" applyFill="1" applyBorder="1" applyAlignment="1" applyProtection="1">
      <alignment horizontal="center"/>
    </xf>
    <xf numFmtId="0" fontId="3" fillId="0" borderId="0" xfId="3" applyFont="1" applyAlignment="1">
      <alignment horizontal="center"/>
    </xf>
    <xf numFmtId="0" fontId="4" fillId="0" borderId="8" xfId="3" applyBorder="1" applyAlignment="1">
      <alignment horizontal="center"/>
    </xf>
    <xf numFmtId="0" fontId="11" fillId="0" borderId="3" xfId="3" applyFont="1" applyBorder="1" applyAlignment="1" applyProtection="1">
      <alignment horizontal="right" wrapText="1"/>
    </xf>
    <xf numFmtId="0" fontId="11" fillId="0" borderId="0" xfId="3" applyFont="1" applyBorder="1" applyAlignment="1" applyProtection="1">
      <alignment horizontal="right" wrapText="1"/>
    </xf>
    <xf numFmtId="0" fontId="11" fillId="0" borderId="4" xfId="3" applyFont="1" applyBorder="1" applyAlignment="1" applyProtection="1">
      <alignment horizontal="right" wrapText="1"/>
    </xf>
    <xf numFmtId="0" fontId="11" fillId="3" borderId="11" xfId="3" applyFont="1" applyFill="1" applyBorder="1" applyAlignment="1" applyProtection="1">
      <alignment horizontal="center" wrapText="1"/>
      <protection locked="0"/>
    </xf>
    <xf numFmtId="0" fontId="11" fillId="3" borderId="12" xfId="3" applyFont="1" applyFill="1" applyBorder="1" applyAlignment="1" applyProtection="1">
      <alignment horizontal="center" wrapText="1"/>
      <protection locked="0"/>
    </xf>
    <xf numFmtId="0" fontId="11" fillId="0" borderId="0" xfId="3" applyFont="1" applyBorder="1" applyAlignment="1" applyProtection="1">
      <alignment horizontal="right"/>
    </xf>
    <xf numFmtId="0" fontId="11" fillId="0" borderId="4" xfId="3" applyFont="1" applyBorder="1" applyAlignment="1" applyProtection="1">
      <alignment horizontal="right"/>
    </xf>
    <xf numFmtId="2" fontId="11" fillId="3" borderId="11" xfId="3" applyNumberFormat="1" applyFont="1" applyFill="1" applyBorder="1" applyAlignment="1" applyProtection="1">
      <alignment horizontal="center"/>
      <protection locked="0"/>
    </xf>
    <xf numFmtId="2" fontId="11" fillId="3" borderId="12" xfId="3" applyNumberFormat="1" applyFont="1" applyFill="1" applyBorder="1" applyAlignment="1" applyProtection="1">
      <alignment horizontal="center"/>
      <protection locked="0"/>
    </xf>
    <xf numFmtId="0" fontId="3" fillId="0" borderId="5" xfId="0" applyFont="1" applyBorder="1" applyAlignment="1">
      <alignment horizontal="left" wrapText="1"/>
    </xf>
    <xf numFmtId="0" fontId="3" fillId="0" borderId="2" xfId="0" applyFont="1" applyBorder="1" applyAlignment="1">
      <alignment horizontal="left" wrapText="1"/>
    </xf>
    <xf numFmtId="0" fontId="3" fillId="0" borderId="6" xfId="0" applyFont="1" applyBorder="1" applyAlignment="1">
      <alignment horizontal="left" wrapText="1"/>
    </xf>
    <xf numFmtId="0" fontId="3" fillId="0" borderId="7" xfId="0" applyFont="1" applyBorder="1" applyAlignment="1">
      <alignment horizontal="left" wrapText="1"/>
    </xf>
    <xf numFmtId="0" fontId="3" fillId="0" borderId="8" xfId="0" applyFont="1" applyBorder="1" applyAlignment="1">
      <alignment horizontal="left" wrapText="1"/>
    </xf>
    <xf numFmtId="0" fontId="3" fillId="0" borderId="9" xfId="0" applyFont="1" applyBorder="1" applyAlignment="1">
      <alignment horizontal="left" wrapText="1"/>
    </xf>
    <xf numFmtId="11" fontId="3" fillId="0" borderId="11" xfId="0" applyNumberFormat="1" applyFont="1" applyFill="1" applyBorder="1" applyAlignment="1" applyProtection="1">
      <alignment horizontal="center"/>
    </xf>
    <xf numFmtId="11" fontId="3" fillId="0" borderId="12" xfId="0" applyNumberFormat="1" applyFont="1" applyFill="1" applyBorder="1" applyAlignment="1" applyProtection="1">
      <alignment horizontal="center"/>
    </xf>
    <xf numFmtId="0" fontId="22" fillId="0" borderId="5" xfId="0" applyFont="1" applyBorder="1" applyAlignment="1">
      <alignment horizontal="left" wrapText="1"/>
    </xf>
    <xf numFmtId="0" fontId="22" fillId="0" borderId="2" xfId="0" applyFont="1" applyBorder="1" applyAlignment="1">
      <alignment horizontal="left" wrapText="1"/>
    </xf>
    <xf numFmtId="0" fontId="22" fillId="0" borderId="6" xfId="0" applyFont="1" applyBorder="1" applyAlignment="1">
      <alignment horizontal="left" wrapText="1"/>
    </xf>
    <xf numFmtId="0" fontId="22" fillId="0" borderId="7" xfId="0" applyFont="1" applyBorder="1" applyAlignment="1">
      <alignment horizontal="left" wrapText="1"/>
    </xf>
    <xf numFmtId="0" fontId="22" fillId="0" borderId="8" xfId="0" applyFont="1" applyBorder="1" applyAlignment="1">
      <alignment horizontal="left" wrapText="1"/>
    </xf>
    <xf numFmtId="0" fontId="22" fillId="0" borderId="9" xfId="0" applyFont="1" applyBorder="1" applyAlignment="1">
      <alignment horizontal="left" wrapText="1"/>
    </xf>
    <xf numFmtId="11" fontId="3" fillId="3" borderId="2" xfId="0" applyNumberFormat="1" applyFont="1" applyFill="1" applyBorder="1" applyAlignment="1" applyProtection="1">
      <alignment horizontal="center"/>
      <protection locked="0"/>
    </xf>
    <xf numFmtId="0" fontId="3" fillId="0" borderId="3" xfId="0" applyFont="1" applyBorder="1" applyAlignment="1">
      <alignment horizontal="left" wrapText="1"/>
    </xf>
    <xf numFmtId="0" fontId="3" fillId="0" borderId="0" xfId="0" applyFont="1" applyBorder="1" applyAlignment="1">
      <alignment horizontal="left" wrapText="1"/>
    </xf>
    <xf numFmtId="11" fontId="3" fillId="3" borderId="5" xfId="0" applyNumberFormat="1" applyFont="1" applyFill="1" applyBorder="1" applyAlignment="1" applyProtection="1">
      <alignment horizontal="center"/>
      <protection locked="0"/>
    </xf>
    <xf numFmtId="0" fontId="0" fillId="3" borderId="11" xfId="0" applyFill="1" applyBorder="1" applyAlignment="1" applyProtection="1">
      <alignment horizontal="center" wrapText="1"/>
      <protection locked="0"/>
    </xf>
    <xf numFmtId="0" fontId="0" fillId="3" borderId="12" xfId="0" applyFill="1" applyBorder="1" applyAlignment="1" applyProtection="1">
      <alignment horizontal="center" wrapText="1"/>
      <protection locked="0"/>
    </xf>
    <xf numFmtId="0" fontId="11" fillId="0" borderId="7" xfId="0" applyFont="1" applyBorder="1" applyAlignment="1">
      <alignment horizontal="right" wrapText="1"/>
    </xf>
    <xf numFmtId="0" fontId="11" fillId="0" borderId="8" xfId="0" applyFont="1" applyBorder="1" applyAlignment="1">
      <alignment horizontal="right" wrapText="1"/>
    </xf>
    <xf numFmtId="0" fontId="11" fillId="0" borderId="9" xfId="0" applyFont="1" applyBorder="1" applyAlignment="1">
      <alignment horizontal="right" wrapText="1"/>
    </xf>
    <xf numFmtId="0" fontId="13" fillId="0" borderId="11" xfId="0" applyFont="1" applyBorder="1" applyAlignment="1" applyProtection="1">
      <alignment horizontal="center" wrapText="1"/>
      <protection locked="0"/>
    </xf>
    <xf numFmtId="0" fontId="13" fillId="0" borderId="12" xfId="0" applyFont="1" applyBorder="1" applyAlignment="1" applyProtection="1">
      <alignment horizontal="center" wrapText="1"/>
      <protection locked="0"/>
    </xf>
    <xf numFmtId="0" fontId="11" fillId="0" borderId="3" xfId="0" applyFont="1" applyBorder="1" applyAlignment="1">
      <alignment horizontal="right" wrapText="1"/>
    </xf>
    <xf numFmtId="0" fontId="11" fillId="0" borderId="0" xfId="0" applyFont="1" applyBorder="1" applyAlignment="1">
      <alignment horizontal="right" wrapText="1"/>
    </xf>
    <xf numFmtId="0" fontId="11" fillId="0" borderId="4" xfId="0" applyFont="1" applyBorder="1" applyAlignment="1">
      <alignment horizontal="right" wrapText="1"/>
    </xf>
    <xf numFmtId="0" fontId="0" fillId="3" borderId="11" xfId="0" applyFill="1" applyBorder="1" applyAlignment="1" applyProtection="1">
      <alignment horizontal="center" vertical="top" wrapText="1"/>
      <protection locked="0"/>
    </xf>
    <xf numFmtId="0" fontId="0" fillId="3" borderId="12" xfId="0" applyFill="1" applyBorder="1" applyAlignment="1" applyProtection="1">
      <alignment horizontal="center" vertical="top" wrapText="1"/>
      <protection locked="0"/>
    </xf>
    <xf numFmtId="0" fontId="3" fillId="0" borderId="0" xfId="0" applyFont="1" applyAlignment="1" applyProtection="1">
      <alignment horizontal="center"/>
    </xf>
    <xf numFmtId="0" fontId="4" fillId="0" borderId="5" xfId="0" applyFont="1"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6" xfId="0" applyBorder="1" applyAlignment="1" applyProtection="1">
      <alignment horizontal="left" vertical="center" wrapText="1"/>
    </xf>
    <xf numFmtId="0" fontId="0" fillId="0" borderId="7" xfId="0" applyBorder="1" applyAlignment="1" applyProtection="1">
      <alignment horizontal="left" vertical="center" wrapText="1"/>
    </xf>
    <xf numFmtId="0" fontId="0" fillId="0" borderId="8" xfId="0" applyBorder="1" applyAlignment="1" applyProtection="1">
      <alignment horizontal="left" vertical="center" wrapText="1"/>
    </xf>
    <xf numFmtId="0" fontId="0" fillId="0" borderId="9" xfId="0" applyBorder="1" applyAlignment="1" applyProtection="1">
      <alignment horizontal="left" vertical="center" wrapText="1"/>
    </xf>
    <xf numFmtId="49" fontId="0" fillId="3" borderId="11" xfId="0" applyNumberFormat="1" applyFill="1" applyBorder="1" applyAlignment="1" applyProtection="1">
      <alignment horizontal="center" vertical="top" wrapText="1"/>
      <protection locked="0"/>
    </xf>
    <xf numFmtId="49" fontId="0" fillId="3" borderId="12" xfId="0" applyNumberFormat="1" applyFill="1" applyBorder="1" applyAlignment="1" applyProtection="1">
      <alignment horizontal="center" vertical="top" wrapText="1"/>
      <protection locked="0"/>
    </xf>
    <xf numFmtId="0" fontId="0" fillId="4" borderId="11" xfId="0" applyFill="1" applyBorder="1" applyAlignment="1" applyProtection="1">
      <alignment horizontal="center"/>
    </xf>
    <xf numFmtId="0" fontId="0" fillId="4" borderId="12" xfId="0" applyFill="1" applyBorder="1" applyAlignment="1" applyProtection="1">
      <alignment horizontal="center"/>
    </xf>
    <xf numFmtId="0" fontId="0" fillId="3" borderId="1" xfId="0" applyFill="1" applyBorder="1" applyAlignment="1" applyProtection="1">
      <alignment horizontal="center"/>
      <protection locked="0"/>
    </xf>
    <xf numFmtId="11" fontId="3" fillId="0" borderId="3" xfId="0" applyNumberFormat="1" applyFont="1" applyFill="1" applyBorder="1" applyAlignment="1" applyProtection="1">
      <alignment horizontal="center"/>
    </xf>
    <xf numFmtId="11" fontId="3" fillId="0" borderId="0" xfId="0" applyNumberFormat="1" applyFont="1" applyFill="1" applyBorder="1" applyAlignment="1" applyProtection="1">
      <alignment horizontal="center"/>
    </xf>
    <xf numFmtId="0" fontId="0" fillId="0" borderId="5" xfId="0" applyBorder="1" applyAlignment="1">
      <alignment horizontal="left" wrapText="1"/>
    </xf>
    <xf numFmtId="0" fontId="3" fillId="0" borderId="5" xfId="0" applyFont="1" applyBorder="1" applyAlignment="1" applyProtection="1">
      <alignment horizontal="center"/>
    </xf>
    <xf numFmtId="0" fontId="3" fillId="0" borderId="2" xfId="0" applyFont="1" applyBorder="1" applyAlignment="1" applyProtection="1">
      <alignment horizontal="center"/>
    </xf>
    <xf numFmtId="0" fontId="3" fillId="0" borderId="6" xfId="0" applyFont="1" applyBorder="1" applyAlignment="1" applyProtection="1">
      <alignment horizontal="center"/>
    </xf>
  </cellXfs>
  <cellStyles count="7">
    <cellStyle name="Lien hypertexte" xfId="1" builtinId="8"/>
    <cellStyle name="Neutral 2" xfId="2" xr:uid="{00000000-0005-0000-0000-000001000000}"/>
    <cellStyle name="Normal" xfId="0" builtinId="0"/>
    <cellStyle name="Normal 2" xfId="3" xr:uid="{00000000-0005-0000-0000-000003000000}"/>
    <cellStyle name="Normal 3" xfId="4" xr:uid="{00000000-0005-0000-0000-000004000000}"/>
    <cellStyle name="Normal 4" xfId="5" xr:uid="{00000000-0005-0000-0000-000005000000}"/>
    <cellStyle name="Normal 5" xfId="6" xr:uid="{00000000-0005-0000-0000-000006000000}"/>
  </cellStyles>
  <dxfs count="290">
    <dxf>
      <fill>
        <patternFill>
          <bgColor rgb="FF00B050"/>
        </patternFill>
      </fill>
    </dxf>
    <dxf>
      <fill>
        <patternFill>
          <bgColor rgb="FFFF0000"/>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C000"/>
        </patternFill>
      </fill>
    </dxf>
    <dxf>
      <fill>
        <patternFill>
          <bgColor rgb="FFFFC000"/>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rgb="FFFF0000"/>
        </patternFill>
      </fill>
    </dxf>
    <dxf>
      <fill>
        <patternFill>
          <bgColor rgb="FF00FF00"/>
        </patternFill>
      </fill>
    </dxf>
    <dxf>
      <fill>
        <patternFill>
          <bgColor rgb="FFFFFF00"/>
        </patternFill>
      </fill>
    </dxf>
    <dxf>
      <fill>
        <patternFill>
          <bgColor indexed="13"/>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9933"/>
        </patternFill>
      </fill>
    </dxf>
    <dxf>
      <fill>
        <patternFill>
          <bgColor indexed="11"/>
        </patternFill>
      </fill>
    </dxf>
    <dxf>
      <fill>
        <patternFill>
          <bgColor rgb="FFFF9933"/>
        </patternFill>
      </fill>
    </dxf>
    <dxf>
      <fill>
        <patternFill>
          <bgColor indexed="11"/>
        </patternFill>
      </fill>
    </dxf>
    <dxf>
      <fill>
        <patternFill>
          <bgColor indexed="11"/>
        </patternFill>
      </fill>
    </dxf>
    <dxf>
      <fill>
        <patternFill>
          <bgColor indexed="1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rgb="FF00FF0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indexed="11"/>
        </patternFill>
      </fill>
    </dxf>
    <dxf>
      <fill>
        <patternFill>
          <bgColor indexed="10"/>
        </patternFill>
      </fill>
    </dxf>
    <dxf>
      <fill>
        <patternFill>
          <bgColor rgb="FFFF9933"/>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rgb="FFFF9933"/>
        </patternFill>
      </fill>
    </dxf>
    <dxf>
      <fill>
        <patternFill>
          <bgColor indexed="11"/>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patternType="lightUp"/>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bgColor indexed="52"/>
        </patternFill>
      </fill>
    </dxf>
    <dxf>
      <fill>
        <patternFill>
          <bgColor indexed="11"/>
        </patternFill>
      </fill>
    </dxf>
    <dxf>
      <fill>
        <patternFill>
          <bgColor indexed="10"/>
        </patternFill>
      </fill>
    </dxf>
    <dxf>
      <fill>
        <patternFill patternType="lightUp"/>
      </fill>
    </dxf>
    <dxf>
      <fill>
        <patternFill>
          <bgColor indexed="10"/>
        </patternFill>
      </fill>
    </dxf>
    <dxf>
      <fill>
        <patternFill>
          <bgColor indexed="11"/>
        </patternFill>
      </fill>
    </dxf>
    <dxf>
      <fill>
        <patternFill>
          <bgColor indexed="9"/>
        </patternFill>
      </fill>
    </dxf>
    <dxf>
      <fill>
        <patternFill>
          <bgColor indexed="10"/>
        </patternFill>
      </fill>
    </dxf>
    <dxf>
      <fill>
        <patternFill>
          <bgColor indexed="11"/>
        </patternFill>
      </fill>
    </dxf>
    <dxf>
      <fill>
        <patternFill patternType="lightUp"/>
      </fill>
    </dxf>
    <dxf>
      <fill>
        <patternFill>
          <bgColor rgb="FFFF9933"/>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jpeg"/><Relationship Id="rId5" Type="http://schemas.openxmlformats.org/officeDocument/2006/relationships/image" Target="../media/image15.jpeg"/><Relationship Id="rId4"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xdr:twoCellAnchor editAs="oneCell">
    <xdr:from>
      <xdr:col>16</xdr:col>
      <xdr:colOff>228600</xdr:colOff>
      <xdr:row>5</xdr:row>
      <xdr:rowOff>85725</xdr:rowOff>
    </xdr:from>
    <xdr:to>
      <xdr:col>27</xdr:col>
      <xdr:colOff>600075</xdr:colOff>
      <xdr:row>15</xdr:row>
      <xdr:rowOff>47625</xdr:rowOff>
    </xdr:to>
    <xdr:pic>
      <xdr:nvPicPr>
        <xdr:cNvPr id="23564" name="Grafik 1">
          <a:extLst>
            <a:ext uri="{FF2B5EF4-FFF2-40B4-BE49-F238E27FC236}">
              <a16:creationId xmlns:a16="http://schemas.microsoft.com/office/drawing/2014/main" id="{2F3AD96C-AC65-488F-9A23-5F3535935F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2557" t="2892" r="2429"/>
        <a:stretch>
          <a:fillRect/>
        </a:stretch>
      </xdr:blipFill>
      <xdr:spPr bwMode="auto">
        <a:xfrm>
          <a:off x="10106025" y="895350"/>
          <a:ext cx="7077075" cy="223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0</xdr:colOff>
      <xdr:row>15</xdr:row>
      <xdr:rowOff>47625</xdr:rowOff>
    </xdr:from>
    <xdr:to>
      <xdr:col>23</xdr:col>
      <xdr:colOff>9525</xdr:colOff>
      <xdr:row>15</xdr:row>
      <xdr:rowOff>47625</xdr:rowOff>
    </xdr:to>
    <xdr:cxnSp macro="">
      <xdr:nvCxnSpPr>
        <xdr:cNvPr id="3" name="Straight Arrow Connector 2">
          <a:extLst>
            <a:ext uri="{FF2B5EF4-FFF2-40B4-BE49-F238E27FC236}">
              <a16:creationId xmlns:a16="http://schemas.microsoft.com/office/drawing/2014/main" id="{6DDEF987-A471-40EF-8A97-34C3FF72F6F1}"/>
            </a:ext>
          </a:extLst>
        </xdr:cNvPr>
        <xdr:cNvCxnSpPr/>
      </xdr:nvCxnSpPr>
      <xdr:spPr>
        <a:xfrm>
          <a:off x="13182600" y="2819400"/>
          <a:ext cx="10572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15</xdr:row>
      <xdr:rowOff>47625</xdr:rowOff>
    </xdr:from>
    <xdr:to>
      <xdr:col>26</xdr:col>
      <xdr:colOff>0</xdr:colOff>
      <xdr:row>15</xdr:row>
      <xdr:rowOff>47625</xdr:rowOff>
    </xdr:to>
    <xdr:cxnSp macro="">
      <xdr:nvCxnSpPr>
        <xdr:cNvPr id="4" name="Straight Arrow Connector 3">
          <a:extLst>
            <a:ext uri="{FF2B5EF4-FFF2-40B4-BE49-F238E27FC236}">
              <a16:creationId xmlns:a16="http://schemas.microsoft.com/office/drawing/2014/main" id="{401580A3-AB77-4AC0-B8BF-DA31EC8750C5}"/>
            </a:ext>
          </a:extLst>
        </xdr:cNvPr>
        <xdr:cNvCxnSpPr/>
      </xdr:nvCxnSpPr>
      <xdr:spPr>
        <a:xfrm>
          <a:off x="14249400" y="2819400"/>
          <a:ext cx="18097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38100</xdr:rowOff>
    </xdr:from>
    <xdr:to>
      <xdr:col>20</xdr:col>
      <xdr:colOff>0</xdr:colOff>
      <xdr:row>15</xdr:row>
      <xdr:rowOff>133350</xdr:rowOff>
    </xdr:to>
    <xdr:cxnSp macro="">
      <xdr:nvCxnSpPr>
        <xdr:cNvPr id="9" name="Straight Connector 8">
          <a:extLst>
            <a:ext uri="{FF2B5EF4-FFF2-40B4-BE49-F238E27FC236}">
              <a16:creationId xmlns:a16="http://schemas.microsoft.com/office/drawing/2014/main" id="{EBBF1091-4A85-4409-80A6-E8C663589311}"/>
            </a:ext>
          </a:extLst>
        </xdr:cNvPr>
        <xdr:cNvCxnSpPr/>
      </xdr:nvCxnSpPr>
      <xdr:spPr>
        <a:xfrm>
          <a:off x="13182600" y="2409825"/>
          <a:ext cx="0" cy="4953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13</xdr:row>
      <xdr:rowOff>38100</xdr:rowOff>
    </xdr:from>
    <xdr:to>
      <xdr:col>23</xdr:col>
      <xdr:colOff>9525</xdr:colOff>
      <xdr:row>15</xdr:row>
      <xdr:rowOff>133350</xdr:rowOff>
    </xdr:to>
    <xdr:cxnSp macro="">
      <xdr:nvCxnSpPr>
        <xdr:cNvPr id="10" name="Straight Connector 9">
          <a:extLst>
            <a:ext uri="{FF2B5EF4-FFF2-40B4-BE49-F238E27FC236}">
              <a16:creationId xmlns:a16="http://schemas.microsoft.com/office/drawing/2014/main" id="{CF6926C1-58B4-4AFD-B6A0-A959808BBD9C}"/>
            </a:ext>
          </a:extLst>
        </xdr:cNvPr>
        <xdr:cNvCxnSpPr/>
      </xdr:nvCxnSpPr>
      <xdr:spPr>
        <a:xfrm>
          <a:off x="14239875" y="2409825"/>
          <a:ext cx="0" cy="4953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9</xdr:row>
      <xdr:rowOff>28575</xdr:rowOff>
    </xdr:from>
    <xdr:to>
      <xdr:col>26</xdr:col>
      <xdr:colOff>0</xdr:colOff>
      <xdr:row>15</xdr:row>
      <xdr:rowOff>104775</xdr:rowOff>
    </xdr:to>
    <xdr:cxnSp macro="">
      <xdr:nvCxnSpPr>
        <xdr:cNvPr id="11" name="Straight Connector 10">
          <a:extLst>
            <a:ext uri="{FF2B5EF4-FFF2-40B4-BE49-F238E27FC236}">
              <a16:creationId xmlns:a16="http://schemas.microsoft.com/office/drawing/2014/main" id="{7A2F4312-04CB-4B3F-A9D5-58EB96D69AAF}"/>
            </a:ext>
          </a:extLst>
        </xdr:cNvPr>
        <xdr:cNvCxnSpPr/>
      </xdr:nvCxnSpPr>
      <xdr:spPr>
        <a:xfrm>
          <a:off x="16059150" y="1600200"/>
          <a:ext cx="0" cy="12763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257175</xdr:colOff>
      <xdr:row>1</xdr:row>
      <xdr:rowOff>19050</xdr:rowOff>
    </xdr:from>
    <xdr:to>
      <xdr:col>15</xdr:col>
      <xdr:colOff>447675</xdr:colOff>
      <xdr:row>18</xdr:row>
      <xdr:rowOff>0</xdr:rowOff>
    </xdr:to>
    <xdr:pic>
      <xdr:nvPicPr>
        <xdr:cNvPr id="65693" name="Picture 1">
          <a:extLst>
            <a:ext uri="{FF2B5EF4-FFF2-40B4-BE49-F238E27FC236}">
              <a16:creationId xmlns:a16="http://schemas.microsoft.com/office/drawing/2014/main" id="{3BBF26E0-067A-4FEA-BF26-CD547BE2C48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40060" t="35707" r="32967" b="33633"/>
        <a:stretch>
          <a:fillRect/>
        </a:stretch>
      </xdr:blipFill>
      <xdr:spPr bwMode="auto">
        <a:xfrm>
          <a:off x="6410325" y="219075"/>
          <a:ext cx="3848100" cy="2733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12</xdr:col>
      <xdr:colOff>28575</xdr:colOff>
      <xdr:row>1</xdr:row>
      <xdr:rowOff>152400</xdr:rowOff>
    </xdr:from>
    <xdr:to>
      <xdr:col>18</xdr:col>
      <xdr:colOff>190500</xdr:colOff>
      <xdr:row>13</xdr:row>
      <xdr:rowOff>123825</xdr:rowOff>
    </xdr:to>
    <xdr:grpSp>
      <xdr:nvGrpSpPr>
        <xdr:cNvPr id="72991" name="Group 11">
          <a:extLst>
            <a:ext uri="{FF2B5EF4-FFF2-40B4-BE49-F238E27FC236}">
              <a16:creationId xmlns:a16="http://schemas.microsoft.com/office/drawing/2014/main" id="{BF075435-DF64-4D1E-BD33-A67064156B82}"/>
            </a:ext>
          </a:extLst>
        </xdr:cNvPr>
        <xdr:cNvGrpSpPr>
          <a:grpSpLocks/>
        </xdr:cNvGrpSpPr>
      </xdr:nvGrpSpPr>
      <xdr:grpSpPr bwMode="auto">
        <a:xfrm>
          <a:off x="4029075" y="314325"/>
          <a:ext cx="2162175" cy="1914525"/>
          <a:chOff x="3876675" y="2000249"/>
          <a:chExt cx="2162175" cy="1914525"/>
        </a:xfrm>
      </xdr:grpSpPr>
      <xdr:pic>
        <xdr:nvPicPr>
          <xdr:cNvPr id="72994" name="Grafik 6">
            <a:extLst>
              <a:ext uri="{FF2B5EF4-FFF2-40B4-BE49-F238E27FC236}">
                <a16:creationId xmlns:a16="http://schemas.microsoft.com/office/drawing/2014/main" id="{6DE6CDE8-A0BB-4966-9972-82DB80E748E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63647" t="47105" r="5814"/>
          <a:stretch>
            <a:fillRect/>
          </a:stretch>
        </xdr:blipFill>
        <xdr:spPr bwMode="auto">
          <a:xfrm>
            <a:off x="3876675" y="2000249"/>
            <a:ext cx="2162175" cy="19145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xnSp macro="">
        <xdr:nvCxnSpPr>
          <xdr:cNvPr id="3" name="Straight Arrow Connector 2">
            <a:extLst>
              <a:ext uri="{FF2B5EF4-FFF2-40B4-BE49-F238E27FC236}">
                <a16:creationId xmlns:a16="http://schemas.microsoft.com/office/drawing/2014/main" id="{DF4E16AC-3EC9-4862-84D2-0FC58479F5AC}"/>
              </a:ext>
            </a:extLst>
          </xdr:cNvPr>
          <xdr:cNvCxnSpPr/>
        </xdr:nvCxnSpPr>
        <xdr:spPr>
          <a:xfrm>
            <a:off x="4495800" y="2447924"/>
            <a:ext cx="9525" cy="1047750"/>
          </a:xfrm>
          <a:prstGeom prst="straightConnector1">
            <a:avLst/>
          </a:prstGeom>
          <a:ln w="19050">
            <a:solidFill>
              <a:schemeClr val="bg1"/>
            </a:solidFill>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FA4803D4-2EA7-4FBF-ABE7-14282AD8F949}"/>
              </a:ext>
            </a:extLst>
          </xdr:cNvPr>
          <xdr:cNvCxnSpPr/>
        </xdr:nvCxnSpPr>
        <xdr:spPr>
          <a:xfrm flipV="1">
            <a:off x="4124325" y="2419349"/>
            <a:ext cx="695325" cy="9525"/>
          </a:xfrm>
          <a:prstGeom prst="line">
            <a:avLst/>
          </a:prstGeom>
          <a:ln>
            <a:solidFill>
              <a:schemeClr val="bg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9BE4BD6E-330B-40D3-8D2F-3BB0A2598AA7}"/>
              </a:ext>
            </a:extLst>
          </xdr:cNvPr>
          <xdr:cNvCxnSpPr/>
        </xdr:nvCxnSpPr>
        <xdr:spPr>
          <a:xfrm flipV="1">
            <a:off x="4124325" y="3486149"/>
            <a:ext cx="695325" cy="9525"/>
          </a:xfrm>
          <a:prstGeom prst="line">
            <a:avLst/>
          </a:prstGeom>
          <a:ln>
            <a:solidFill>
              <a:schemeClr val="bg1"/>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47625</xdr:colOff>
      <xdr:row>30</xdr:row>
      <xdr:rowOff>133350</xdr:rowOff>
    </xdr:from>
    <xdr:to>
      <xdr:col>17</xdr:col>
      <xdr:colOff>276225</xdr:colOff>
      <xdr:row>54</xdr:row>
      <xdr:rowOff>85725</xdr:rowOff>
    </xdr:to>
    <xdr:pic>
      <xdr:nvPicPr>
        <xdr:cNvPr id="72992" name="Picture 1">
          <a:extLst>
            <a:ext uri="{FF2B5EF4-FFF2-40B4-BE49-F238E27FC236}">
              <a16:creationId xmlns:a16="http://schemas.microsoft.com/office/drawing/2014/main" id="{AD1D27D1-E3DE-4E77-98AE-7D91096B449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38390" t="37755" r="25407" b="22240"/>
        <a:stretch>
          <a:fillRect/>
        </a:stretch>
      </xdr:blipFill>
      <xdr:spPr bwMode="auto">
        <a:xfrm>
          <a:off x="381000" y="4991100"/>
          <a:ext cx="5562600" cy="383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161925</xdr:colOff>
      <xdr:row>5</xdr:row>
      <xdr:rowOff>104775</xdr:rowOff>
    </xdr:from>
    <xdr:to>
      <xdr:col>36</xdr:col>
      <xdr:colOff>9525</xdr:colOff>
      <xdr:row>27</xdr:row>
      <xdr:rowOff>0</xdr:rowOff>
    </xdr:to>
    <xdr:pic>
      <xdr:nvPicPr>
        <xdr:cNvPr id="72993" name="Grafik 8">
          <a:extLst>
            <a:ext uri="{FF2B5EF4-FFF2-40B4-BE49-F238E27FC236}">
              <a16:creationId xmlns:a16="http://schemas.microsoft.com/office/drawing/2014/main" id="{74D87DFC-7F77-4EF1-8CC8-1FCAC11AC2E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t="2415" b="1208"/>
        <a:stretch>
          <a:fillRect/>
        </a:stretch>
      </xdr:blipFill>
      <xdr:spPr bwMode="auto">
        <a:xfrm>
          <a:off x="6829425" y="914400"/>
          <a:ext cx="5267325" cy="3457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57150</xdr:colOff>
      <xdr:row>21</xdr:row>
      <xdr:rowOff>114300</xdr:rowOff>
    </xdr:from>
    <xdr:to>
      <xdr:col>17</xdr:col>
      <xdr:colOff>200025</xdr:colOff>
      <xdr:row>40</xdr:row>
      <xdr:rowOff>47625</xdr:rowOff>
    </xdr:to>
    <xdr:grpSp>
      <xdr:nvGrpSpPr>
        <xdr:cNvPr id="40808" name="Gruppieren 2">
          <a:extLst>
            <a:ext uri="{FF2B5EF4-FFF2-40B4-BE49-F238E27FC236}">
              <a16:creationId xmlns:a16="http://schemas.microsoft.com/office/drawing/2014/main" id="{CC32656F-5947-4741-8E71-EDA55C4337AA}"/>
            </a:ext>
          </a:extLst>
        </xdr:cNvPr>
        <xdr:cNvGrpSpPr>
          <a:grpSpLocks/>
        </xdr:cNvGrpSpPr>
      </xdr:nvGrpSpPr>
      <xdr:grpSpPr bwMode="auto">
        <a:xfrm>
          <a:off x="390525" y="3514725"/>
          <a:ext cx="5553075" cy="3009900"/>
          <a:chOff x="390525" y="3514725"/>
          <a:chExt cx="5553075" cy="3009900"/>
        </a:xfrm>
      </xdr:grpSpPr>
      <xdr:pic>
        <xdr:nvPicPr>
          <xdr:cNvPr id="40809" name="Picture 1">
            <a:extLst>
              <a:ext uri="{FF2B5EF4-FFF2-40B4-BE49-F238E27FC236}">
                <a16:creationId xmlns:a16="http://schemas.microsoft.com/office/drawing/2014/main" id="{260A0F49-5CD1-4F4B-8044-67F54C37E9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9168" t="38171" r="5093" b="28824"/>
          <a:stretch>
            <a:fillRect/>
          </a:stretch>
        </xdr:blipFill>
        <xdr:spPr bwMode="auto">
          <a:xfrm>
            <a:off x="390525" y="3514725"/>
            <a:ext cx="5524500" cy="300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 name="Rechteck 1">
            <a:extLst>
              <a:ext uri="{FF2B5EF4-FFF2-40B4-BE49-F238E27FC236}">
                <a16:creationId xmlns:a16="http://schemas.microsoft.com/office/drawing/2014/main" id="{442023C8-535B-48BF-A590-4820497E9029}"/>
              </a:ext>
            </a:extLst>
          </xdr:cNvPr>
          <xdr:cNvSpPr/>
        </xdr:nvSpPr>
        <xdr:spPr>
          <a:xfrm>
            <a:off x="3000375" y="3914775"/>
            <a:ext cx="2943225" cy="5524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fr-F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114300</xdr:colOff>
      <xdr:row>0</xdr:row>
      <xdr:rowOff>114300</xdr:rowOff>
    </xdr:from>
    <xdr:to>
      <xdr:col>37</xdr:col>
      <xdr:colOff>85725</xdr:colOff>
      <xdr:row>25</xdr:row>
      <xdr:rowOff>133350</xdr:rowOff>
    </xdr:to>
    <xdr:pic>
      <xdr:nvPicPr>
        <xdr:cNvPr id="41645" name="Picture 5">
          <a:extLst>
            <a:ext uri="{FF2B5EF4-FFF2-40B4-BE49-F238E27FC236}">
              <a16:creationId xmlns:a16="http://schemas.microsoft.com/office/drawing/2014/main" id="{A5DF4A0D-3933-4DF2-9104-EF3034B762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38268" t="38391" r="25084" b="22221"/>
        <a:stretch>
          <a:fillRect/>
        </a:stretch>
      </xdr:blipFill>
      <xdr:spPr bwMode="auto">
        <a:xfrm>
          <a:off x="6448425" y="114300"/>
          <a:ext cx="6067425" cy="406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9</xdr:row>
      <xdr:rowOff>123825</xdr:rowOff>
    </xdr:from>
    <xdr:to>
      <xdr:col>17</xdr:col>
      <xdr:colOff>180975</xdr:colOff>
      <xdr:row>27</xdr:row>
      <xdr:rowOff>104775</xdr:rowOff>
    </xdr:to>
    <xdr:grpSp>
      <xdr:nvGrpSpPr>
        <xdr:cNvPr id="41646" name="Gruppieren 1">
          <a:extLst>
            <a:ext uri="{FF2B5EF4-FFF2-40B4-BE49-F238E27FC236}">
              <a16:creationId xmlns:a16="http://schemas.microsoft.com/office/drawing/2014/main" id="{89F5CB60-11C9-4134-B1A8-24E0E31B2F12}"/>
            </a:ext>
          </a:extLst>
        </xdr:cNvPr>
        <xdr:cNvGrpSpPr>
          <a:grpSpLocks/>
        </xdr:cNvGrpSpPr>
      </xdr:nvGrpSpPr>
      <xdr:grpSpPr bwMode="auto">
        <a:xfrm>
          <a:off x="371475" y="1581150"/>
          <a:ext cx="5476875" cy="2895600"/>
          <a:chOff x="371475" y="1581150"/>
          <a:chExt cx="5476875" cy="2895600"/>
        </a:xfrm>
      </xdr:grpSpPr>
      <xdr:pic>
        <xdr:nvPicPr>
          <xdr:cNvPr id="41647" name="Picture 2">
            <a:extLst>
              <a:ext uri="{FF2B5EF4-FFF2-40B4-BE49-F238E27FC236}">
                <a16:creationId xmlns:a16="http://schemas.microsoft.com/office/drawing/2014/main" id="{21A52A87-B771-4F7F-B0BA-5A7F8C2D898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37231" t="39656" r="44418" b="27042"/>
          <a:stretch>
            <a:fillRect/>
          </a:stretch>
        </xdr:blipFill>
        <xdr:spPr bwMode="auto">
          <a:xfrm>
            <a:off x="371475" y="1581150"/>
            <a:ext cx="2552700" cy="2895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 name="Textfeld 2">
            <a:extLst>
              <a:ext uri="{FF2B5EF4-FFF2-40B4-BE49-F238E27FC236}">
                <a16:creationId xmlns:a16="http://schemas.microsoft.com/office/drawing/2014/main" id="{C417B190-D176-4377-A83A-79B3F3B3C5CF}"/>
              </a:ext>
            </a:extLst>
          </xdr:cNvPr>
          <xdr:cNvSpPr txBox="1">
            <a:spLocks noChangeArrowheads="1"/>
          </xdr:cNvSpPr>
        </xdr:nvSpPr>
        <xdr:spPr bwMode="auto">
          <a:xfrm>
            <a:off x="3095625" y="2495550"/>
            <a:ext cx="2752725" cy="1162050"/>
          </a:xfrm>
          <a:prstGeom prst="rect">
            <a:avLst/>
          </a:prstGeom>
          <a:solidFill>
            <a:srgbClr val="9900CC">
              <a:alpha val="30000"/>
            </a:srgbClr>
          </a:solidFill>
          <a:ln w="9525">
            <a:solidFill>
              <a:srgbClr val="000000"/>
            </a:solidFill>
            <a:miter lim="800000"/>
            <a:headEnd/>
            <a:tailEnd/>
          </a:ln>
        </xdr:spPr>
        <xdr:txBody>
          <a:bodyPr rot="0" vert="horz" wrap="square" lIns="91440" tIns="45720" rIns="91440" bIns="45720" anchor="t" anchorCtr="0">
            <a:spAutoFit/>
          </a:bodyPr>
          <a:lstStyle/>
          <a:p>
            <a:pPr>
              <a:lnSpc>
                <a:spcPct val="107000"/>
              </a:lnSpc>
              <a:spcAft>
                <a:spcPts val="800"/>
              </a:spcAft>
            </a:pPr>
            <a:r>
              <a:rPr lang="en-GB" sz="1100">
                <a:effectLst/>
                <a:latin typeface="Arial" panose="020B0604020202020204" pitchFamily="34" charset="0"/>
                <a:ea typeface="Calibri" panose="020F0502020204030204" pitchFamily="34" charset="0"/>
                <a:cs typeface="Arial" panose="020B0604020202020204" pitchFamily="34" charset="0"/>
              </a:rPr>
              <a:t>Front Bulkhead Support T2.15:</a:t>
            </a:r>
            <a:br>
              <a:rPr lang="en-GB" sz="1100">
                <a:effectLst/>
                <a:latin typeface="Arial" panose="020B0604020202020204" pitchFamily="34" charset="0"/>
                <a:ea typeface="Calibri" panose="020F0502020204030204" pitchFamily="34" charset="0"/>
                <a:cs typeface="Arial" panose="020B0604020202020204" pitchFamily="34" charset="0"/>
              </a:rPr>
            </a:br>
            <a:r>
              <a:rPr lang="en-GB" sz="1100">
                <a:effectLst/>
                <a:latin typeface="Arial" panose="020B0604020202020204" pitchFamily="34" charset="0"/>
                <a:ea typeface="Calibri" panose="020F0502020204030204" pitchFamily="34" charset="0"/>
                <a:cs typeface="Arial" panose="020B0604020202020204" pitchFamily="34" charset="0"/>
              </a:rPr>
              <a:t>T2.15.2 Equivalency in the SES is based on a half car model.</a:t>
            </a:r>
            <a:endParaRPr lang="de-DE" sz="11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n-GB" sz="1100">
                <a:effectLst/>
                <a:latin typeface="Arial" panose="020B0604020202020204" pitchFamily="34" charset="0"/>
                <a:ea typeface="Calibri" panose="020F0502020204030204" pitchFamily="34" charset="0"/>
                <a:cs typeface="Arial" panose="020B0604020202020204" pitchFamily="34" charset="0"/>
              </a:rPr>
              <a:t>First option: Flat panel assumption</a:t>
            </a:r>
            <a:endParaRPr lang="de-DE" sz="11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n-GB" sz="1100">
                <a:effectLst/>
                <a:latin typeface="Arial" panose="020B0604020202020204" pitchFamily="34" charset="0"/>
                <a:ea typeface="Calibri" panose="020F0502020204030204" pitchFamily="34" charset="0"/>
                <a:cs typeface="Arial" panose="020B0604020202020204" pitchFamily="34" charset="0"/>
              </a:rPr>
              <a:t>-Panel height = FBHS</a:t>
            </a:r>
            <a:endParaRPr lang="de-DE" sz="1100">
              <a:effectLst/>
              <a:latin typeface="Arial" panose="020B0604020202020204" pitchFamily="34" charset="0"/>
              <a:ea typeface="Calibri" panose="020F0502020204030204" pitchFamily="34" charset="0"/>
              <a:cs typeface="Arial" panose="020B0604020202020204"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333375</xdr:colOff>
      <xdr:row>21</xdr:row>
      <xdr:rowOff>152915</xdr:rowOff>
    </xdr:from>
    <xdr:to>
      <xdr:col>18</xdr:col>
      <xdr:colOff>57150</xdr:colOff>
      <xdr:row>43</xdr:row>
      <xdr:rowOff>0</xdr:rowOff>
    </xdr:to>
    <xdr:pic>
      <xdr:nvPicPr>
        <xdr:cNvPr id="3" name="Grafik 2">
          <a:extLst>
            <a:ext uri="{FF2B5EF4-FFF2-40B4-BE49-F238E27FC236}">
              <a16:creationId xmlns:a16="http://schemas.microsoft.com/office/drawing/2014/main" id="{33715C85-D4A5-460B-ABFA-086A6B50EE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0" y="3896240"/>
          <a:ext cx="5448300" cy="3409435"/>
        </a:xfrm>
        <a:prstGeom prst="rect">
          <a:avLst/>
        </a:prstGeom>
        <a:ln>
          <a:noFill/>
        </a:ln>
        <a:effectLst>
          <a:softEdge rad="112500"/>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171450</xdr:colOff>
      <xdr:row>7</xdr:row>
      <xdr:rowOff>28575</xdr:rowOff>
    </xdr:from>
    <xdr:to>
      <xdr:col>18</xdr:col>
      <xdr:colOff>38100</xdr:colOff>
      <xdr:row>36</xdr:row>
      <xdr:rowOff>123825</xdr:rowOff>
    </xdr:to>
    <xdr:pic>
      <xdr:nvPicPr>
        <xdr:cNvPr id="44321" name="Grafik 2">
          <a:extLst>
            <a:ext uri="{FF2B5EF4-FFF2-40B4-BE49-F238E27FC236}">
              <a16:creationId xmlns:a16="http://schemas.microsoft.com/office/drawing/2014/main" id="{050792D5-971B-4271-B4E4-970AD2D489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162050"/>
          <a:ext cx="5972175" cy="479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38100</xdr:colOff>
      <xdr:row>21</xdr:row>
      <xdr:rowOff>19050</xdr:rowOff>
    </xdr:from>
    <xdr:to>
      <xdr:col>17</xdr:col>
      <xdr:colOff>209550</xdr:colOff>
      <xdr:row>55</xdr:row>
      <xdr:rowOff>28575</xdr:rowOff>
    </xdr:to>
    <xdr:grpSp>
      <xdr:nvGrpSpPr>
        <xdr:cNvPr id="74138" name="Group 4">
          <a:extLst>
            <a:ext uri="{FF2B5EF4-FFF2-40B4-BE49-F238E27FC236}">
              <a16:creationId xmlns:a16="http://schemas.microsoft.com/office/drawing/2014/main" id="{B0871E5D-7B34-462A-B46C-04503A92755D}"/>
            </a:ext>
          </a:extLst>
        </xdr:cNvPr>
        <xdr:cNvGrpSpPr>
          <a:grpSpLocks/>
        </xdr:cNvGrpSpPr>
      </xdr:nvGrpSpPr>
      <xdr:grpSpPr bwMode="auto">
        <a:xfrm>
          <a:off x="371475" y="3419475"/>
          <a:ext cx="5505450" cy="5514975"/>
          <a:chOff x="6610349" y="2045781"/>
          <a:chExt cx="7219951" cy="7364919"/>
        </a:xfrm>
      </xdr:grpSpPr>
      <xdr:pic>
        <xdr:nvPicPr>
          <xdr:cNvPr id="74145" name="Picture 1">
            <a:extLst>
              <a:ext uri="{FF2B5EF4-FFF2-40B4-BE49-F238E27FC236}">
                <a16:creationId xmlns:a16="http://schemas.microsoft.com/office/drawing/2014/main" id="{A42870B8-DCE9-470A-A6E0-48E95BBFD67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7817" t="11674" r="30470" b="14088"/>
          <a:stretch>
            <a:fillRect/>
          </a:stretch>
        </xdr:blipFill>
        <xdr:spPr bwMode="auto">
          <a:xfrm>
            <a:off x="6610349" y="2047875"/>
            <a:ext cx="3648075" cy="405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4146" name="Picture 2">
            <a:extLst>
              <a:ext uri="{FF2B5EF4-FFF2-40B4-BE49-F238E27FC236}">
                <a16:creationId xmlns:a16="http://schemas.microsoft.com/office/drawing/2014/main" id="{C7E1E109-2AE5-42EB-9A5D-BB9100E94AE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7081" t="10970" r="28899" b="10852"/>
          <a:stretch>
            <a:fillRect/>
          </a:stretch>
        </xdr:blipFill>
        <xdr:spPr bwMode="auto">
          <a:xfrm>
            <a:off x="10172699" y="2045781"/>
            <a:ext cx="3657601" cy="40597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4147" name="Picture 3">
            <a:extLst>
              <a:ext uri="{FF2B5EF4-FFF2-40B4-BE49-F238E27FC236}">
                <a16:creationId xmlns:a16="http://schemas.microsoft.com/office/drawing/2014/main" id="{01A6D467-9924-4702-8AC0-5D2339CE83B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5669" t="26572" r="14149" b="14191"/>
          <a:stretch>
            <a:fillRect/>
          </a:stretch>
        </xdr:blipFill>
        <xdr:spPr bwMode="auto">
          <a:xfrm>
            <a:off x="6610350" y="6076950"/>
            <a:ext cx="7219950" cy="3333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20</xdr:col>
      <xdr:colOff>238125</xdr:colOff>
      <xdr:row>6</xdr:row>
      <xdr:rowOff>142875</xdr:rowOff>
    </xdr:from>
    <xdr:to>
      <xdr:col>28</xdr:col>
      <xdr:colOff>0</xdr:colOff>
      <xdr:row>28</xdr:row>
      <xdr:rowOff>57150</xdr:rowOff>
    </xdr:to>
    <xdr:pic>
      <xdr:nvPicPr>
        <xdr:cNvPr id="74139" name="Picture 1">
          <a:extLst>
            <a:ext uri="{FF2B5EF4-FFF2-40B4-BE49-F238E27FC236}">
              <a16:creationId xmlns:a16="http://schemas.microsoft.com/office/drawing/2014/main" id="{B1B7AB51-F60F-49EF-A9D5-EC9FCE10D41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905625" y="1114425"/>
          <a:ext cx="2505075" cy="3476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76200</xdr:colOff>
      <xdr:row>6</xdr:row>
      <xdr:rowOff>133350</xdr:rowOff>
    </xdr:from>
    <xdr:to>
      <xdr:col>35</xdr:col>
      <xdr:colOff>85725</xdr:colOff>
      <xdr:row>28</xdr:row>
      <xdr:rowOff>57150</xdr:rowOff>
    </xdr:to>
    <xdr:pic>
      <xdr:nvPicPr>
        <xdr:cNvPr id="74140" name="Picture 3">
          <a:extLst>
            <a:ext uri="{FF2B5EF4-FFF2-40B4-BE49-F238E27FC236}">
              <a16:creationId xmlns:a16="http://schemas.microsoft.com/office/drawing/2014/main" id="{CF21E99F-A108-485D-99FE-713E1469758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t="9280" b="6264"/>
        <a:stretch>
          <a:fillRect/>
        </a:stretch>
      </xdr:blipFill>
      <xdr:spPr bwMode="auto">
        <a:xfrm>
          <a:off x="9486900" y="1104900"/>
          <a:ext cx="2343150" cy="3486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76200</xdr:colOff>
      <xdr:row>30</xdr:row>
      <xdr:rowOff>76200</xdr:rowOff>
    </xdr:from>
    <xdr:to>
      <xdr:col>36</xdr:col>
      <xdr:colOff>85725</xdr:colOff>
      <xdr:row>53</xdr:row>
      <xdr:rowOff>114300</xdr:rowOff>
    </xdr:to>
    <xdr:pic>
      <xdr:nvPicPr>
        <xdr:cNvPr id="74141" name="Picture 7">
          <a:extLst>
            <a:ext uri="{FF2B5EF4-FFF2-40B4-BE49-F238E27FC236}">
              <a16:creationId xmlns:a16="http://schemas.microsoft.com/office/drawing/2014/main" id="{6822CF33-A6D8-4B4C-B90F-BA59E11D3B2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743700" y="4933950"/>
          <a:ext cx="5419725" cy="3762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228600</xdr:colOff>
      <xdr:row>45</xdr:row>
      <xdr:rowOff>19050</xdr:rowOff>
    </xdr:from>
    <xdr:to>
      <xdr:col>17</xdr:col>
      <xdr:colOff>76200</xdr:colOff>
      <xdr:row>53</xdr:row>
      <xdr:rowOff>76200</xdr:rowOff>
    </xdr:to>
    <xdr:pic>
      <xdr:nvPicPr>
        <xdr:cNvPr id="74142" name="Picture 8" descr="C:\Users\Daniel\AppData\Local\Microsoft\Windows\INetCache\IE\F9VPACPT\check-157822_640[1].png">
          <a:extLst>
            <a:ext uri="{FF2B5EF4-FFF2-40B4-BE49-F238E27FC236}">
              <a16:creationId xmlns:a16="http://schemas.microsoft.com/office/drawing/2014/main" id="{6674AEB1-39DF-4532-ADDD-51B20FBDB7D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562475" y="7305675"/>
          <a:ext cx="1181100" cy="135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95250</xdr:colOff>
      <xdr:row>21</xdr:row>
      <xdr:rowOff>133350</xdr:rowOff>
    </xdr:from>
    <xdr:to>
      <xdr:col>36</xdr:col>
      <xdr:colOff>123825</xdr:colOff>
      <xdr:row>28</xdr:row>
      <xdr:rowOff>28575</xdr:rowOff>
    </xdr:to>
    <xdr:pic>
      <xdr:nvPicPr>
        <xdr:cNvPr id="74143" name="Picture 9" descr="C:\Users\Daniel\AppData\Local\Microsoft\Windows\INetCache\IE\F9VPACPT\checkErro[1].png">
          <a:extLst>
            <a:ext uri="{FF2B5EF4-FFF2-40B4-BE49-F238E27FC236}">
              <a16:creationId xmlns:a16="http://schemas.microsoft.com/office/drawing/2014/main" id="{0C44E5B3-857A-41AE-8949-E22E46E0F218}"/>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1172825" y="3533775"/>
          <a:ext cx="1028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26</xdr:col>
      <xdr:colOff>238125</xdr:colOff>
      <xdr:row>37</xdr:row>
      <xdr:rowOff>142875</xdr:rowOff>
    </xdr:from>
    <xdr:to>
      <xdr:col>29</xdr:col>
      <xdr:colOff>190500</xdr:colOff>
      <xdr:row>44</xdr:row>
      <xdr:rowOff>38100</xdr:rowOff>
    </xdr:to>
    <xdr:pic>
      <xdr:nvPicPr>
        <xdr:cNvPr id="74144" name="Picture 10" descr="C:\Users\Daniel\AppData\Local\Microsoft\Windows\INetCache\IE\F9VPACPT\checkErro[1].png">
          <a:extLst>
            <a:ext uri="{FF2B5EF4-FFF2-40B4-BE49-F238E27FC236}">
              <a16:creationId xmlns:a16="http://schemas.microsoft.com/office/drawing/2014/main" id="{FC47AB05-C0F0-40DF-9380-3161483B7238}"/>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905875" y="6134100"/>
          <a:ext cx="1028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iel/Downloads/2016_fsae_structural_equivalency_spreadsheet_v1.0%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_Me"/>
      <sheetName val="Version History"/>
      <sheetName val="Rules Clarifications"/>
      <sheetName val="Cover Sheet"/>
      <sheetName val="Chassis Pics"/>
      <sheetName val="MaterialData"/>
      <sheetName val="T3.11 Main Hoop Tubing"/>
      <sheetName val="T3.12 Front Hoop Tubing"/>
      <sheetName val="T3.13 Main Hoop Bracing"/>
      <sheetName val="T3.13 T3.37 Guidance Notes"/>
      <sheetName val="T3.13 T3.37 MHoop Brace Spt"/>
      <sheetName val="T3.14 T3.37 Guidance Notes"/>
      <sheetName val="T3.14 T3.37 FHoop Bracing"/>
      <sheetName val="T3.19 T3.32 Ft Bulkhead"/>
      <sheetName val="T3.20 T3.33 Guidance Notes"/>
      <sheetName val="T3.20 T3.33 FBH S'pt Structure"/>
      <sheetName val="T3.34 Guidance Notes"/>
      <sheetName val="T3.25 T3.34 Side Impact Struct."/>
      <sheetName val="T5.4 Shoulder Harness Bar"/>
      <sheetName val="T5.4.2 Guidance"/>
      <sheetName val="T5.4.2_Shoulder_harness_brace"/>
      <sheetName val="T3.21.6 Guidance Notes"/>
      <sheetName val="T3.21.6 IA AI Plate"/>
      <sheetName val="3 Point Bending Comp AIP"/>
      <sheetName val="Shear Test Comp AIP"/>
      <sheetName val="T3.31 Laminate Test"/>
      <sheetName val="T3.31.3 Different Layups"/>
      <sheetName val="T3.33.3 T3.34.3 Guidance"/>
      <sheetName val="T3.33.3 T3.34.3 Shear Tests"/>
      <sheetName val="Other &quot;x&quot; Mat'l Shear"/>
      <sheetName val="Monocoque Attachments Guidance"/>
      <sheetName val="T3.35 Main Hoop Attachments"/>
      <sheetName val="T3.36 Front Hoop Attachments"/>
      <sheetName val="T3.37 Hoop B'ing Attachments"/>
      <sheetName val="T3.38 IA Attachments"/>
      <sheetName val="T3.41 Harness Attachments"/>
      <sheetName val="EV3.4.6&amp;7 Accumulator Container"/>
      <sheetName val="EV3.4.6j Alt. Matls"/>
      <sheetName val="EV3.4.8&amp;9 Acc. Attachments"/>
      <sheetName val="EV3.4.4 Accumulator Protection"/>
      <sheetName val="EV4.2.2 Tractive System Prot'n"/>
      <sheetName val="Welded Tube Inserts"/>
      <sheetName val="Additional Info"/>
      <sheetName val="Alt_joint_1"/>
      <sheetName val="Alt_joint_2"/>
      <sheetName val="Alt_joint_3"/>
      <sheetName val="Alt_joint_4"/>
      <sheetName val="Alt_joint_x"/>
    </sheetNames>
    <sheetDataSet>
      <sheetData sheetId="0" refreshError="1"/>
      <sheetData sheetId="1" refreshError="1"/>
      <sheetData sheetId="2" refreshError="1"/>
      <sheetData sheetId="3"/>
      <sheetData sheetId="4" refreshError="1"/>
      <sheetData sheetId="5">
        <row r="3">
          <cell r="C3" t="str">
            <v>Steel</v>
          </cell>
          <cell r="D3" t="str">
            <v>Aluminium 1</v>
          </cell>
          <cell r="E3" t="str">
            <v>Aluminium 2</v>
          </cell>
          <cell r="F3" t="str">
            <v>Composite 1</v>
          </cell>
          <cell r="G3" t="str">
            <v>Other 1</v>
          </cell>
          <cell r="H3" t="str">
            <v>Other 2</v>
          </cell>
          <cell r="I3" t="str">
            <v>Other 3</v>
          </cell>
          <cell r="J3" t="str">
            <v>Other 4</v>
          </cell>
          <cell r="K3" t="str">
            <v>Other 5</v>
          </cell>
          <cell r="L3" t="str">
            <v>Composite AIP</v>
          </cell>
        </row>
        <row r="5">
          <cell r="C5">
            <v>200000000000</v>
          </cell>
          <cell r="D5">
            <v>70000000000</v>
          </cell>
          <cell r="E5">
            <v>70000000000</v>
          </cell>
          <cell r="F5">
            <v>0</v>
          </cell>
          <cell r="G5">
            <v>1</v>
          </cell>
          <cell r="H5">
            <v>2</v>
          </cell>
          <cell r="I5">
            <v>3</v>
          </cell>
          <cell r="J5">
            <v>4</v>
          </cell>
          <cell r="K5">
            <v>5</v>
          </cell>
          <cell r="L5">
            <v>0</v>
          </cell>
        </row>
        <row r="6">
          <cell r="C6">
            <v>305000000</v>
          </cell>
          <cell r="D6">
            <v>1</v>
          </cell>
          <cell r="E6">
            <v>2</v>
          </cell>
          <cell r="F6">
            <v>0</v>
          </cell>
          <cell r="G6">
            <v>1</v>
          </cell>
          <cell r="H6">
            <v>2</v>
          </cell>
          <cell r="I6">
            <v>3</v>
          </cell>
          <cell r="J6">
            <v>4</v>
          </cell>
          <cell r="K6">
            <v>5</v>
          </cell>
          <cell r="L6">
            <v>0</v>
          </cell>
        </row>
        <row r="7">
          <cell r="C7">
            <v>365000000</v>
          </cell>
          <cell r="D7">
            <v>1</v>
          </cell>
          <cell r="E7">
            <v>2</v>
          </cell>
          <cell r="F7">
            <v>0</v>
          </cell>
          <cell r="G7">
            <v>1</v>
          </cell>
          <cell r="H7">
            <v>2</v>
          </cell>
          <cell r="I7">
            <v>3</v>
          </cell>
          <cell r="J7">
            <v>4</v>
          </cell>
          <cell r="K7">
            <v>5</v>
          </cell>
          <cell r="L7">
            <v>0</v>
          </cell>
        </row>
        <row r="8">
          <cell r="C8">
            <v>180000000</v>
          </cell>
          <cell r="D8">
            <v>1</v>
          </cell>
          <cell r="E8">
            <v>2</v>
          </cell>
          <cell r="F8" t="str">
            <v>N/A</v>
          </cell>
          <cell r="G8">
            <v>1</v>
          </cell>
          <cell r="H8">
            <v>2</v>
          </cell>
          <cell r="I8">
            <v>3</v>
          </cell>
          <cell r="J8">
            <v>4</v>
          </cell>
          <cell r="K8">
            <v>5</v>
          </cell>
          <cell r="L8" t="str">
            <v>N/A</v>
          </cell>
        </row>
        <row r="9">
          <cell r="C9">
            <v>300000000</v>
          </cell>
          <cell r="D9">
            <v>1</v>
          </cell>
          <cell r="E9">
            <v>2</v>
          </cell>
          <cell r="F9" t="str">
            <v>N/A</v>
          </cell>
          <cell r="G9">
            <v>1</v>
          </cell>
          <cell r="H9">
            <v>2</v>
          </cell>
          <cell r="I9">
            <v>3</v>
          </cell>
          <cell r="J9">
            <v>4</v>
          </cell>
          <cell r="K9">
            <v>5</v>
          </cell>
          <cell r="L9" t="str">
            <v>N/A</v>
          </cell>
        </row>
        <row r="10">
          <cell r="C10">
            <v>219000000</v>
          </cell>
          <cell r="D10">
            <v>1</v>
          </cell>
          <cell r="E10">
            <v>2</v>
          </cell>
          <cell r="F10">
            <v>0</v>
          </cell>
          <cell r="G10">
            <v>1</v>
          </cell>
          <cell r="H10">
            <v>2</v>
          </cell>
          <cell r="I10">
            <v>3</v>
          </cell>
          <cell r="J10">
            <v>4</v>
          </cell>
          <cell r="K10">
            <v>5</v>
          </cell>
          <cell r="L10">
            <v>0</v>
          </cell>
        </row>
        <row r="20">
          <cell r="B20" t="str">
            <v>Tubing only</v>
          </cell>
        </row>
        <row r="21">
          <cell r="B21" t="str">
            <v>Composite only</v>
          </cell>
        </row>
        <row r="22">
          <cell r="B22" t="str">
            <v>Tubes + composite</v>
          </cell>
        </row>
        <row r="24">
          <cell r="B24" t="str">
            <v>Round</v>
          </cell>
        </row>
        <row r="25">
          <cell r="B25" t="str">
            <v>Square</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1.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4"/>
  <sheetViews>
    <sheetView workbookViewId="0">
      <pane ySplit="19" topLeftCell="A20" activePane="bottomLeft" state="frozenSplit"/>
      <selection pane="bottomLeft" activeCell="A19" sqref="A19"/>
    </sheetView>
  </sheetViews>
  <sheetFormatPr baseColWidth="10" defaultColWidth="9.140625" defaultRowHeight="12.75" x14ac:dyDescent="0.2"/>
  <cols>
    <col min="1" max="1" width="9.140625" customWidth="1"/>
    <col min="2" max="2" width="11" bestFit="1" customWidth="1"/>
  </cols>
  <sheetData>
    <row r="1" spans="1:16" x14ac:dyDescent="0.2">
      <c r="A1" s="5" t="s">
        <v>562</v>
      </c>
    </row>
    <row r="3" spans="1:16" x14ac:dyDescent="0.2">
      <c r="A3" s="525" t="s">
        <v>210</v>
      </c>
      <c r="B3" s="525"/>
      <c r="C3" s="525"/>
      <c r="D3" s="525"/>
      <c r="E3" s="525"/>
      <c r="F3" s="525"/>
      <c r="G3" s="525"/>
      <c r="H3" s="525"/>
      <c r="I3" s="525"/>
      <c r="J3" s="525"/>
      <c r="K3" s="525"/>
      <c r="L3" s="525"/>
      <c r="M3" s="525"/>
      <c r="N3" s="525"/>
      <c r="O3" s="525"/>
    </row>
    <row r="4" spans="1:16" x14ac:dyDescent="0.2">
      <c r="A4" s="465"/>
      <c r="B4" s="465"/>
      <c r="C4" s="465"/>
      <c r="D4" s="465"/>
      <c r="E4" s="465"/>
      <c r="F4" s="465"/>
      <c r="G4" s="465"/>
      <c r="H4" s="465"/>
      <c r="I4" s="465"/>
      <c r="J4" s="465"/>
      <c r="K4" s="465"/>
      <c r="L4" s="465"/>
      <c r="M4" s="465"/>
      <c r="N4" s="465"/>
      <c r="O4" s="465"/>
    </row>
    <row r="5" spans="1:16" x14ac:dyDescent="0.2">
      <c r="A5" s="476" t="s">
        <v>597</v>
      </c>
      <c r="B5" s="465"/>
      <c r="C5" s="465"/>
      <c r="D5" s="465"/>
      <c r="E5" s="465"/>
      <c r="F5" s="465"/>
      <c r="G5" s="465"/>
      <c r="H5" s="465"/>
      <c r="I5" s="465"/>
      <c r="J5" s="465"/>
      <c r="K5" s="465"/>
      <c r="L5" s="465"/>
      <c r="M5" s="465"/>
      <c r="N5" s="465"/>
      <c r="O5" s="465"/>
    </row>
    <row r="6" spans="1:16" x14ac:dyDescent="0.2">
      <c r="A6" s="476"/>
      <c r="B6" s="465"/>
      <c r="C6" s="465"/>
      <c r="D6" s="465"/>
      <c r="E6" s="465"/>
      <c r="F6" s="465"/>
      <c r="G6" s="465"/>
      <c r="H6" s="465"/>
      <c r="I6" s="465"/>
      <c r="J6" s="465"/>
      <c r="K6" s="465"/>
      <c r="L6" s="465"/>
      <c r="M6" s="465"/>
      <c r="N6" s="465"/>
      <c r="O6" s="465"/>
    </row>
    <row r="7" spans="1:16" x14ac:dyDescent="0.2">
      <c r="A7" s="476" t="s">
        <v>628</v>
      </c>
      <c r="B7" s="465"/>
      <c r="C7" s="465"/>
      <c r="D7" s="465"/>
      <c r="E7" s="465"/>
      <c r="F7" s="465"/>
      <c r="G7" s="465"/>
      <c r="H7" s="465"/>
      <c r="I7" s="465"/>
      <c r="J7" s="465"/>
      <c r="K7" s="465"/>
      <c r="L7" s="465"/>
      <c r="M7" s="465"/>
      <c r="N7" s="465"/>
      <c r="O7" s="465"/>
    </row>
    <row r="8" spans="1:16" x14ac:dyDescent="0.2">
      <c r="A8" s="476"/>
      <c r="B8" s="465"/>
      <c r="C8" s="465"/>
      <c r="D8" s="465"/>
      <c r="E8" s="465"/>
      <c r="F8" s="465"/>
      <c r="G8" s="465"/>
      <c r="H8" s="465"/>
      <c r="I8" s="465"/>
      <c r="J8" s="465"/>
      <c r="K8" s="465"/>
      <c r="L8" s="465"/>
      <c r="M8" s="465"/>
      <c r="N8" s="465"/>
      <c r="O8" s="465"/>
    </row>
    <row r="9" spans="1:16" x14ac:dyDescent="0.2">
      <c r="A9" s="525" t="s">
        <v>211</v>
      </c>
      <c r="B9" s="525"/>
      <c r="C9" s="525"/>
      <c r="D9" s="525"/>
      <c r="E9" s="525"/>
      <c r="F9" s="525"/>
      <c r="G9" s="525"/>
      <c r="H9" s="525"/>
      <c r="I9" s="525"/>
      <c r="J9" s="525"/>
      <c r="K9" s="525"/>
      <c r="L9" s="525"/>
      <c r="M9" s="525"/>
      <c r="N9" s="525"/>
      <c r="O9" s="525"/>
      <c r="P9" s="525"/>
    </row>
    <row r="10" spans="1:16" x14ac:dyDescent="0.2">
      <c r="A10" s="525" t="s">
        <v>212</v>
      </c>
      <c r="B10" s="525"/>
      <c r="C10" s="525"/>
      <c r="D10" s="525"/>
      <c r="E10" s="525"/>
      <c r="F10" s="525"/>
      <c r="G10" s="525"/>
      <c r="H10" s="525"/>
      <c r="I10" s="525"/>
      <c r="J10" s="525"/>
      <c r="K10" s="525"/>
      <c r="L10" s="525"/>
      <c r="M10" s="525"/>
      <c r="N10" s="525"/>
      <c r="O10" s="525"/>
      <c r="P10" s="525"/>
    </row>
    <row r="11" spans="1:16" ht="25.5" customHeight="1" x14ac:dyDescent="0.2">
      <c r="A11" s="523" t="s">
        <v>409</v>
      </c>
      <c r="B11" s="523"/>
      <c r="C11" s="523"/>
      <c r="D11" s="523"/>
      <c r="E11" s="523"/>
      <c r="F11" s="523"/>
      <c r="G11" s="523"/>
      <c r="H11" s="523"/>
      <c r="I11" s="523"/>
      <c r="J11" s="523"/>
      <c r="K11" s="523"/>
      <c r="L11" s="523"/>
      <c r="M11" s="523"/>
      <c r="N11" s="523"/>
      <c r="O11" s="523"/>
      <c r="P11" s="523"/>
    </row>
    <row r="12" spans="1:16" ht="39" customHeight="1" x14ac:dyDescent="0.2">
      <c r="A12" s="523" t="s">
        <v>213</v>
      </c>
      <c r="B12" s="523"/>
      <c r="C12" s="523"/>
      <c r="D12" s="523"/>
      <c r="E12" s="523"/>
      <c r="F12" s="523"/>
      <c r="G12" s="523"/>
      <c r="H12" s="523"/>
      <c r="I12" s="523"/>
      <c r="J12" s="523"/>
      <c r="K12" s="523"/>
      <c r="L12" s="523"/>
      <c r="M12" s="523"/>
      <c r="N12" s="523"/>
      <c r="O12" s="523"/>
      <c r="P12" s="523"/>
    </row>
    <row r="13" spans="1:16" ht="25.5" customHeight="1" x14ac:dyDescent="0.2">
      <c r="A13" s="524" t="s">
        <v>614</v>
      </c>
      <c r="B13" s="523"/>
      <c r="C13" s="523"/>
      <c r="D13" s="523"/>
      <c r="E13" s="523"/>
      <c r="F13" s="523"/>
      <c r="G13" s="523"/>
      <c r="H13" s="523"/>
      <c r="I13" s="523"/>
      <c r="J13" s="523"/>
      <c r="K13" s="523"/>
      <c r="L13" s="523"/>
      <c r="M13" s="523"/>
      <c r="N13" s="523"/>
      <c r="O13" s="523"/>
      <c r="P13" s="523"/>
    </row>
    <row r="14" spans="1:16" x14ac:dyDescent="0.2">
      <c r="A14" s="429" t="s">
        <v>524</v>
      </c>
      <c r="B14" s="260"/>
      <c r="C14" s="260"/>
      <c r="D14" s="260"/>
      <c r="E14" s="260"/>
      <c r="F14" s="260"/>
      <c r="G14" s="260"/>
      <c r="H14" s="260"/>
      <c r="I14" s="260"/>
      <c r="J14" s="260"/>
      <c r="K14" s="260"/>
      <c r="L14" s="260"/>
      <c r="M14" s="260"/>
      <c r="N14" s="260"/>
      <c r="O14" s="260"/>
      <c r="P14" s="260"/>
    </row>
    <row r="15" spans="1:16" x14ac:dyDescent="0.2">
      <c r="A15" s="7"/>
      <c r="B15" s="260"/>
      <c r="C15" s="260"/>
      <c r="D15" s="260"/>
      <c r="E15" s="260"/>
      <c r="F15" s="260"/>
      <c r="G15" s="260"/>
      <c r="H15" s="260"/>
      <c r="I15" s="260"/>
      <c r="J15" s="260"/>
      <c r="K15" s="260"/>
      <c r="L15" s="260"/>
      <c r="M15" s="260"/>
      <c r="N15" s="260"/>
      <c r="O15" s="260"/>
      <c r="P15" s="260"/>
    </row>
    <row r="16" spans="1:16" x14ac:dyDescent="0.2">
      <c r="A16" s="5" t="s">
        <v>316</v>
      </c>
    </row>
    <row r="17" spans="1:3" x14ac:dyDescent="0.2">
      <c r="A17" s="5" t="s">
        <v>317</v>
      </c>
    </row>
    <row r="19" spans="1:3" s="5" customFormat="1" x14ac:dyDescent="0.2">
      <c r="A19" s="5" t="s">
        <v>209</v>
      </c>
    </row>
    <row r="20" spans="1:3" x14ac:dyDescent="0.2">
      <c r="A20" s="258" t="s">
        <v>273</v>
      </c>
      <c r="B20" s="6" t="s">
        <v>563</v>
      </c>
      <c r="C20" s="6"/>
    </row>
    <row r="21" spans="1:3" x14ac:dyDescent="0.2">
      <c r="A21" s="258" t="s">
        <v>636</v>
      </c>
      <c r="B21" s="6" t="s">
        <v>637</v>
      </c>
    </row>
    <row r="22" spans="1:3" x14ac:dyDescent="0.2">
      <c r="A22" s="431" t="s">
        <v>638</v>
      </c>
      <c r="B22" t="s">
        <v>639</v>
      </c>
    </row>
    <row r="23" spans="1:3" x14ac:dyDescent="0.2">
      <c r="A23" s="431" t="s">
        <v>641</v>
      </c>
      <c r="B23" t="s">
        <v>640</v>
      </c>
    </row>
    <row r="24" spans="1:3" x14ac:dyDescent="0.2">
      <c r="A24" s="431" t="s">
        <v>642</v>
      </c>
      <c r="B24" t="s">
        <v>643</v>
      </c>
    </row>
  </sheetData>
  <sheetProtection password="E10F" sheet="1"/>
  <mergeCells count="6">
    <mergeCell ref="A12:P12"/>
    <mergeCell ref="A13:P13"/>
    <mergeCell ref="A3:O3"/>
    <mergeCell ref="A9:P9"/>
    <mergeCell ref="A10:P10"/>
    <mergeCell ref="A11:P11"/>
  </mergeCells>
  <phoneticPr fontId="20"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B10"/>
  <sheetViews>
    <sheetView workbookViewId="0">
      <selection activeCell="A5" sqref="A5"/>
    </sheetView>
  </sheetViews>
  <sheetFormatPr baseColWidth="10" defaultColWidth="9.140625" defaultRowHeight="12.75" x14ac:dyDescent="0.2"/>
  <cols>
    <col min="1" max="1" width="19.42578125" style="209" customWidth="1"/>
    <col min="2" max="2" width="109.28515625" style="209" customWidth="1"/>
  </cols>
  <sheetData>
    <row r="1" spans="1:2" s="97" customFormat="1" x14ac:dyDescent="0.2">
      <c r="A1" s="75" t="s">
        <v>220</v>
      </c>
      <c r="B1" s="73"/>
    </row>
    <row r="2" spans="1:2" s="97" customFormat="1" x14ac:dyDescent="0.2">
      <c r="A2" s="212"/>
      <c r="B2" s="212"/>
    </row>
    <row r="3" spans="1:2" s="97" customFormat="1" x14ac:dyDescent="0.2">
      <c r="A3" s="210" t="s">
        <v>221</v>
      </c>
      <c r="B3" s="211" t="s">
        <v>223</v>
      </c>
    </row>
    <row r="4" spans="1:2" x14ac:dyDescent="0.2">
      <c r="A4" s="214" t="s">
        <v>222</v>
      </c>
      <c r="B4" s="213" t="s">
        <v>23</v>
      </c>
    </row>
    <row r="10" spans="1:2" x14ac:dyDescent="0.2">
      <c r="B10" s="213"/>
    </row>
  </sheetData>
  <sheetProtection password="D1DA" sheet="1"/>
  <phoneticPr fontId="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dimension ref="A1:B10"/>
  <sheetViews>
    <sheetView workbookViewId="0"/>
  </sheetViews>
  <sheetFormatPr baseColWidth="10" defaultColWidth="9.140625" defaultRowHeight="12.75" x14ac:dyDescent="0.2"/>
  <cols>
    <col min="1" max="1" width="19.42578125" style="209" customWidth="1"/>
    <col min="2" max="2" width="109.28515625" style="209" customWidth="1"/>
  </cols>
  <sheetData>
    <row r="1" spans="1:2" s="97" customFormat="1" x14ac:dyDescent="0.2">
      <c r="A1" s="75" t="s">
        <v>275</v>
      </c>
      <c r="B1" s="73"/>
    </row>
    <row r="2" spans="1:2" s="97" customFormat="1" x14ac:dyDescent="0.2">
      <c r="A2" s="212"/>
      <c r="B2" s="212"/>
    </row>
    <row r="3" spans="1:2" s="97" customFormat="1" x14ac:dyDescent="0.2">
      <c r="A3" s="210" t="s">
        <v>274</v>
      </c>
      <c r="B3" s="211" t="s">
        <v>283</v>
      </c>
    </row>
    <row r="4" spans="1:2" x14ac:dyDescent="0.2">
      <c r="A4" s="214"/>
      <c r="B4" s="213"/>
    </row>
    <row r="10" spans="1:2" x14ac:dyDescent="0.2">
      <c r="B10" s="213"/>
    </row>
  </sheetData>
  <sheetProtection password="D1DA" sheet="1"/>
  <phoneticPr fontId="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S68"/>
  <sheetViews>
    <sheetView showGridLines="0" topLeftCell="A37" zoomScaleNormal="100" zoomScaleSheetLayoutView="100" workbookViewId="0">
      <selection sqref="A1:S1"/>
    </sheetView>
  </sheetViews>
  <sheetFormatPr baseColWidth="10" defaultColWidth="9.140625" defaultRowHeight="12.75" x14ac:dyDescent="0.2"/>
  <cols>
    <col min="1" max="5" width="5" style="435" customWidth="1"/>
    <col min="6" max="6" width="6.28515625" style="435" customWidth="1"/>
    <col min="7" max="19" width="5" style="435" customWidth="1"/>
    <col min="20" max="28" width="3.7109375" style="435" customWidth="1"/>
    <col min="29" max="29" width="5.28515625" style="435" customWidth="1"/>
    <col min="30" max="30" width="6.28515625" style="435" customWidth="1"/>
    <col min="31" max="32" width="4.28515625" style="435" customWidth="1"/>
    <col min="33" max="33" width="5.28515625" style="435" customWidth="1"/>
    <col min="34" max="34" width="6.28515625" style="435" customWidth="1"/>
    <col min="35" max="36" width="4.28515625" style="435" customWidth="1"/>
    <col min="37" max="37" width="5.28515625" style="435" customWidth="1"/>
    <col min="38" max="38" width="6.28515625" style="435" customWidth="1"/>
    <col min="39" max="40" width="4.28515625" style="435" customWidth="1"/>
    <col min="41" max="41" width="5.28515625" style="435" customWidth="1"/>
    <col min="42" max="45" width="4.28515625" style="435" customWidth="1"/>
    <col min="46" max="16384" width="9.140625" style="435"/>
  </cols>
  <sheetData>
    <row r="1" spans="1:21" x14ac:dyDescent="0.2">
      <c r="A1" s="601" t="s">
        <v>644</v>
      </c>
      <c r="B1" s="574"/>
      <c r="C1" s="574"/>
      <c r="D1" s="574"/>
      <c r="E1" s="574"/>
      <c r="F1" s="574"/>
      <c r="G1" s="574"/>
      <c r="H1" s="574"/>
      <c r="I1" s="574"/>
      <c r="J1" s="574"/>
      <c r="K1" s="574"/>
      <c r="L1" s="574"/>
      <c r="M1" s="574"/>
      <c r="N1" s="574"/>
      <c r="O1" s="574"/>
      <c r="P1" s="574"/>
      <c r="Q1" s="574"/>
      <c r="R1" s="574"/>
      <c r="S1" s="574"/>
      <c r="T1" s="433"/>
      <c r="U1" s="434"/>
    </row>
    <row r="2" spans="1:21" x14ac:dyDescent="0.2">
      <c r="A2" s="433"/>
      <c r="B2" s="433"/>
      <c r="C2" s="433"/>
      <c r="D2" s="433"/>
      <c r="E2" s="433"/>
      <c r="F2" s="433"/>
      <c r="G2" s="433"/>
      <c r="H2" s="433"/>
      <c r="I2" s="433"/>
      <c r="J2" s="433"/>
      <c r="T2" s="433"/>
      <c r="U2" s="434"/>
    </row>
    <row r="3" spans="1:21" ht="12.75" customHeight="1" x14ac:dyDescent="0.2">
      <c r="A3" s="603" t="s">
        <v>629</v>
      </c>
      <c r="B3" s="603"/>
      <c r="C3" s="603"/>
      <c r="D3" s="603"/>
      <c r="E3" s="603"/>
      <c r="F3" s="603"/>
      <c r="G3" s="603"/>
      <c r="H3" s="603"/>
      <c r="I3" s="603"/>
      <c r="J3" s="603"/>
      <c r="K3" s="603"/>
      <c r="L3" s="603"/>
      <c r="M3" s="603"/>
      <c r="N3" s="603"/>
      <c r="O3" s="603"/>
      <c r="P3" s="603"/>
      <c r="Q3" s="603"/>
      <c r="R3" s="603"/>
      <c r="S3" s="603"/>
      <c r="T3" s="433"/>
      <c r="U3" s="434"/>
    </row>
    <row r="4" spans="1:21" x14ac:dyDescent="0.2">
      <c r="A4" s="603"/>
      <c r="B4" s="603"/>
      <c r="C4" s="603"/>
      <c r="D4" s="603"/>
      <c r="E4" s="603"/>
      <c r="F4" s="603"/>
      <c r="G4" s="603"/>
      <c r="H4" s="603"/>
      <c r="I4" s="603"/>
      <c r="J4" s="603"/>
      <c r="K4" s="603"/>
      <c r="L4" s="603"/>
      <c r="M4" s="603"/>
      <c r="N4" s="603"/>
      <c r="O4" s="603"/>
      <c r="P4" s="603"/>
      <c r="Q4" s="603"/>
      <c r="R4" s="603"/>
      <c r="S4" s="603"/>
      <c r="T4" s="433"/>
      <c r="U4" s="434"/>
    </row>
    <row r="5" spans="1:21" x14ac:dyDescent="0.2">
      <c r="A5" s="603"/>
      <c r="B5" s="603"/>
      <c r="C5" s="603"/>
      <c r="D5" s="603"/>
      <c r="E5" s="603"/>
      <c r="F5" s="603"/>
      <c r="G5" s="603"/>
      <c r="H5" s="603"/>
      <c r="I5" s="603"/>
      <c r="J5" s="603"/>
      <c r="K5" s="603"/>
      <c r="L5" s="603"/>
      <c r="M5" s="603"/>
      <c r="N5" s="603"/>
      <c r="O5" s="603"/>
      <c r="P5" s="603"/>
      <c r="Q5" s="603"/>
      <c r="R5" s="603"/>
      <c r="S5" s="603"/>
      <c r="T5" s="433"/>
      <c r="U5" s="434"/>
    </row>
    <row r="6" spans="1:21" x14ac:dyDescent="0.2">
      <c r="A6" s="603"/>
      <c r="B6" s="603"/>
      <c r="C6" s="603"/>
      <c r="D6" s="603"/>
      <c r="E6" s="603"/>
      <c r="F6" s="603"/>
      <c r="G6" s="603"/>
      <c r="H6" s="603"/>
      <c r="I6" s="603"/>
      <c r="J6" s="603"/>
      <c r="K6" s="603"/>
      <c r="L6" s="603"/>
      <c r="M6" s="603"/>
      <c r="N6" s="603"/>
      <c r="O6" s="603"/>
      <c r="P6" s="603"/>
      <c r="Q6" s="603"/>
      <c r="R6" s="603"/>
      <c r="S6" s="603"/>
      <c r="T6" s="433"/>
      <c r="U6" s="434"/>
    </row>
    <row r="7" spans="1:21" x14ac:dyDescent="0.2">
      <c r="A7" s="603"/>
      <c r="B7" s="603"/>
      <c r="C7" s="603"/>
      <c r="D7" s="603"/>
      <c r="E7" s="603"/>
      <c r="F7" s="603"/>
      <c r="G7" s="603"/>
      <c r="H7" s="603"/>
      <c r="I7" s="603"/>
      <c r="J7" s="603"/>
      <c r="K7" s="603"/>
      <c r="L7" s="603"/>
      <c r="M7" s="603"/>
      <c r="N7" s="603"/>
      <c r="O7" s="603"/>
      <c r="P7" s="603"/>
      <c r="Q7" s="603"/>
      <c r="R7" s="603"/>
      <c r="S7" s="603"/>
      <c r="T7" s="433"/>
      <c r="U7" s="434"/>
    </row>
    <row r="8" spans="1:21" x14ac:dyDescent="0.2">
      <c r="A8" s="603"/>
      <c r="B8" s="603"/>
      <c r="C8" s="603"/>
      <c r="D8" s="603"/>
      <c r="E8" s="603"/>
      <c r="F8" s="603"/>
      <c r="G8" s="603"/>
      <c r="H8" s="603"/>
      <c r="I8" s="603"/>
      <c r="J8" s="603"/>
      <c r="K8" s="603"/>
      <c r="L8" s="603"/>
      <c r="M8" s="603"/>
      <c r="N8" s="603"/>
      <c r="O8" s="603"/>
      <c r="P8" s="603"/>
      <c r="Q8" s="603"/>
      <c r="R8" s="603"/>
      <c r="S8" s="603"/>
      <c r="T8" s="433"/>
      <c r="U8" s="434"/>
    </row>
    <row r="9" spans="1:21" x14ac:dyDescent="0.2">
      <c r="A9" s="603"/>
      <c r="B9" s="603"/>
      <c r="C9" s="603"/>
      <c r="D9" s="603"/>
      <c r="E9" s="603"/>
      <c r="F9" s="603"/>
      <c r="G9" s="603"/>
      <c r="H9" s="603"/>
      <c r="I9" s="603"/>
      <c r="J9" s="603"/>
      <c r="K9" s="603"/>
      <c r="L9" s="603"/>
      <c r="M9" s="603"/>
      <c r="N9" s="603"/>
      <c r="O9" s="603"/>
      <c r="P9" s="603"/>
      <c r="Q9" s="603"/>
      <c r="R9" s="603"/>
      <c r="S9" s="603"/>
      <c r="T9" s="433"/>
      <c r="U9" s="434"/>
    </row>
    <row r="10" spans="1:21" x14ac:dyDescent="0.2">
      <c r="T10" s="433"/>
      <c r="U10" s="434"/>
    </row>
    <row r="11" spans="1:21" ht="12.75" customHeight="1" x14ac:dyDescent="0.2">
      <c r="A11" s="604" t="s">
        <v>564</v>
      </c>
      <c r="B11" s="604"/>
      <c r="C11" s="604"/>
      <c r="D11" s="604"/>
      <c r="E11" s="604"/>
      <c r="F11" s="604"/>
      <c r="G11" s="604"/>
      <c r="H11" s="604"/>
      <c r="I11" s="604"/>
      <c r="J11" s="604"/>
      <c r="K11" s="604"/>
      <c r="L11" s="604"/>
      <c r="M11" s="604"/>
      <c r="N11" s="604"/>
      <c r="O11" s="604"/>
      <c r="P11" s="604"/>
      <c r="Q11" s="604"/>
      <c r="R11" s="604"/>
      <c r="S11" s="604"/>
      <c r="T11" s="433"/>
      <c r="U11" s="434"/>
    </row>
    <row r="12" spans="1:21" ht="12.75" customHeight="1" x14ac:dyDescent="0.2">
      <c r="A12" s="604"/>
      <c r="B12" s="604"/>
      <c r="C12" s="604"/>
      <c r="D12" s="604"/>
      <c r="E12" s="604"/>
      <c r="F12" s="604"/>
      <c r="G12" s="604"/>
      <c r="H12" s="604"/>
      <c r="I12" s="604"/>
      <c r="J12" s="604"/>
      <c r="K12" s="604"/>
      <c r="L12" s="604"/>
      <c r="M12" s="604"/>
      <c r="N12" s="604"/>
      <c r="O12" s="604"/>
      <c r="P12" s="604"/>
      <c r="Q12" s="604"/>
      <c r="R12" s="604"/>
      <c r="S12" s="604"/>
      <c r="T12" s="433"/>
      <c r="U12" s="434"/>
    </row>
    <row r="13" spans="1:21" x14ac:dyDescent="0.2">
      <c r="T13" s="433"/>
      <c r="U13" s="434"/>
    </row>
    <row r="14" spans="1:21" x14ac:dyDescent="0.2">
      <c r="A14" s="436" t="s">
        <v>47</v>
      </c>
      <c r="B14" s="436"/>
      <c r="C14" s="437"/>
      <c r="D14" s="602" t="s">
        <v>645</v>
      </c>
      <c r="E14" s="530"/>
      <c r="F14" s="530"/>
      <c r="G14" s="530"/>
      <c r="H14" s="530"/>
      <c r="I14" s="530"/>
      <c r="J14" s="531"/>
      <c r="K14" s="436" t="s">
        <v>48</v>
      </c>
      <c r="O14" s="529"/>
      <c r="P14" s="530"/>
      <c r="Q14" s="530"/>
      <c r="R14" s="530"/>
      <c r="S14" s="531"/>
      <c r="T14" s="433"/>
      <c r="U14" s="434"/>
    </row>
    <row r="15" spans="1:21" x14ac:dyDescent="0.2">
      <c r="A15" s="436" t="s">
        <v>49</v>
      </c>
      <c r="B15" s="436"/>
      <c r="C15" s="437"/>
      <c r="D15" s="529"/>
      <c r="E15" s="530"/>
      <c r="F15" s="530"/>
      <c r="G15" s="530"/>
      <c r="H15" s="530"/>
      <c r="I15" s="530"/>
      <c r="J15" s="531"/>
      <c r="K15" s="435" t="s">
        <v>50</v>
      </c>
      <c r="N15" s="529"/>
      <c r="O15" s="530"/>
      <c r="P15" s="530"/>
      <c r="Q15" s="530"/>
      <c r="R15" s="530"/>
      <c r="S15" s="531"/>
      <c r="T15" s="433"/>
      <c r="U15" s="434"/>
    </row>
    <row r="16" spans="1:21" x14ac:dyDescent="0.2">
      <c r="A16" s="436" t="s">
        <v>51</v>
      </c>
      <c r="B16" s="436"/>
      <c r="C16" s="437"/>
      <c r="D16" s="529"/>
      <c r="E16" s="530"/>
      <c r="F16" s="530"/>
      <c r="G16" s="530"/>
      <c r="H16" s="530"/>
      <c r="I16" s="530"/>
      <c r="J16" s="531"/>
      <c r="K16" s="435" t="s">
        <v>50</v>
      </c>
      <c r="N16" s="529"/>
      <c r="O16" s="530"/>
      <c r="P16" s="530"/>
      <c r="Q16" s="530"/>
      <c r="R16" s="530"/>
      <c r="S16" s="531"/>
      <c r="T16" s="433"/>
      <c r="U16" s="434"/>
    </row>
    <row r="17" spans="1:45" x14ac:dyDescent="0.2">
      <c r="A17" s="438" t="s">
        <v>403</v>
      </c>
      <c r="D17" s="544" t="s">
        <v>603</v>
      </c>
      <c r="E17" s="545"/>
      <c r="F17" s="545"/>
      <c r="G17" s="545"/>
      <c r="H17" s="545"/>
      <c r="I17" s="545"/>
      <c r="J17" s="546"/>
      <c r="T17" s="554" t="s">
        <v>152</v>
      </c>
      <c r="U17" s="555"/>
      <c r="V17" s="555"/>
      <c r="W17" s="555"/>
      <c r="X17" s="555"/>
      <c r="Y17" s="555"/>
      <c r="Z17" s="555"/>
      <c r="AA17" s="555"/>
      <c r="AB17" s="541"/>
      <c r="AC17" s="534" t="s">
        <v>91</v>
      </c>
      <c r="AD17" s="534"/>
      <c r="AE17" s="534"/>
      <c r="AF17" s="534"/>
      <c r="AG17" s="534" t="s">
        <v>95</v>
      </c>
      <c r="AH17" s="534"/>
      <c r="AI17" s="534"/>
      <c r="AJ17" s="534"/>
      <c r="AK17" s="534" t="s">
        <v>96</v>
      </c>
      <c r="AL17" s="534"/>
      <c r="AM17" s="534"/>
      <c r="AN17" s="534"/>
      <c r="AO17" s="534" t="s">
        <v>97</v>
      </c>
      <c r="AP17" s="534"/>
      <c r="AQ17" s="534"/>
      <c r="AR17" s="534"/>
      <c r="AS17" s="534"/>
    </row>
    <row r="18" spans="1:45" x14ac:dyDescent="0.2">
      <c r="A18" s="440" t="s">
        <v>52</v>
      </c>
      <c r="B18" s="441"/>
      <c r="C18" s="441"/>
      <c r="D18" s="441"/>
      <c r="E18" s="441"/>
      <c r="F18" s="441"/>
      <c r="G18" s="441"/>
      <c r="H18" s="441"/>
      <c r="I18" s="441"/>
      <c r="J18" s="441"/>
      <c r="K18" s="441"/>
      <c r="L18" s="441"/>
      <c r="M18" s="441"/>
      <c r="N18" s="441"/>
      <c r="O18" s="441"/>
      <c r="P18" s="441"/>
      <c r="Q18" s="441"/>
      <c r="R18" s="441"/>
      <c r="S18" s="442"/>
      <c r="T18" s="553" t="s">
        <v>404</v>
      </c>
      <c r="U18" s="556" t="s">
        <v>82</v>
      </c>
      <c r="V18" s="556" t="s">
        <v>83</v>
      </c>
      <c r="W18" s="556" t="s">
        <v>84</v>
      </c>
      <c r="X18" s="556" t="s">
        <v>85</v>
      </c>
      <c r="Y18" s="556" t="s">
        <v>86</v>
      </c>
      <c r="Z18" s="553" t="s">
        <v>87</v>
      </c>
      <c r="AA18" s="553" t="s">
        <v>88</v>
      </c>
      <c r="AB18" s="553" t="s">
        <v>89</v>
      </c>
      <c r="AC18" s="547" t="s">
        <v>92</v>
      </c>
      <c r="AD18" s="547" t="s">
        <v>90</v>
      </c>
      <c r="AE18" s="547" t="s">
        <v>93</v>
      </c>
      <c r="AF18" s="547" t="s">
        <v>94</v>
      </c>
      <c r="AG18" s="547" t="s">
        <v>92</v>
      </c>
      <c r="AH18" s="547" t="s">
        <v>90</v>
      </c>
      <c r="AI18" s="550" t="s">
        <v>93</v>
      </c>
      <c r="AJ18" s="547" t="s">
        <v>94</v>
      </c>
      <c r="AK18" s="547" t="s">
        <v>92</v>
      </c>
      <c r="AL18" s="547" t="s">
        <v>90</v>
      </c>
      <c r="AM18" s="550" t="s">
        <v>93</v>
      </c>
      <c r="AN18" s="547" t="s">
        <v>94</v>
      </c>
      <c r="AO18" s="547" t="s">
        <v>98</v>
      </c>
      <c r="AP18" s="547" t="s">
        <v>99</v>
      </c>
      <c r="AQ18" s="547" t="s">
        <v>228</v>
      </c>
      <c r="AR18" s="547" t="s">
        <v>229</v>
      </c>
      <c r="AS18" s="547" t="s">
        <v>100</v>
      </c>
    </row>
    <row r="19" spans="1:45" x14ac:dyDescent="0.2">
      <c r="A19" s="610" t="str">
        <f>IF(COUNTIF(A24:B47,"NO")&gt;0,"Yes. Chassis deviates from baseline requirements","No. Chassis does not deviate from baseline requirements")</f>
        <v>Yes. Chassis deviates from baseline requirements</v>
      </c>
      <c r="B19" s="611"/>
      <c r="C19" s="611"/>
      <c r="D19" s="611"/>
      <c r="E19" s="611"/>
      <c r="F19" s="611"/>
      <c r="G19" s="611"/>
      <c r="H19" s="611"/>
      <c r="I19" s="611"/>
      <c r="J19" s="611"/>
      <c r="K19" s="611"/>
      <c r="L19" s="611"/>
      <c r="M19" s="611"/>
      <c r="N19" s="611"/>
      <c r="O19" s="611"/>
      <c r="P19" s="611"/>
      <c r="Q19" s="611"/>
      <c r="R19" s="611"/>
      <c r="S19" s="612"/>
      <c r="T19" s="553"/>
      <c r="U19" s="556"/>
      <c r="V19" s="556"/>
      <c r="W19" s="556"/>
      <c r="X19" s="556"/>
      <c r="Y19" s="556"/>
      <c r="Z19" s="553"/>
      <c r="AA19" s="553"/>
      <c r="AB19" s="553"/>
      <c r="AC19" s="548"/>
      <c r="AD19" s="548"/>
      <c r="AE19" s="548"/>
      <c r="AF19" s="548"/>
      <c r="AG19" s="548"/>
      <c r="AH19" s="548"/>
      <c r="AI19" s="551"/>
      <c r="AJ19" s="548"/>
      <c r="AK19" s="548"/>
      <c r="AL19" s="548"/>
      <c r="AM19" s="551"/>
      <c r="AN19" s="548"/>
      <c r="AO19" s="548"/>
      <c r="AP19" s="548"/>
      <c r="AQ19" s="548"/>
      <c r="AR19" s="548"/>
      <c r="AS19" s="548"/>
    </row>
    <row r="20" spans="1:45" x14ac:dyDescent="0.2">
      <c r="T20" s="553"/>
      <c r="U20" s="556"/>
      <c r="V20" s="556"/>
      <c r="W20" s="556"/>
      <c r="X20" s="556"/>
      <c r="Y20" s="556"/>
      <c r="Z20" s="553"/>
      <c r="AA20" s="553"/>
      <c r="AB20" s="553"/>
      <c r="AC20" s="548"/>
      <c r="AD20" s="548"/>
      <c r="AE20" s="548"/>
      <c r="AF20" s="548"/>
      <c r="AG20" s="548"/>
      <c r="AH20" s="548"/>
      <c r="AI20" s="551"/>
      <c r="AJ20" s="548"/>
      <c r="AK20" s="548"/>
      <c r="AL20" s="548"/>
      <c r="AM20" s="551"/>
      <c r="AN20" s="548"/>
      <c r="AO20" s="548"/>
      <c r="AP20" s="548"/>
      <c r="AQ20" s="548"/>
      <c r="AR20" s="548"/>
      <c r="AS20" s="548"/>
    </row>
    <row r="21" spans="1:45" ht="12.75" customHeight="1" x14ac:dyDescent="0.2">
      <c r="A21" s="595" t="s">
        <v>53</v>
      </c>
      <c r="B21" s="613"/>
      <c r="C21" s="595" t="s">
        <v>54</v>
      </c>
      <c r="D21" s="596"/>
      <c r="E21" s="591" t="s">
        <v>55</v>
      </c>
      <c r="F21" s="592"/>
      <c r="G21" s="618" t="s">
        <v>56</v>
      </c>
      <c r="H21" s="618"/>
      <c r="I21" s="618"/>
      <c r="J21" s="618"/>
      <c r="K21" s="618"/>
      <c r="L21" s="618"/>
      <c r="M21" s="618"/>
      <c r="N21" s="618"/>
      <c r="O21" s="585" t="s">
        <v>542</v>
      </c>
      <c r="P21" s="586"/>
      <c r="Q21" s="586"/>
      <c r="R21" s="586"/>
      <c r="S21" s="586"/>
      <c r="T21" s="553"/>
      <c r="U21" s="556"/>
      <c r="V21" s="556"/>
      <c r="W21" s="556"/>
      <c r="X21" s="556"/>
      <c r="Y21" s="556"/>
      <c r="Z21" s="553"/>
      <c r="AA21" s="553"/>
      <c r="AB21" s="553"/>
      <c r="AC21" s="548"/>
      <c r="AD21" s="548"/>
      <c r="AE21" s="548"/>
      <c r="AF21" s="548"/>
      <c r="AG21" s="548"/>
      <c r="AH21" s="548"/>
      <c r="AI21" s="551"/>
      <c r="AJ21" s="548"/>
      <c r="AK21" s="548"/>
      <c r="AL21" s="548"/>
      <c r="AM21" s="551"/>
      <c r="AN21" s="548"/>
      <c r="AO21" s="548"/>
      <c r="AP21" s="548"/>
      <c r="AQ21" s="548"/>
      <c r="AR21" s="548"/>
      <c r="AS21" s="548"/>
    </row>
    <row r="22" spans="1:45" ht="12.75" customHeight="1" x14ac:dyDescent="0.2">
      <c r="A22" s="614"/>
      <c r="B22" s="615"/>
      <c r="C22" s="597"/>
      <c r="D22" s="598"/>
      <c r="E22" s="587"/>
      <c r="F22" s="593"/>
      <c r="G22" s="618"/>
      <c r="H22" s="618"/>
      <c r="I22" s="618"/>
      <c r="J22" s="618"/>
      <c r="K22" s="618"/>
      <c r="L22" s="618"/>
      <c r="M22" s="618"/>
      <c r="N22" s="618"/>
      <c r="O22" s="587"/>
      <c r="P22" s="588"/>
      <c r="Q22" s="588"/>
      <c r="R22" s="588"/>
      <c r="S22" s="588"/>
      <c r="T22" s="553"/>
      <c r="U22" s="556"/>
      <c r="V22" s="556"/>
      <c r="W22" s="556"/>
      <c r="X22" s="556"/>
      <c r="Y22" s="556"/>
      <c r="Z22" s="553"/>
      <c r="AA22" s="553"/>
      <c r="AB22" s="553"/>
      <c r="AC22" s="548"/>
      <c r="AD22" s="548"/>
      <c r="AE22" s="548"/>
      <c r="AF22" s="548"/>
      <c r="AG22" s="548"/>
      <c r="AH22" s="548"/>
      <c r="AI22" s="551"/>
      <c r="AJ22" s="548"/>
      <c r="AK22" s="548"/>
      <c r="AL22" s="548"/>
      <c r="AM22" s="551"/>
      <c r="AN22" s="548"/>
      <c r="AO22" s="548"/>
      <c r="AP22" s="548"/>
      <c r="AQ22" s="548"/>
      <c r="AR22" s="548"/>
      <c r="AS22" s="548"/>
    </row>
    <row r="23" spans="1:45" x14ac:dyDescent="0.2">
      <c r="A23" s="616"/>
      <c r="B23" s="617"/>
      <c r="C23" s="599"/>
      <c r="D23" s="600"/>
      <c r="E23" s="589"/>
      <c r="F23" s="594"/>
      <c r="G23" s="618"/>
      <c r="H23" s="618"/>
      <c r="I23" s="618"/>
      <c r="J23" s="618"/>
      <c r="K23" s="618"/>
      <c r="L23" s="618"/>
      <c r="M23" s="618"/>
      <c r="N23" s="618"/>
      <c r="O23" s="589"/>
      <c r="P23" s="590"/>
      <c r="Q23" s="590"/>
      <c r="R23" s="590"/>
      <c r="S23" s="590"/>
      <c r="T23" s="553"/>
      <c r="U23" s="556"/>
      <c r="V23" s="556"/>
      <c r="W23" s="556"/>
      <c r="X23" s="556"/>
      <c r="Y23" s="556"/>
      <c r="Z23" s="553"/>
      <c r="AA23" s="553"/>
      <c r="AB23" s="553"/>
      <c r="AC23" s="549"/>
      <c r="AD23" s="549"/>
      <c r="AE23" s="549"/>
      <c r="AF23" s="549"/>
      <c r="AG23" s="549"/>
      <c r="AH23" s="549"/>
      <c r="AI23" s="552"/>
      <c r="AJ23" s="549"/>
      <c r="AK23" s="549"/>
      <c r="AL23" s="549"/>
      <c r="AM23" s="552"/>
      <c r="AN23" s="549"/>
      <c r="AO23" s="549"/>
      <c r="AP23" s="549"/>
      <c r="AQ23" s="549"/>
      <c r="AR23" s="549"/>
      <c r="AS23" s="549"/>
    </row>
    <row r="24" spans="1:45" ht="12.75" customHeight="1" x14ac:dyDescent="0.2">
      <c r="A24" s="536" t="str">
        <f>IF(AND('T2.9 Main Hoop Tubing'!D13&gt;='T2.9 Main Hoop Tubing'!C13,'T2.9 Main Hoop Tubing'!D14&gt;='T2.9 Main Hoop Tubing'!C14),"YES","NO")</f>
        <v>NO</v>
      </c>
      <c r="B24" s="537"/>
      <c r="C24" s="536" t="str">
        <f t="shared" ref="C24:C35" si="0">IF(A24="N/A","N/A",IF(A24="YES","NO","YES"))</f>
        <v>YES</v>
      </c>
      <c r="D24" s="537"/>
      <c r="E24" s="557" t="s">
        <v>529</v>
      </c>
      <c r="F24" s="528"/>
      <c r="G24" s="619" t="s">
        <v>57</v>
      </c>
      <c r="H24" s="619"/>
      <c r="I24" s="619"/>
      <c r="J24" s="619"/>
      <c r="K24" s="619"/>
      <c r="L24" s="619"/>
      <c r="M24" s="619"/>
      <c r="N24" s="619"/>
      <c r="O24" s="526">
        <v>1.7218</v>
      </c>
      <c r="P24" s="526"/>
      <c r="Q24" s="526"/>
      <c r="R24" s="526"/>
      <c r="S24" s="526"/>
      <c r="T24" s="439">
        <f>IF(A24="no",'T2.9 Main Hoop Tubing'!E20,"NA")</f>
        <v>149.49141481320081</v>
      </c>
      <c r="U24" s="439">
        <f>IF(A24="no",'T2.9 Main Hoop Tubing'!E21,"NA")</f>
        <v>101.4492753623188</v>
      </c>
      <c r="V24" s="439">
        <f>IF(A24="no",'T2.9 Main Hoop Tubing'!E22,"NA")</f>
        <v>101.44927536231882</v>
      </c>
      <c r="W24" s="439">
        <f>IF(A24="no",'T2.9 Main Hoop Tubing'!E23,"NA")</f>
        <v>101.44927536231883</v>
      </c>
      <c r="X24" s="439">
        <f>IF(A24="no",'T2.9 Main Hoop Tubing'!E24,"NA")</f>
        <v>101.44927536231883</v>
      </c>
      <c r="Y24" s="439">
        <f>IF(A24="no",'T2.9 Main Hoop Tubing'!E25,"NA")</f>
        <v>101.44927536231883</v>
      </c>
      <c r="Z24" s="439">
        <f>IF(A24="no",'T2.9 Main Hoop Tubing'!E26,"NA")</f>
        <v>126.5693978751767</v>
      </c>
      <c r="AA24" s="443">
        <f>IF(A24="no",'T2.9 Main Hoop Tubing'!E27,"NA")</f>
        <v>66.893473531544572</v>
      </c>
      <c r="AB24" s="439">
        <f>IF(A24="no",'T2.9 Main Hoop Tubing'!E28,"NA")</f>
        <v>107.16209020098295</v>
      </c>
      <c r="AC24" s="444" t="str">
        <f>'T2.9 Main Hoop Tubing'!D4</f>
        <v>Steel</v>
      </c>
      <c r="AD24" s="445" t="str">
        <f>'T2.9 Main Hoop Tubing'!D5</f>
        <v>Round</v>
      </c>
      <c r="AE24" s="446">
        <f>'T2.9 Main Hoop Tubing'!D13</f>
        <v>30</v>
      </c>
      <c r="AF24" s="447">
        <f>'T2.9 Main Hoop Tubing'!D14</f>
        <v>2</v>
      </c>
      <c r="AG24" s="448"/>
      <c r="AH24" s="448"/>
      <c r="AI24" s="449"/>
      <c r="AJ24" s="450"/>
      <c r="AK24" s="448"/>
      <c r="AL24" s="448"/>
      <c r="AM24" s="449"/>
      <c r="AN24" s="450"/>
      <c r="AO24" s="448"/>
      <c r="AP24" s="448"/>
      <c r="AQ24" s="449"/>
      <c r="AR24" s="449"/>
      <c r="AS24" s="450"/>
    </row>
    <row r="25" spans="1:45" ht="12.75" customHeight="1" x14ac:dyDescent="0.2">
      <c r="A25" s="536" t="str">
        <f>IF(AND('T2.10 Front Hoop Tubing'!D4='T2.10 Front Hoop Tubing'!C4,'T2.10 Front Hoop Tubing'!D5='T2.10 Front Hoop Tubing'!C5,'T2.10 Front Hoop Tubing'!D13&gt;='T2.10 Front Hoop Tubing'!C13,'T2.10 Front Hoop Tubing'!D14&gt;='T2.10 Front Hoop Tubing'!C14),"YES","NO")</f>
        <v>NO</v>
      </c>
      <c r="B25" s="537"/>
      <c r="C25" s="536" t="str">
        <f t="shared" si="0"/>
        <v>YES</v>
      </c>
      <c r="D25" s="537"/>
      <c r="E25" s="557" t="s">
        <v>530</v>
      </c>
      <c r="F25" s="528"/>
      <c r="G25" s="532" t="s">
        <v>58</v>
      </c>
      <c r="H25" s="532"/>
      <c r="I25" s="532"/>
      <c r="J25" s="532"/>
      <c r="K25" s="532"/>
      <c r="L25" s="532"/>
      <c r="M25" s="532"/>
      <c r="N25" s="532"/>
      <c r="O25" s="561">
        <v>1.7218</v>
      </c>
      <c r="P25" s="562"/>
      <c r="Q25" s="562"/>
      <c r="R25" s="562"/>
      <c r="S25" s="563"/>
      <c r="T25" s="439">
        <f>IF(A25="no",'T2.10 Front Hoop Tubing'!E20,"NA")</f>
        <v>149.49141481320081</v>
      </c>
      <c r="U25" s="439">
        <f>IF(A25="no",'T2.10 Front Hoop Tubing'!E21,"NA")</f>
        <v>101.4492753623188</v>
      </c>
      <c r="V25" s="439">
        <f>IF(A25="no",'T2.10 Front Hoop Tubing'!E22,"NA")</f>
        <v>101.44927536231882</v>
      </c>
      <c r="W25" s="439">
        <f>IF(A25="no",'T2.10 Front Hoop Tubing'!E23,"NA")</f>
        <v>101.44927536231883</v>
      </c>
      <c r="X25" s="439">
        <f>IF(A25="no",'T2.10 Front Hoop Tubing'!E24,"NA")</f>
        <v>101.44927536231883</v>
      </c>
      <c r="Y25" s="439">
        <f>IF(A25="no",'T2.10 Front Hoop Tubing'!E25,"NA")</f>
        <v>101.44927536231883</v>
      </c>
      <c r="Z25" s="439">
        <f>IF(A25="no",'T2.10 Front Hoop Tubing'!E26,"NA")</f>
        <v>126.5693978751767</v>
      </c>
      <c r="AA25" s="443">
        <f>IF(A25="no",'T2.10 Front Hoop Tubing'!E27,"NA")</f>
        <v>66.893473531544572</v>
      </c>
      <c r="AB25" s="439">
        <f>IF(A25="no",'T2.10 Front Hoop Tubing'!E28,"NA")</f>
        <v>107.16209020098295</v>
      </c>
      <c r="AC25" s="445" t="str">
        <f>'T2.10 Front Hoop Tubing'!D4</f>
        <v>Steel</v>
      </c>
      <c r="AD25" s="445" t="str">
        <f>'T2.10 Front Hoop Tubing'!D5</f>
        <v>Round</v>
      </c>
      <c r="AE25" s="446">
        <f>'T2.10 Front Hoop Tubing'!D13</f>
        <v>30</v>
      </c>
      <c r="AF25" s="447">
        <f>'T2.10 Front Hoop Tubing'!D14</f>
        <v>2</v>
      </c>
      <c r="AG25" s="448"/>
      <c r="AH25" s="448"/>
      <c r="AI25" s="449"/>
      <c r="AJ25" s="450"/>
      <c r="AK25" s="448"/>
      <c r="AL25" s="448"/>
      <c r="AM25" s="449"/>
      <c r="AN25" s="450"/>
      <c r="AO25" s="448"/>
      <c r="AP25" s="448"/>
      <c r="AQ25" s="449"/>
      <c r="AR25" s="449"/>
      <c r="AS25" s="450"/>
    </row>
    <row r="26" spans="1:45" ht="12.75" customHeight="1" x14ac:dyDescent="0.2">
      <c r="A26" s="536" t="str">
        <f>IF(AND('T2.11 Main Hoop Bracing'!D13&gt;='T2.11 Main Hoop Bracing'!C13,'T2.11 Main Hoop Bracing'!D14&gt;='T2.11 Main Hoop Bracing'!C14,'T2.11 Main Hoop Bracing'!D5='T2.11 Main Hoop Bracing'!C5),"YES","NO")</f>
        <v>NO</v>
      </c>
      <c r="B26" s="537"/>
      <c r="C26" s="536" t="str">
        <f t="shared" si="0"/>
        <v>YES</v>
      </c>
      <c r="D26" s="537"/>
      <c r="E26" s="557" t="s">
        <v>531</v>
      </c>
      <c r="F26" s="528"/>
      <c r="G26" s="532" t="s">
        <v>59</v>
      </c>
      <c r="H26" s="532"/>
      <c r="I26" s="532"/>
      <c r="J26" s="532"/>
      <c r="K26" s="532"/>
      <c r="L26" s="532"/>
      <c r="M26" s="532"/>
      <c r="N26" s="532"/>
      <c r="O26" s="526">
        <v>1.7218</v>
      </c>
      <c r="P26" s="526"/>
      <c r="Q26" s="526"/>
      <c r="R26" s="526"/>
      <c r="S26" s="526"/>
      <c r="T26" s="439">
        <f>IF(A26="NO",'T2.11 Main Hoop Bracing'!E20,"NA")</f>
        <v>160.70078624595709</v>
      </c>
      <c r="U26" s="439">
        <f>IF(A26="NO",'T2.11 Main Hoop Bracing'!E21,"NA")</f>
        <v>112.26365546218487</v>
      </c>
      <c r="V26" s="439">
        <f>IF(A26="NO",'T2.11 Main Hoop Bracing'!E22,"NA")</f>
        <v>112.26365546218487</v>
      </c>
      <c r="W26" s="439">
        <f>IF(A26="NO",'T2.11 Main Hoop Bracing'!E23,"NA")</f>
        <v>112.26365546218491</v>
      </c>
      <c r="X26" s="439">
        <f>IF(A26="NO",'T2.11 Main Hoop Bracing'!E24,"NA")</f>
        <v>112.26365546218489</v>
      </c>
      <c r="Y26" s="439">
        <f>IF(A26="NO",'T2.11 Main Hoop Bracing'!E25,"NA")</f>
        <v>112.26365546218487</v>
      </c>
      <c r="Z26" s="439">
        <f>IF(A26="NO",'T2.11 Main Hoop Bracing'!E26,"NA")</f>
        <v>136.05999902157703</v>
      </c>
      <c r="AA26" s="443">
        <f>IF(A26="NO",'T2.11 Main Hoop Bracing'!E27,"NA")</f>
        <v>62.227449122089027</v>
      </c>
      <c r="AB26" s="439">
        <f>IF(A26="NO",'T2.11 Main Hoop Bracing'!E28,"NA")</f>
        <v>115.19746583826853</v>
      </c>
      <c r="AC26" s="445" t="str">
        <f>'T2.11 Main Hoop Bracing'!D4</f>
        <v>Steel</v>
      </c>
      <c r="AD26" s="445" t="str">
        <f>'T2.11 Main Hoop Bracing'!D5</f>
        <v>Round</v>
      </c>
      <c r="AE26" s="446" t="str">
        <f>'T2.11 Main Hoop Bracing'!D13</f>
        <v>30</v>
      </c>
      <c r="AF26" s="447">
        <f>'T2.11 Main Hoop Bracing'!D14</f>
        <v>1.5</v>
      </c>
      <c r="AG26" s="448"/>
      <c r="AH26" s="448"/>
      <c r="AI26" s="448"/>
      <c r="AJ26" s="448"/>
      <c r="AK26" s="448"/>
      <c r="AL26" s="448"/>
      <c r="AM26" s="448"/>
      <c r="AN26" s="448"/>
      <c r="AO26" s="448"/>
      <c r="AP26" s="448"/>
      <c r="AQ26" s="448"/>
      <c r="AR26" s="448"/>
      <c r="AS26" s="448"/>
    </row>
    <row r="27" spans="1:45" ht="12.75" customHeight="1" x14ac:dyDescent="0.2">
      <c r="A27" s="536" t="str">
        <f>IF(NOT('T2.11.5 T2.6 MHoop Brace Spt'!F2="tubing only"),"N/A",IF(AND('T2.11.5 T2.6 MHoop Brace Spt'!E5='T2.11.5 T2.6 MHoop Brace Spt'!C5,'T2.11.5 T2.6 MHoop Brace Spt'!E15&gt;='T2.11.5 T2.6 MHoop Brace Spt'!C15,'T2.11.5 T2.6 MHoop Brace Spt'!E16&gt;='T2.11.5 T2.6 MHoop Brace Spt'!C16),"YES","NO"))</f>
        <v>NO</v>
      </c>
      <c r="B27" s="537"/>
      <c r="C27" s="536" t="str">
        <f>IF(A27="N/A","N/A",IF(A27="YES","NO","YES"))</f>
        <v>YES</v>
      </c>
      <c r="D27" s="537"/>
      <c r="E27" s="557" t="s">
        <v>535</v>
      </c>
      <c r="F27" s="528"/>
      <c r="G27" s="532" t="s">
        <v>155</v>
      </c>
      <c r="H27" s="532"/>
      <c r="I27" s="532"/>
      <c r="J27" s="532"/>
      <c r="K27" s="532"/>
      <c r="L27" s="532"/>
      <c r="M27" s="532"/>
      <c r="N27" s="532"/>
      <c r="O27" s="561">
        <v>1.7218</v>
      </c>
      <c r="P27" s="562"/>
      <c r="Q27" s="562"/>
      <c r="R27" s="562"/>
      <c r="S27" s="563"/>
      <c r="T27" s="439">
        <f>IF(A27="NO",'T2.11.5 T2.6 MHoop Brace Spt'!$H$27,"NA")</f>
        <v>114.64807688084528</v>
      </c>
      <c r="U27" s="439">
        <f>IF(A27="NO",'T2.11.5 T2.6 MHoop Brace Spt'!$H$28,"NA")</f>
        <v>121.38429752066116</v>
      </c>
      <c r="V27" s="439">
        <f>IF(A27="NO",'T2.11.5 T2.6 MHoop Brace Spt'!$H$29,"NA")</f>
        <v>121.38429752066116</v>
      </c>
      <c r="W27" s="439">
        <f>IF(A27="NO",'T2.11.5 T2.6 MHoop Brace Spt'!$H$30,"NA")</f>
        <v>121.38429752066116</v>
      </c>
      <c r="X27" s="439">
        <f>IF(A27="NO",'T2.11.5 T2.6 MHoop Brace Spt'!$H$31,"NA")</f>
        <v>121.38429752066116</v>
      </c>
      <c r="Y27" s="439">
        <f>IF(A27="NO",'T2.11.5 T2.6 MHoop Brace Spt'!$H$32,"NA")</f>
        <v>121.38429752066118</v>
      </c>
      <c r="Z27" s="439">
        <f>IF(A27="NO",'T2.11.5 T2.6 MHoop Brace Spt'!$H$33,"NA")</f>
        <v>116.48244611093881</v>
      </c>
      <c r="AA27" s="443">
        <f>IF(A27="NO",'T2.11.5 T2.6 MHoop Brace Spt'!$H$34,"NA")</f>
        <v>87.223443009803674</v>
      </c>
      <c r="AB27" s="439">
        <f>IF(A27="NO",'T2.11.5 T2.6 MHoop Brace Spt'!$H$35,"NA")</f>
        <v>118.3461652487138</v>
      </c>
      <c r="AC27" s="447" t="str">
        <f>IF(A27="N/A","",IF('T2.11.5 T2.6 MHoop Brace Spt'!$F$2="composite only","",'T2.11.5 T2.6 MHoop Brace Spt'!E5))</f>
        <v>Steel</v>
      </c>
      <c r="AD27" s="447" t="str">
        <f>IF(A27="N/A","",IF('T2.11.5 T2.6 MHoop Brace Spt'!$F$2="composite only","",'T2.11.5 T2.6 MHoop Brace Spt'!$E$6))</f>
        <v>Round</v>
      </c>
      <c r="AE27" s="446">
        <f>IF(A27="N/A","",IF('T2.11.5 T2.6 MHoop Brace Spt'!$F$2="composite only","",'T2.11.5 T2.6 MHoop Brace Spt'!$E$15))</f>
        <v>25</v>
      </c>
      <c r="AF27" s="447">
        <f>IF(A27="N/A","",IF('T2.11.5 T2.6 MHoop Brace Spt'!$F$2="composite only","",'T2.11.5 T2.6 MHoop Brace Spt'!$E$16))</f>
        <v>1.5</v>
      </c>
      <c r="AG27" s="448"/>
      <c r="AH27" s="448"/>
      <c r="AI27" s="448"/>
      <c r="AJ27" s="448"/>
      <c r="AK27" s="448"/>
      <c r="AL27" s="448"/>
      <c r="AM27" s="448"/>
      <c r="AN27" s="448"/>
      <c r="AO27" s="448"/>
      <c r="AP27" s="448"/>
      <c r="AQ27" s="448"/>
      <c r="AR27" s="448"/>
      <c r="AS27" s="448"/>
    </row>
    <row r="28" spans="1:45" ht="12.75" customHeight="1" x14ac:dyDescent="0.2">
      <c r="A28" s="558" t="str">
        <f>IF('T2.12 T2.6 FHoop Bracing'!F2="tubing only",IF(AND('T2.12 T2.6 FHoop Bracing'!E6='T2.12 T2.6 FHoop Bracing'!C6,'T2.12 T2.6 FHoop Bracing'!E15&gt;='T2.12 T2.6 FHoop Bracing'!C15,'T2.12 T2.6 FHoop Bracing'!E16&gt;='T2.12 T2.6 FHoop Bracing'!C16,'T2.12 T2.6 FHoop Bracing'!E5='T2.12 T2.6 FHoop Bracing'!C5),"YES","NO"),"N/A")</f>
        <v>NO</v>
      </c>
      <c r="B28" s="539"/>
      <c r="C28" s="558" t="str">
        <f t="shared" si="0"/>
        <v>YES</v>
      </c>
      <c r="D28" s="539"/>
      <c r="E28" s="557" t="s">
        <v>532</v>
      </c>
      <c r="F28" s="528"/>
      <c r="G28" s="532" t="s">
        <v>60</v>
      </c>
      <c r="H28" s="532"/>
      <c r="I28" s="532"/>
      <c r="J28" s="532"/>
      <c r="K28" s="532"/>
      <c r="L28" s="532"/>
      <c r="M28" s="532"/>
      <c r="N28" s="532"/>
      <c r="O28" s="526">
        <v>1.7218</v>
      </c>
      <c r="P28" s="526"/>
      <c r="Q28" s="526"/>
      <c r="R28" s="526"/>
      <c r="S28" s="526"/>
      <c r="T28" s="451">
        <f>IF($A$28="NO",'T2.12 T2.6 FHoop Bracing'!$H$27,"NA")</f>
        <v>180.41866351109869</v>
      </c>
      <c r="U28" s="439">
        <f>IF($A$28="NO",'T2.12 T2.6 FHoop Bracing'!$H$28,"NA")</f>
        <v>185.13655462184872</v>
      </c>
      <c r="V28" s="439">
        <f>IF($A$28="NO",'T2.12 T2.6 FHoop Bracing'!$H$29,"NA")</f>
        <v>185.13655462184872</v>
      </c>
      <c r="W28" s="439">
        <f>IF($A$28="NO",'T2.12 T2.6 FHoop Bracing'!$H$30,"NA")</f>
        <v>185.13655462184875</v>
      </c>
      <c r="X28" s="439">
        <f>IF($A$28="NO",'T2.12 T2.6 FHoop Bracing'!$H$31,"NA")</f>
        <v>185.13655462184875</v>
      </c>
      <c r="Y28" s="439">
        <f>IF($A$28="NO",'T2.12 T2.6 FHoop Bracing'!$H$32,"NA")</f>
        <v>185.13655462184875</v>
      </c>
      <c r="Z28" s="439">
        <f>IF($A$28="NO",'T2.12 T2.6 FHoop Bracing'!$H$33,"NA")</f>
        <v>183.30536212727625</v>
      </c>
      <c r="AA28" s="443">
        <f>IF($A$28="NO",'T2.12 T2.6 FHoop Bracing'!$H$34,"NA")</f>
        <v>55.426638272291811</v>
      </c>
      <c r="AB28" s="439">
        <f>IF($A$28="NO",'T2.12 T2.6 FHoop Bracing'!$H$35,"NA")</f>
        <v>186.23824792131268</v>
      </c>
      <c r="AC28" s="447" t="str">
        <f>IF(A28="N/A","",IF('T2.12 T2.6 FHoop Bracing'!$F$2="Composite Only","",'T2.12 T2.6 FHoop Bracing'!$E$5))</f>
        <v>Steel</v>
      </c>
      <c r="AD28" s="447" t="str">
        <f>IF(A28="N/A","",IF('T2.12 T2.6 FHoop Bracing'!$F$2="Composite Only","",'T2.12 T2.6 FHoop Bracing'!$E$6))</f>
        <v>Round</v>
      </c>
      <c r="AE28" s="446">
        <f>IF(A28="N/A","",IF('T2.12 T2.6 FHoop Bracing'!$F$2="Composite Only","",'T2.12 T2.6 FHoop Bracing'!$E$15))</f>
        <v>25</v>
      </c>
      <c r="AF28" s="447">
        <f>IF(A28="N/A","",IF('T2.12 T2.6 FHoop Bracing'!$F$2="Composite Only","",'T2.12 T2.6 FHoop Bracing'!$E$16))</f>
        <v>1.5</v>
      </c>
      <c r="AG28" s="448"/>
      <c r="AH28" s="448"/>
      <c r="AI28" s="448"/>
      <c r="AJ28" s="448"/>
      <c r="AK28" s="448"/>
      <c r="AL28" s="448"/>
      <c r="AM28" s="448"/>
      <c r="AN28" s="448"/>
      <c r="AO28" s="448"/>
      <c r="AP28" s="448"/>
      <c r="AQ28" s="448"/>
      <c r="AR28" s="448"/>
      <c r="AS28" s="448"/>
    </row>
    <row r="29" spans="1:45" s="436" customFormat="1" ht="12.75" customHeight="1" x14ac:dyDescent="0.2">
      <c r="A29" s="536" t="str">
        <f>IF(NOT('T2.14 T2.6 Ft Bulkhead'!F2="tubing only"),"N/A",IF(AND('T2.14 T2.6 Ft Bulkhead'!E5='T2.14 T2.6 Ft Bulkhead'!C5,'T2.14 T2.6 Ft Bulkhead'!E15&gt;='T2.14 T2.6 Ft Bulkhead'!C15,'T2.14 T2.6 Ft Bulkhead'!E16&gt;='T2.14 T2.6 Ft Bulkhead'!C16),"YES","NO"))</f>
        <v>NO</v>
      </c>
      <c r="B29" s="537"/>
      <c r="C29" s="536" t="str">
        <f t="shared" si="0"/>
        <v>YES</v>
      </c>
      <c r="D29" s="537"/>
      <c r="E29" s="557" t="s">
        <v>536</v>
      </c>
      <c r="F29" s="528"/>
      <c r="G29" s="532" t="s">
        <v>61</v>
      </c>
      <c r="H29" s="532"/>
      <c r="I29" s="532"/>
      <c r="J29" s="532"/>
      <c r="K29" s="532"/>
      <c r="L29" s="532"/>
      <c r="M29" s="532"/>
      <c r="N29" s="532"/>
      <c r="O29" s="561">
        <v>1.7218</v>
      </c>
      <c r="P29" s="562"/>
      <c r="Q29" s="562"/>
      <c r="R29" s="562"/>
      <c r="S29" s="563"/>
      <c r="T29" s="439">
        <f>IF($A$29="NO",'T2.14 T2.6 Ft Bulkhead'!$H27,"NA")</f>
        <v>401.7519656148927</v>
      </c>
      <c r="U29" s="439">
        <f>IF($A$29="NO",'T2.14 T2.6 Ft Bulkhead'!$H28,"NA")</f>
        <v>280.65913865546219</v>
      </c>
      <c r="V29" s="439">
        <f>IF($A$29="NO",'T2.14 T2.6 Ft Bulkhead'!$H29,"NA")</f>
        <v>280.65913865546219</v>
      </c>
      <c r="W29" s="439">
        <f>IF($A$29="NO",'T2.14 T2.6 Ft Bulkhead'!$H30,"NA")</f>
        <v>280.65913865546224</v>
      </c>
      <c r="X29" s="439">
        <f>IF($A$29="NO",'T2.14 T2.6 Ft Bulkhead'!$H31,"NA")</f>
        <v>280.65913865546224</v>
      </c>
      <c r="Y29" s="439">
        <f>IF($A$29="NO",'T2.14 T2.6 Ft Bulkhead'!$H32,"NA")</f>
        <v>280.65913865546224</v>
      </c>
      <c r="Z29" s="439">
        <f>IF($A$29="NO",'T2.14 T2.6 Ft Bulkhead'!$H33,"NA")</f>
        <v>340.14999755394257</v>
      </c>
      <c r="AA29" s="443">
        <f>IF($A$29="NO",'T2.14 T2.6 Ft Bulkhead'!$H34,"NA")</f>
        <v>24.890979648835621</v>
      </c>
      <c r="AB29" s="439">
        <f>IF($A$29="NO",'T2.14 T2.6 Ft Bulkhead'!$H35,"NA")</f>
        <v>287.99366459567148</v>
      </c>
      <c r="AC29" s="447" t="str">
        <f>IF(A29="N/A","",IF('T2.14 T2.6 Ft Bulkhead'!$F$2="Composite only","",'T2.14 T2.6 Ft Bulkhead'!$E$5))</f>
        <v>Steel</v>
      </c>
      <c r="AD29" s="447" t="str">
        <f>IF(A29="N/A","",IF('T2.14 T2.6 Ft Bulkhead'!$F$2="Composite only","",'T2.14 T2.6 Ft Bulkhead'!$E$6))</f>
        <v>Round</v>
      </c>
      <c r="AE29" s="446">
        <f>IF(A29="N/A","",IF('T2.14 T2.6 Ft Bulkhead'!$F$2="Composite only","",'T2.14 T2.6 Ft Bulkhead'!$E$15))</f>
        <v>30</v>
      </c>
      <c r="AF29" s="447">
        <f>IF(A29="N/A","",IF('T2.14 T2.6 Ft Bulkhead'!$F$2="Composite only","",'T2.14 T2.6 Ft Bulkhead'!$E$16))</f>
        <v>1.5</v>
      </c>
      <c r="AG29" s="448"/>
      <c r="AH29" s="448"/>
      <c r="AI29" s="448"/>
      <c r="AJ29" s="448"/>
      <c r="AK29" s="448"/>
      <c r="AL29" s="448"/>
      <c r="AM29" s="448"/>
      <c r="AN29" s="448"/>
      <c r="AO29" s="448"/>
      <c r="AP29" s="448"/>
      <c r="AQ29" s="448"/>
      <c r="AR29" s="448"/>
      <c r="AS29" s="448"/>
    </row>
    <row r="30" spans="1:45" ht="12.75" customHeight="1" x14ac:dyDescent="0.2">
      <c r="A30" s="583" t="str">
        <f>IF(NOT('T2.15 T2.6 FBH S''pt Structure'!F2="tubing only"),"N/A",IF('T2.15 T2.6 FBH S''pt Structure'!G17="YES","YES","NO"))</f>
        <v>NO</v>
      </c>
      <c r="B30" s="584"/>
      <c r="C30" s="583" t="str">
        <f t="shared" si="0"/>
        <v>YES</v>
      </c>
      <c r="D30" s="584"/>
      <c r="E30" s="607" t="s">
        <v>534</v>
      </c>
      <c r="F30" s="608"/>
      <c r="G30" s="560" t="s">
        <v>62</v>
      </c>
      <c r="H30" s="560"/>
      <c r="I30" s="560"/>
      <c r="J30" s="560"/>
      <c r="K30" s="560"/>
      <c r="L30" s="560"/>
      <c r="M30" s="560"/>
      <c r="N30" s="560"/>
      <c r="O30" s="526">
        <v>1.7218</v>
      </c>
      <c r="P30" s="526"/>
      <c r="Q30" s="526"/>
      <c r="R30" s="526"/>
      <c r="S30" s="526"/>
      <c r="T30" s="452">
        <f>IF($A$30="NO",'T2.15 T2.6 FBH S''pt Structure'!$K$27,"NA")</f>
        <v>229.29615376169056</v>
      </c>
      <c r="U30" s="452">
        <f>IF($A$30="NO",'T2.15 T2.6 FBH S''pt Structure'!$K$28,"NA")</f>
        <v>242.76859504132236</v>
      </c>
      <c r="V30" s="452">
        <f>IF($A$30="NO",'T2.15 T2.6 FBH S''pt Structure'!$K$29,"NA")</f>
        <v>242.76859504132236</v>
      </c>
      <c r="W30" s="452">
        <f>IF($A$30="NO",'T2.15 T2.6 FBH S''pt Structure'!$K$30,"NA")</f>
        <v>242.76859504132236</v>
      </c>
      <c r="X30" s="452">
        <f>IF($A$30="NO",'T2.15 T2.6 FBH S''pt Structure'!$K$31,"NA")</f>
        <v>242.76859504132238</v>
      </c>
      <c r="Y30" s="452">
        <f>IF($A$30="NO",'T2.15 T2.6 FBH S''pt Structure'!$K$32,"NA")</f>
        <v>242.76859504132233</v>
      </c>
      <c r="Z30" s="452">
        <f>IF($A$30="NO",'T2.15 T2.6 FBH S''pt Structure'!$K$33,"NA")</f>
        <v>232.96489222187759</v>
      </c>
      <c r="AA30" s="443">
        <f>IF($A$30="NO",'T2.15 T2.6 FBH S''pt Structure'!$K$34,"NA")</f>
        <v>43.611721504901851</v>
      </c>
      <c r="AB30" s="452">
        <f>IF($A$30="NO",'T2.15 T2.6 FBH S''pt Structure'!$K$35,"NA")</f>
        <v>236.69233049742763</v>
      </c>
      <c r="AC30" s="453" t="str">
        <f>IF('T2.15 T2.6 FBH S''pt Structure'!$F$2="tubing only",'T2.15 T2.6 FBH S''pt Structure'!$E$5,"")</f>
        <v>Steel</v>
      </c>
      <c r="AD30" s="453" t="str">
        <f>IF('T2.15 T2.6 FBH S''pt Structure'!$F$2="tubing only",'T2.15 T2.6 FBH S''pt Structure'!$E$6,"")</f>
        <v>Round</v>
      </c>
      <c r="AE30" s="454">
        <f>IF('T2.15 T2.6 FBH S''pt Structure'!$F$2="tubing only",'T2.15 T2.6 FBH S''pt Structure'!$E$15,"")</f>
        <v>25</v>
      </c>
      <c r="AF30" s="453">
        <f>IF('T2.15 T2.6 FBH S''pt Structure'!$F$2="tubing only",'T2.15 T2.6 FBH S''pt Structure'!$E$16,"")</f>
        <v>1.5</v>
      </c>
      <c r="AG30" s="453" t="str">
        <f>IF('T2.15 T2.6 FBH S''pt Structure'!$F$2="tubing only",IF('T2.15 T2.6 FBH S''pt Structure'!$F$14&gt;0,'T2.15 T2.6 FBH S''pt Structure'!$F$5,""),"")</f>
        <v>Steel</v>
      </c>
      <c r="AH30" s="453" t="str">
        <f>IF('T2.15 T2.6 FBH S''pt Structure'!$F$2="tubing only",IF('T2.15 T2.6 FBH S''pt Structure'!$F$14&gt;0,'T2.15 T2.6 FBH S''pt Structure'!$F$6,""),"")</f>
        <v>Round</v>
      </c>
      <c r="AI30" s="454">
        <f>IF('T2.15 T2.6 FBH S''pt Structure'!$F$2="tubing only",IF('T2.15 T2.6 FBH S''pt Structure'!$F$14&gt;0,'T2.15 T2.6 FBH S''pt Structure'!$F$15,""),"")</f>
        <v>25</v>
      </c>
      <c r="AJ30" s="453">
        <f>IF('T2.15 T2.6 FBH S''pt Structure'!$F$2="tubing only",IF('T2.15 T2.6 FBH S''pt Structure'!$F$14&gt;0,'T2.15 T2.6 FBH S''pt Structure'!$F$16,""),"")</f>
        <v>1.5</v>
      </c>
      <c r="AK30" s="453" t="str">
        <f>IF('T2.15 T2.6 FBH S''pt Structure'!$F$2="tubing only",IF('T2.15 T2.6 FBH S''pt Structure'!$G$14&gt;0,'T2.15 T2.6 FBH S''pt Structure'!$G$5,""),"")</f>
        <v>Steel</v>
      </c>
      <c r="AL30" s="453" t="str">
        <f>IF('T2.15 T2.6 FBH S''pt Structure'!$F$2="tubing only",IF('T2.15 T2.6 FBH S''pt Structure'!$G$14&gt;0,'T2.15 T2.6 FBH S''pt Structure'!$G$6,""),"")</f>
        <v>Round</v>
      </c>
      <c r="AM30" s="454">
        <f>IF('T2.15 T2.6 FBH S''pt Structure'!$F$2="tubing only",IF('T2.15 T2.6 FBH S''pt Structure'!$G$14&gt;0,'T2.15 T2.6 FBH S''pt Structure'!$G$15,""),"")</f>
        <v>25</v>
      </c>
      <c r="AN30" s="453">
        <f>IF('T2.15 T2.6 FBH S''pt Structure'!$F$2="tubing only",IF('T2.15 T2.6 FBH S''pt Structure'!$G$14&gt;0,'T2.15 T2.6 FBH S''pt Structure'!$G$16,""),"")</f>
        <v>1.5</v>
      </c>
      <c r="AO30" s="453"/>
      <c r="AP30" s="454"/>
      <c r="AQ30" s="453"/>
      <c r="AR30" s="453"/>
      <c r="AS30" s="455"/>
    </row>
    <row r="31" spans="1:45" ht="12.75" customHeight="1" x14ac:dyDescent="0.2">
      <c r="A31" s="536" t="str">
        <f>IF(NOT('T2.16.1 T2.16.2 SIS'!F2="tubing only"),"N/A",IF('T2.16.1 T2.16.2 SIS'!G17="YES","YES","NO"))</f>
        <v>NO</v>
      </c>
      <c r="B31" s="537"/>
      <c r="C31" s="536" t="str">
        <f t="shared" si="0"/>
        <v>YES</v>
      </c>
      <c r="D31" s="537"/>
      <c r="E31" s="557" t="s">
        <v>537</v>
      </c>
      <c r="F31" s="528"/>
      <c r="G31" s="532" t="s">
        <v>64</v>
      </c>
      <c r="H31" s="532"/>
      <c r="I31" s="532"/>
      <c r="J31" s="532"/>
      <c r="K31" s="532"/>
      <c r="L31" s="532"/>
      <c r="M31" s="532"/>
      <c r="N31" s="532"/>
      <c r="O31" s="561">
        <v>1.7218</v>
      </c>
      <c r="P31" s="562"/>
      <c r="Q31" s="562"/>
      <c r="R31" s="562"/>
      <c r="S31" s="563"/>
      <c r="T31" s="439">
        <f>IF($A$31="NO",'T2.16.1 T2.16.2 SIS'!$L$27,"NA")</f>
        <v>198.06011041247953</v>
      </c>
      <c r="U31" s="439">
        <f>IF($A$31="NO",'T2.16.1 T2.16.2 SIS'!$L$28,"NA")</f>
        <v>122.48861216511575</v>
      </c>
      <c r="V31" s="439">
        <f>IF($A$31="NO",'T2.16.1 T2.16.2 SIS'!$L$29,"NA")</f>
        <v>122.48861216511575</v>
      </c>
      <c r="W31" s="439">
        <f>IF($A$31="NO",'T2.16.1 T2.16.2 SIS'!$L$30,"NA")</f>
        <v>122.48861216511577</v>
      </c>
      <c r="X31" s="439">
        <f>IF($A$31="NO",'T2.16.1 T2.16.2 SIS'!$L$31,"NA")</f>
        <v>122.48861216511574</v>
      </c>
      <c r="Y31" s="439">
        <f>IF($A$31="NO",'T2.16.1 T2.16.2 SIS'!$L$32,"NA")</f>
        <v>122.48861216511574</v>
      </c>
      <c r="Z31" s="439">
        <f>IF($A$31="NO",'T2.16.1 T2.16.2 SIS'!$L$33,"NA")</f>
        <v>167.69089348256597</v>
      </c>
      <c r="AA31" s="443">
        <f>IF($A$31="NO",'T2.16.1 T2.16.2 SIS'!$L$34,"NA")</f>
        <v>50.489722434133874</v>
      </c>
      <c r="AB31" s="439">
        <f>IF($A$31="NO",'T2.16.1 T2.16.2 SIS'!$L$35,"NA")</f>
        <v>141.97828981523924</v>
      </c>
      <c r="AC31" s="447" t="str">
        <f>IF('T2.16.1 T2.16.2 SIS'!$F$2="tubing only",'T2.16.1 T2.16.2 SIS'!$E$5,"")</f>
        <v>Steel</v>
      </c>
      <c r="AD31" s="447" t="str">
        <f>IF('T2.16.1 T2.16.2 SIS'!$F$2="tubing only",'T2.16.1 T2.16.2 SIS'!$E$6,"")</f>
        <v>Round</v>
      </c>
      <c r="AE31" s="446">
        <f>IF('T2.16.1 T2.16.2 SIS'!$F$2="tubing only",'T2.16.1 T2.16.2 SIS'!$E$15,"")</f>
        <v>30</v>
      </c>
      <c r="AF31" s="447">
        <f>IF('T2.16.1 T2.16.2 SIS'!$F$2="tubing only",'T2.16.1 T2.16.2 SIS'!$E$16,"")</f>
        <v>1.5</v>
      </c>
      <c r="AG31" s="447" t="str">
        <f>IF('T2.16.1 T2.16.2 SIS'!$F$2="tubing only",IF('T2.16.1 T2.16.2 SIS'!$F$14&gt;0,'T2.16.1 T2.16.2 SIS'!$F$5,""),"")</f>
        <v>Steel</v>
      </c>
      <c r="AH31" s="447" t="str">
        <f>IF('T2.16.1 T2.16.2 SIS'!$F$2="tubing only",IF('T2.16.1 T2.16.2 SIS'!$F$14&gt;0,'T2.16.1 T2.16.2 SIS'!$F$6,""),"")</f>
        <v>Square</v>
      </c>
      <c r="AI31" s="446">
        <f>IF('T2.16.1 T2.16.2 SIS'!$F$2="tubing only",IF('T2.16.1 T2.16.2 SIS'!$F$14&gt;0,'T2.16.1 T2.16.2 SIS'!$F$15,""),"")</f>
        <v>30</v>
      </c>
      <c r="AJ31" s="447">
        <f>IF('T2.16.1 T2.16.2 SIS'!$F$2="tubing only",IF('T2.16.1 T2.16.2 SIS'!$F$14&gt;0,'T2.16.1 T2.16.2 SIS'!$F$16,""),"")</f>
        <v>1.5</v>
      </c>
      <c r="AK31" s="447" t="str">
        <f>IF('T2.16.1 T2.16.2 SIS'!$F$2="tubing only",IF('T2.16.1 T2.16.2 SIS'!$G$14&gt;0,'T2.16.1 T2.16.2 SIS'!$G$5,""),"")</f>
        <v>Steel</v>
      </c>
      <c r="AL31" s="447" t="str">
        <f>IF('T2.16.1 T2.16.2 SIS'!$F$2="tubing only",IF('T2.16.1 T2.16.2 SIS'!$G$14&gt;0,'T2.16.1 T2.16.2 SIS'!$G$6,""),"")</f>
        <v>Round</v>
      </c>
      <c r="AM31" s="446">
        <f>IF('T2.16.1 T2.16.2 SIS'!$F$2="tubing only",IF('T2.16.1 T2.16.2 SIS'!$G$14&gt;0,'T2.16.1 T2.16.2 SIS'!$G$15,""),"")</f>
        <v>30</v>
      </c>
      <c r="AN31" s="447">
        <f>IF('T2.16.1 T2.16.2 SIS'!$F$2="tubing only",IF('T2.16.1 T2.16.2 SIS'!$G$14&gt;0,'T2.16.1 T2.16.2 SIS'!$G$16,""),"")</f>
        <v>1.5</v>
      </c>
      <c r="AO31" s="450"/>
      <c r="AP31" s="449"/>
      <c r="AQ31" s="450"/>
      <c r="AR31" s="450"/>
      <c r="AS31" s="456"/>
    </row>
    <row r="32" spans="1:45" ht="12.75" customHeight="1" x14ac:dyDescent="0.2">
      <c r="A32" s="536" t="str">
        <f>IF(AND('T4.5 Shoulder Harness Bar'!F2="tubing only",'T4.5 Shoulder Harness Bar'!E5='T4.5 Shoulder Harness Bar'!C5,'T4.5 Shoulder Harness Bar'!E15&gt;='T4.5 Shoulder Harness Bar'!C15,'T4.5 Shoulder Harness Bar'!E16&gt;='T4.5 Shoulder Harness Bar'!C16),"YES","NO")</f>
        <v>NO</v>
      </c>
      <c r="B32" s="537"/>
      <c r="C32" s="536" t="str">
        <f>IF(A32="N/A","N/A",IF(A32="YES","NO","YES"))</f>
        <v>YES</v>
      </c>
      <c r="D32" s="537"/>
      <c r="E32" s="557" t="s">
        <v>539</v>
      </c>
      <c r="F32" s="528"/>
      <c r="G32" s="532" t="s">
        <v>42</v>
      </c>
      <c r="H32" s="532"/>
      <c r="I32" s="532"/>
      <c r="J32" s="532"/>
      <c r="K32" s="532"/>
      <c r="L32" s="532"/>
      <c r="M32" s="532"/>
      <c r="N32" s="532"/>
      <c r="O32" s="526">
        <v>1.7218</v>
      </c>
      <c r="P32" s="526"/>
      <c r="Q32" s="526"/>
      <c r="R32" s="526"/>
      <c r="S32" s="526"/>
      <c r="T32" s="439">
        <f>IF(A32="YES","NA",'T4.5 Shoulder Harness Bar'!H27)</f>
        <v>149.49141481320081</v>
      </c>
      <c r="U32" s="439">
        <f>IF(A32="YES","NA",'T4.5 Shoulder Harness Bar'!H28)</f>
        <v>101.4492753623188</v>
      </c>
      <c r="V32" s="439">
        <f>IF(A32="YES","NA",'T4.5 Shoulder Harness Bar'!H29)</f>
        <v>101.44927536231882</v>
      </c>
      <c r="W32" s="439">
        <f>IF(A32="YES","NA",'T4.5 Shoulder Harness Bar'!H30)</f>
        <v>101.44927536231883</v>
      </c>
      <c r="X32" s="439">
        <f>IF(A32="YES","NA",'T4.5 Shoulder Harness Bar'!H31)</f>
        <v>101.44927536231883</v>
      </c>
      <c r="Y32" s="439">
        <f>IF(A32="YES","NA",'T4.5 Shoulder Harness Bar'!H32)</f>
        <v>101.44927536231883</v>
      </c>
      <c r="Z32" s="439">
        <f>IF(A32="YES","NA",'T4.5 Shoulder Harness Bar'!H33)</f>
        <v>126.5693978751767</v>
      </c>
      <c r="AA32" s="443">
        <f>IF(A32="YES","NA",'T4.5 Shoulder Harness Bar'!H34)</f>
        <v>66.893473531544572</v>
      </c>
      <c r="AB32" s="439">
        <f>IF(A32="YES","NA",'T4.5 Shoulder Harness Bar'!H35)</f>
        <v>107.16209020098295</v>
      </c>
      <c r="AC32" s="447" t="str">
        <f>IF('T4.5 Shoulder Harness Bar'!F2="composite only","",'T4.5 Shoulder Harness Bar'!E5)</f>
        <v>Steel</v>
      </c>
      <c r="AD32" s="447" t="str">
        <f>IF('T4.5 Shoulder Harness Bar'!F2="composite only","",'T4.5 Shoulder Harness Bar'!E6)</f>
        <v>Round</v>
      </c>
      <c r="AE32" s="446">
        <f>IF('T4.5 Shoulder Harness Bar'!F2="composite only","",'T4.5 Shoulder Harness Bar'!E15)</f>
        <v>30</v>
      </c>
      <c r="AF32" s="447">
        <f>IF('T4.5 Shoulder Harness Bar'!F2="composite only","",'T4.5 Shoulder Harness Bar'!E16)</f>
        <v>2</v>
      </c>
      <c r="AG32" s="448"/>
      <c r="AH32" s="448"/>
      <c r="AI32" s="448"/>
      <c r="AJ32" s="448"/>
      <c r="AK32" s="448"/>
      <c r="AL32" s="448"/>
      <c r="AM32" s="448"/>
      <c r="AN32" s="448"/>
      <c r="AO32" s="447" t="str">
        <f>IF('T4.5 Shoulder Harness Bar'!F2="tubing only","",'T4.5 Shoulder Harness Bar'!F5)</f>
        <v/>
      </c>
      <c r="AP32" s="446" t="str">
        <f>IF('T4.5 Shoulder Harness Bar'!F2="tubing only","",'T4.5 Shoulder Harness Bar'!F18)</f>
        <v/>
      </c>
      <c r="AQ32" s="447" t="str">
        <f>IF('T4.5 Shoulder Harness Bar'!$F$2="tubing only","",'T4.5 Shoulder Harness Bar'!F20)</f>
        <v/>
      </c>
      <c r="AR32" s="447" t="str">
        <f>IF('T4.5 Shoulder Harness Bar'!$F$2="tubing only","",'T4.5 Shoulder Harness Bar'!F21)</f>
        <v/>
      </c>
      <c r="AS32" s="457" t="str">
        <f>IF('T4.5 Shoulder Harness Bar'!F2="tubing only","",'T4.5 Shoulder Harness Bar'!F22)</f>
        <v/>
      </c>
    </row>
    <row r="33" spans="1:45" ht="12.75" customHeight="1" x14ac:dyDescent="0.2">
      <c r="A33" s="576" t="str">
        <f>IF('T2.20 IA AI Plate'!D19="YES","YES","NO")</f>
        <v>YES</v>
      </c>
      <c r="B33" s="577"/>
      <c r="C33" s="536" t="str">
        <f>IF(A33="N/A","N/A",IF(A33="YES","NO","YES"))</f>
        <v>NO</v>
      </c>
      <c r="D33" s="537"/>
      <c r="E33" s="527" t="s">
        <v>541</v>
      </c>
      <c r="F33" s="528"/>
      <c r="G33" s="532" t="s">
        <v>63</v>
      </c>
      <c r="H33" s="532"/>
      <c r="I33" s="532"/>
      <c r="J33" s="532"/>
      <c r="K33" s="532"/>
      <c r="L33" s="532"/>
      <c r="M33" s="532"/>
      <c r="N33" s="532"/>
      <c r="O33" s="526"/>
      <c r="P33" s="526"/>
      <c r="Q33" s="526"/>
      <c r="R33" s="526"/>
      <c r="S33" s="526"/>
      <c r="T33" s="439" t="str">
        <f>IF(A33="YES","NA",IF('T2.20 IA AI Plate'!D33="FAIL","FA",IF('T2.20 IA AI Plate'!D34="PASS","PA","CH")))</f>
        <v>NA</v>
      </c>
      <c r="U33" s="448"/>
      <c r="V33" s="448"/>
      <c r="W33" s="448"/>
      <c r="X33" s="448"/>
      <c r="Y33" s="448"/>
      <c r="Z33" s="448"/>
      <c r="AA33" s="448"/>
      <c r="AB33" s="448"/>
      <c r="AC33" s="448"/>
      <c r="AD33" s="448"/>
      <c r="AE33" s="448"/>
      <c r="AF33" s="448"/>
      <c r="AG33" s="448"/>
      <c r="AH33" s="448"/>
      <c r="AI33" s="448"/>
      <c r="AJ33" s="448"/>
      <c r="AK33" s="448"/>
      <c r="AL33" s="448"/>
      <c r="AM33" s="448"/>
      <c r="AN33" s="448"/>
      <c r="AO33" s="448"/>
      <c r="AP33" s="448"/>
      <c r="AQ33" s="448"/>
      <c r="AR33" s="448"/>
      <c r="AS33" s="448"/>
    </row>
    <row r="34" spans="1:45" ht="12.75" customHeight="1" x14ac:dyDescent="0.2">
      <c r="A34" s="536" t="str">
        <f>IF('T2.12 T2.6 FHoop Bracing'!F2="tubing only","N/A","NO")</f>
        <v>N/A</v>
      </c>
      <c r="B34" s="537"/>
      <c r="C34" s="536" t="str">
        <f t="shared" si="0"/>
        <v>N/A</v>
      </c>
      <c r="D34" s="537"/>
      <c r="E34" s="557" t="s">
        <v>533</v>
      </c>
      <c r="F34" s="528"/>
      <c r="G34" s="532" t="s">
        <v>66</v>
      </c>
      <c r="H34" s="532"/>
      <c r="I34" s="532"/>
      <c r="J34" s="532"/>
      <c r="K34" s="532"/>
      <c r="L34" s="532"/>
      <c r="M34" s="532"/>
      <c r="N34" s="532"/>
      <c r="O34" s="526"/>
      <c r="P34" s="526"/>
      <c r="Q34" s="526"/>
      <c r="R34" s="526"/>
      <c r="S34" s="526"/>
      <c r="T34" s="451" t="str">
        <f>IF($A$34="NO",'T2.12 T2.6 FHoop Bracing'!$H$27,"NA")</f>
        <v>NA</v>
      </c>
      <c r="U34" s="439" t="str">
        <f>IF($A$34="NO",'T2.12 T2.6 FHoop Bracing'!$H$28,"NA")</f>
        <v>NA</v>
      </c>
      <c r="V34" s="439" t="str">
        <f>IF($A$34="NO",'T2.12 T2.6 FHoop Bracing'!$H$29,"NA")</f>
        <v>NA</v>
      </c>
      <c r="W34" s="439" t="str">
        <f>IF($A$34="NO",'T2.12 T2.6 FHoop Bracing'!$H$30,"NA")</f>
        <v>NA</v>
      </c>
      <c r="X34" s="439" t="str">
        <f>IF($A$34="NO",'T2.12 T2.6 FHoop Bracing'!$H$31,"NA")</f>
        <v>NA</v>
      </c>
      <c r="Y34" s="439" t="str">
        <f>IF($A$34="NO",'T2.12 T2.6 FHoop Bracing'!$H$32,"NA")</f>
        <v>NA</v>
      </c>
      <c r="Z34" s="439" t="str">
        <f>IF($A$34="NO",'T2.12 T2.6 FHoop Bracing'!$H$33,"NA")</f>
        <v>NA</v>
      </c>
      <c r="AA34" s="443" t="str">
        <f>IF($A$34="NO",'T2.12 T2.6 FHoop Bracing'!$H$34,"NA")</f>
        <v>NA</v>
      </c>
      <c r="AB34" s="439" t="str">
        <f>IF($A$34="NO",'T2.12 T2.6 FHoop Bracing'!$H$35,"NA")</f>
        <v>NA</v>
      </c>
      <c r="AC34" s="447" t="str">
        <f>IF('T2.12 T2.6 FHoop Bracing'!$F$2="tubing Only","",'T2.12 T2.6 FHoop Bracing'!$E$5)</f>
        <v/>
      </c>
      <c r="AD34" s="447" t="str">
        <f>IF('T2.12 T2.6 FHoop Bracing'!$F$2="tubing Only","",'T2.12 T2.6 FHoop Bracing'!$E$6)</f>
        <v/>
      </c>
      <c r="AE34" s="446" t="str">
        <f>IF('T2.12 T2.6 FHoop Bracing'!$F$2="tubing Only","",'T2.12 T2.6 FHoop Bracing'!$E$15)</f>
        <v/>
      </c>
      <c r="AF34" s="447" t="str">
        <f>IF('T2.12 T2.6 FHoop Bracing'!$F$2="tubing Only","",'T2.12 T2.6 FHoop Bracing'!$E$16)</f>
        <v/>
      </c>
      <c r="AG34" s="448"/>
      <c r="AH34" s="448"/>
      <c r="AI34" s="448"/>
      <c r="AJ34" s="448"/>
      <c r="AK34" s="448"/>
      <c r="AL34" s="448"/>
      <c r="AM34" s="448"/>
      <c r="AN34" s="448"/>
      <c r="AO34" s="447" t="str">
        <f>IF('T2.12 T2.6 FHoop Bracing'!$F$2="tubing Only","",'T2.12 T2.6 FHoop Bracing'!$F$5)</f>
        <v/>
      </c>
      <c r="AP34" s="446" t="str">
        <f>IF('T2.12 T2.6 FHoop Bracing'!$F$2="tubing Only","",'T2.12 T2.6 FHoop Bracing'!$F$18)</f>
        <v/>
      </c>
      <c r="AQ34" s="447" t="str">
        <f>IF('T2.12 T2.6 FHoop Bracing'!$F$2="tubing Only","",'T2.12 T2.6 FHoop Bracing'!$F$20)</f>
        <v/>
      </c>
      <c r="AR34" s="447" t="str">
        <f>IF('T2.12 T2.6 FHoop Bracing'!$F$2="tubing Only","",'T2.12 T2.6 FHoop Bracing'!$F$20)</f>
        <v/>
      </c>
      <c r="AS34" s="457" t="str">
        <f>IF('T2.12 T2.6 FHoop Bracing'!$F$2="tubing Only","",'T2.12 T2.6 FHoop Bracing'!$F$22)</f>
        <v/>
      </c>
    </row>
    <row r="35" spans="1:45" ht="12.75" customHeight="1" x14ac:dyDescent="0.2">
      <c r="A35" s="536" t="str">
        <f>IF('T2.14 T2.6 Ft Bulkhead'!F2="tubing only","N/A","NO")</f>
        <v>N/A</v>
      </c>
      <c r="B35" s="537"/>
      <c r="C35" s="536" t="str">
        <f t="shared" si="0"/>
        <v>N/A</v>
      </c>
      <c r="D35" s="537"/>
      <c r="E35" s="527" t="s">
        <v>611</v>
      </c>
      <c r="F35" s="528"/>
      <c r="G35" s="532" t="s">
        <v>67</v>
      </c>
      <c r="H35" s="532"/>
      <c r="I35" s="532"/>
      <c r="J35" s="532"/>
      <c r="K35" s="532"/>
      <c r="L35" s="532"/>
      <c r="M35" s="532"/>
      <c r="N35" s="532"/>
      <c r="O35" s="526"/>
      <c r="P35" s="526"/>
      <c r="Q35" s="526"/>
      <c r="R35" s="526"/>
      <c r="S35" s="526"/>
      <c r="T35" s="439" t="str">
        <f>IF($A$35="NO",'T2.14 T2.6 Ft Bulkhead'!$H27,"NA")</f>
        <v>NA</v>
      </c>
      <c r="U35" s="439" t="str">
        <f>IF($A$35="NO",'T2.14 T2.6 Ft Bulkhead'!$H28,"NA")</f>
        <v>NA</v>
      </c>
      <c r="V35" s="439" t="str">
        <f>IF($A$35="NO",'T2.14 T2.6 Ft Bulkhead'!$H29,"NA")</f>
        <v>NA</v>
      </c>
      <c r="W35" s="439" t="str">
        <f>IF($A$35="NO",'T2.14 T2.6 Ft Bulkhead'!$H30,"NA")</f>
        <v>NA</v>
      </c>
      <c r="X35" s="439" t="str">
        <f>IF($A$35="NO",'T2.14 T2.6 Ft Bulkhead'!$H31,"NA")</f>
        <v>NA</v>
      </c>
      <c r="Y35" s="439" t="str">
        <f>IF($A$35="NO",'T2.14 T2.6 Ft Bulkhead'!$H32,"NA")</f>
        <v>NA</v>
      </c>
      <c r="Z35" s="439" t="str">
        <f>IF($A$35="NO",'T2.14 T2.6 Ft Bulkhead'!$H33,"NA")</f>
        <v>NA</v>
      </c>
      <c r="AA35" s="443" t="str">
        <f>IF($A$35="NO",'T2.14 T2.6 Ft Bulkhead'!$H34,"NA")</f>
        <v>NA</v>
      </c>
      <c r="AB35" s="439" t="str">
        <f>IF($A$35="NO",'T2.14 T2.6 Ft Bulkhead'!$H35,"NA")</f>
        <v>NA</v>
      </c>
      <c r="AC35" s="447" t="str">
        <f>IF('T2.14 T2.6 Ft Bulkhead'!$F$2="tubes + Composite",'T2.14 T2.6 Ft Bulkhead'!$E$5,"")</f>
        <v/>
      </c>
      <c r="AD35" s="447" t="str">
        <f>IF('T2.14 T2.6 Ft Bulkhead'!$F$2="tubes + composite",'T2.14 T2.6 Ft Bulkhead'!$E$6,"")</f>
        <v/>
      </c>
      <c r="AE35" s="446" t="str">
        <f>IF('T2.14 T2.6 Ft Bulkhead'!$F$2="tubes + composite",'T2.14 T2.6 Ft Bulkhead'!$E$15,"")</f>
        <v/>
      </c>
      <c r="AF35" s="447" t="str">
        <f>IF('T2.14 T2.6 Ft Bulkhead'!$F$2="tubes + composite",'T2.14 T2.6 Ft Bulkhead'!$E$16,"")</f>
        <v/>
      </c>
      <c r="AG35" s="448"/>
      <c r="AH35" s="448"/>
      <c r="AI35" s="448"/>
      <c r="AJ35" s="448"/>
      <c r="AK35" s="448"/>
      <c r="AL35" s="448"/>
      <c r="AM35" s="448"/>
      <c r="AN35" s="448"/>
      <c r="AO35" s="447" t="str">
        <f>IF('T2.14 T2.6 Ft Bulkhead'!$F$2="tubing only","",'T2.14 T2.6 Ft Bulkhead'!$F$5)</f>
        <v/>
      </c>
      <c r="AP35" s="446" t="str">
        <f>IF('T2.14 T2.6 Ft Bulkhead'!$F$2="tubing only","",'T2.14 T2.6 Ft Bulkhead'!$F$18)</f>
        <v/>
      </c>
      <c r="AQ35" s="447" t="str">
        <f>IF('T2.14 T2.6 Ft Bulkhead'!$F$2="tubing only","",'T2.14 T2.6 Ft Bulkhead'!$F$20)</f>
        <v/>
      </c>
      <c r="AR35" s="447" t="str">
        <f>IF('T2.14 T2.6 Ft Bulkhead'!$F$2="tubing only","",'T2.14 T2.6 Ft Bulkhead'!$F$21)</f>
        <v/>
      </c>
      <c r="AS35" s="457" t="str">
        <f>IF('T2.14 T2.6 Ft Bulkhead'!$F$2="tubing only","",'T2.14 T2.6 Ft Bulkhead'!$F$22)</f>
        <v/>
      </c>
    </row>
    <row r="36" spans="1:45" ht="12.75" customHeight="1" x14ac:dyDescent="0.2">
      <c r="A36" s="536" t="str">
        <f>IF('T2.15 T2.6 FBH S''pt Structure'!F2="tubing only","N/A","NO")</f>
        <v>N/A</v>
      </c>
      <c r="B36" s="537"/>
      <c r="C36" s="536" t="str">
        <f t="shared" ref="C36:C47" si="1">IF(A36="N/A","N/A",IF(A36="YES","NO","YES"))</f>
        <v>N/A</v>
      </c>
      <c r="D36" s="537"/>
      <c r="E36" s="527" t="s">
        <v>612</v>
      </c>
      <c r="F36" s="528"/>
      <c r="G36" s="532" t="s">
        <v>68</v>
      </c>
      <c r="H36" s="532"/>
      <c r="I36" s="532"/>
      <c r="J36" s="532"/>
      <c r="K36" s="532"/>
      <c r="L36" s="532"/>
      <c r="M36" s="532"/>
      <c r="N36" s="532"/>
      <c r="O36" s="526"/>
      <c r="P36" s="526"/>
      <c r="Q36" s="526"/>
      <c r="R36" s="526"/>
      <c r="S36" s="526"/>
      <c r="T36" s="439" t="str">
        <f>IF($A$36="NO",'T2.15 T2.6 FBH S''pt Structure'!$K$27,"NA")</f>
        <v>NA</v>
      </c>
      <c r="U36" s="439" t="str">
        <f>IF($A$36="NO",'T2.15 T2.6 FBH S''pt Structure'!$K$28,"NA")</f>
        <v>NA</v>
      </c>
      <c r="V36" s="439" t="str">
        <f>IF($A$36="NO",'T2.15 T2.6 FBH S''pt Structure'!$K$29,"NA")</f>
        <v>NA</v>
      </c>
      <c r="W36" s="439" t="str">
        <f>IF($A$36="NO",'T2.15 T2.6 FBH S''pt Structure'!$K$30,"NA")</f>
        <v>NA</v>
      </c>
      <c r="X36" s="439" t="str">
        <f>IF($A$36="NO",'T2.15 T2.6 FBH S''pt Structure'!$K$31,"NA")</f>
        <v>NA</v>
      </c>
      <c r="Y36" s="439" t="str">
        <f>IF($A$36="NO",'T2.15 T2.6 FBH S''pt Structure'!$K$32,"NA")</f>
        <v>NA</v>
      </c>
      <c r="Z36" s="439" t="str">
        <f>IF($A$36="NO",'T2.15 T2.6 FBH S''pt Structure'!$K$33,"NA")</f>
        <v>NA</v>
      </c>
      <c r="AA36" s="443" t="str">
        <f>IF($A$36="NO",'T2.15 T2.6 FBH S''pt Structure'!$K$34,"NA")</f>
        <v>NA</v>
      </c>
      <c r="AB36" s="439" t="str">
        <f>IF($A$36="NO",'T2.15 T2.6 FBH S''pt Structure'!$K$35,"NA")</f>
        <v>NA</v>
      </c>
      <c r="AC36" s="447" t="str">
        <f>IF('T2.15 T2.6 FBH S''pt Structure'!$F$2="Tubes + composite",'T2.15 T2.6 FBH S''pt Structure'!$E$5,"")</f>
        <v/>
      </c>
      <c r="AD36" s="447" t="str">
        <f>IF('T2.15 T2.6 FBH S''pt Structure'!$F$2="Tubes + composite",'T2.15 T2.6 FBH S''pt Structure'!$E$6,"")</f>
        <v/>
      </c>
      <c r="AE36" s="446" t="str">
        <f>IF('T2.15 T2.6 FBH S''pt Structure'!$F$2="Tubes + composite",'T2.15 T2.6 FBH S''pt Structure'!$E$15,"")</f>
        <v/>
      </c>
      <c r="AF36" s="447" t="str">
        <f>IF('T2.15 T2.6 FBH S''pt Structure'!$F$2="Tubes + composite",'T2.15 T2.6 FBH S''pt Structure'!$E$16,"")</f>
        <v/>
      </c>
      <c r="AG36" s="447" t="str">
        <f>IF('T2.15 T2.6 FBH S''pt Structure'!$F$2="Tubes + composite",IF('T2.15 T2.6 FBH S''pt Structure'!$F$14&gt;0,'T2.15 T2.6 FBH S''pt Structure'!$F$5,""),"")</f>
        <v/>
      </c>
      <c r="AH36" s="447" t="str">
        <f>IF('T2.15 T2.6 FBH S''pt Structure'!$F$2="Tubes + composite",IF('T2.15 T2.6 FBH S''pt Structure'!$F$14&gt;0,'T2.15 T2.6 FBH S''pt Structure'!$F$6,""),"")</f>
        <v/>
      </c>
      <c r="AI36" s="446" t="str">
        <f>IF('T2.15 T2.6 FBH S''pt Structure'!$F$2="Tubes + composite",IF('T2.15 T2.6 FBH S''pt Structure'!$F$14&gt;0,'T2.15 T2.6 FBH S''pt Structure'!$F$15,""),"")</f>
        <v/>
      </c>
      <c r="AJ36" s="447" t="str">
        <f>IF('T2.15 T2.6 FBH S''pt Structure'!$F$2="Tubes + composite",IF('T2.15 T2.6 FBH S''pt Structure'!$F$14&gt;0,'T2.15 T2.6 FBH S''pt Structure'!$F$16,""),"")</f>
        <v/>
      </c>
      <c r="AK36" s="447" t="str">
        <f>IF('T2.15 T2.6 FBH S''pt Structure'!$F$2="Tubes + composite",IF('T2.15 T2.6 FBH S''pt Structure'!$G$14&gt;0,'T2.15 T2.6 FBH S''pt Structure'!$G$5,""),"")</f>
        <v/>
      </c>
      <c r="AL36" s="447" t="str">
        <f>IF('T2.15 T2.6 FBH S''pt Structure'!$F$2="Tubes + composite",IF('T2.15 T2.6 FBH S''pt Structure'!$G$14&gt;0,'T2.15 T2.6 FBH S''pt Structure'!$G$6,""),"")</f>
        <v/>
      </c>
      <c r="AM36" s="446" t="str">
        <f>IF('T2.15 T2.6 FBH S''pt Structure'!$F$2="Tubes + composite",IF('T2.15 T2.6 FBH S''pt Structure'!$G$14&gt;0,'T2.15 T2.6 FBH S''pt Structure'!$G$15,""),"")</f>
        <v/>
      </c>
      <c r="AN36" s="447" t="str">
        <f>IF('T2.15 T2.6 FBH S''pt Structure'!$F$2="Tubes + composite",IF('T2.15 T2.6 FBH S''pt Structure'!$G$14&gt;0,'T2.15 T2.6 FBH S''pt Structure'!$G$16,""),"")</f>
        <v/>
      </c>
      <c r="AO36" s="447" t="str">
        <f>IF('T2.15 T2.6 FBH S''pt Structure'!$F$2="tubing only","",'T2.15 T2.6 FBH S''pt Structure'!$I$5)</f>
        <v/>
      </c>
      <c r="AP36" s="446" t="str">
        <f>IF('T2.15 T2.6 FBH S''pt Structure'!$F$2="tubing only","",'T2.15 T2.6 FBH S''pt Structure'!$I$18)</f>
        <v/>
      </c>
      <c r="AQ36" s="447" t="str">
        <f>IF('T2.15 T2.6 FBH S''pt Structure'!$F$2="tubing only","",'T2.15 T2.6 FBH S''pt Structure'!$I$20)</f>
        <v/>
      </c>
      <c r="AR36" s="447" t="str">
        <f>IF('T2.15 T2.6 FBH S''pt Structure'!$F$2="tubing only","",'T2.15 T2.6 FBH S''pt Structure'!$I$21)</f>
        <v/>
      </c>
      <c r="AS36" s="457" t="str">
        <f>IF('T2.15 T2.6 FBH S''pt Structure'!$F$2="tubing only","",'T2.15 T2.6 FBH S''pt Structure'!$I$22)</f>
        <v/>
      </c>
    </row>
    <row r="37" spans="1:45" ht="12.75" customHeight="1" x14ac:dyDescent="0.2">
      <c r="A37" s="536" t="str">
        <f>IF('T2.16.1 T2.16.2 SIS'!F2="tubing only","N/A","NO")</f>
        <v>N/A</v>
      </c>
      <c r="B37" s="537"/>
      <c r="C37" s="536" t="str">
        <f t="shared" si="1"/>
        <v>N/A</v>
      </c>
      <c r="D37" s="537"/>
      <c r="E37" s="527" t="s">
        <v>537</v>
      </c>
      <c r="F37" s="528"/>
      <c r="G37" s="532" t="s">
        <v>498</v>
      </c>
      <c r="H37" s="532"/>
      <c r="I37" s="532"/>
      <c r="J37" s="532"/>
      <c r="K37" s="532"/>
      <c r="L37" s="532"/>
      <c r="M37" s="532"/>
      <c r="N37" s="532"/>
      <c r="O37" s="526"/>
      <c r="P37" s="526"/>
      <c r="Q37" s="526"/>
      <c r="R37" s="526"/>
      <c r="S37" s="526"/>
      <c r="T37" s="620" t="str">
        <f>IF($A$37="NO",'T2.16.1 T2.16.2 SIS'!$L$27,"NA")</f>
        <v>NA</v>
      </c>
      <c r="U37" s="620" t="str">
        <f>IF($A$37="NO",'T2.16.1 T2.16.2 SIS'!$L$28,"NA")</f>
        <v>NA</v>
      </c>
      <c r="V37" s="620" t="str">
        <f>IF($A$37="NO",'T2.16.1 T2.16.2 SIS'!$L$29,"NA")</f>
        <v>NA</v>
      </c>
      <c r="W37" s="620" t="str">
        <f>IF($A$37="NO",'T2.16.1 T2.16.2 SIS'!$L$30,"NA")</f>
        <v>NA</v>
      </c>
      <c r="X37" s="620" t="str">
        <f>IF($A$37="NO",'T2.16.1 T2.16.2 SIS'!$L$31,"NA")</f>
        <v>NA</v>
      </c>
      <c r="Y37" s="620" t="str">
        <f>IF($A$37="NO",'T2.16.1 T2.16.2 SIS'!$L$32,"NA")</f>
        <v>NA</v>
      </c>
      <c r="Z37" s="620" t="str">
        <f>IF($A$37="NO",'T2.16.1 T2.16.2 SIS'!$L$33,"NA")</f>
        <v>NA</v>
      </c>
      <c r="AA37" s="622" t="str">
        <f>IF($A$37="NO",'T2.16.1 T2.16.2 SIS'!$L$34,"NA")</f>
        <v>NA</v>
      </c>
      <c r="AB37" s="620" t="str">
        <f>IF($A$37="NO",'T2.16.1 T2.16.2 SIS'!$L$35,"NA")</f>
        <v>NA</v>
      </c>
      <c r="AC37" s="624" t="str">
        <f>IF('T2.16.1 T2.16.2 SIS'!$F$2="tubes + composite",'T2.16.1 T2.16.2 SIS'!$E$5,"")</f>
        <v/>
      </c>
      <c r="AD37" s="624" t="str">
        <f>IF('T2.16.1 T2.16.2 SIS'!$F$2="tubes + composite",'T2.16.1 T2.16.2 SIS'!$E$6,"")</f>
        <v/>
      </c>
      <c r="AE37" s="626" t="str">
        <f>IF('T2.16.1 T2.16.2 SIS'!$F$2="tubes + composite",'T2.16.1 T2.16.2 SIS'!$E$15,"")</f>
        <v/>
      </c>
      <c r="AF37" s="624" t="str">
        <f>IF('T2.16.1 T2.16.2 SIS'!$F$2="tubes + composite",'T2.16.1 T2.16.2 SIS'!$E$16,"")</f>
        <v/>
      </c>
      <c r="AG37" s="624" t="str">
        <f>IF('T2.16.1 T2.16.2 SIS'!$F$2="tubes + composite",IF('T2.16.1 T2.16.2 SIS'!$F$14&gt;0,'T2.16.1 T2.16.2 SIS'!$F$5,""),"")</f>
        <v/>
      </c>
      <c r="AH37" s="624" t="str">
        <f>IF('T2.16.1 T2.16.2 SIS'!$F$2="tubes + composite",IF('T2.16.1 T2.16.2 SIS'!$F$14&gt;0,'T2.16.1 T2.16.2 SIS'!$F$6,""),"")</f>
        <v/>
      </c>
      <c r="AI37" s="626" t="str">
        <f>IF('T2.16.1 T2.16.2 SIS'!$F$2="tubes + composite",IF('T2.16.1 T2.16.2 SIS'!$F$14&gt;0,'T2.16.1 T2.16.2 SIS'!$F$15,""),"")</f>
        <v/>
      </c>
      <c r="AJ37" s="624" t="str">
        <f>IF('T2.16.1 T2.16.2 SIS'!$F$2="tubes + composite",IF('T2.16.1 T2.16.2 SIS'!$F$14&gt;0,'T2.16.1 T2.16.2 SIS'!$F$16,""),"")</f>
        <v/>
      </c>
      <c r="AK37" s="624" t="str">
        <f>IF('T2.16.1 T2.16.2 SIS'!$F$2="tubes + composite",IF('T2.16.1 T2.16.2 SIS'!$G$14&gt;0,'T2.16.1 T2.16.2 SIS'!$G$5,""),"")</f>
        <v/>
      </c>
      <c r="AL37" s="624" t="str">
        <f>IF('T2.16.1 T2.16.2 SIS'!$F$2="tubes + composite",IF('T2.16.1 T2.16.2 SIS'!$G$14&gt;0,'T2.16.1 T2.16.2 SIS'!$G$6,""),"")</f>
        <v/>
      </c>
      <c r="AM37" s="626" t="str">
        <f>IF('T2.16.1 T2.16.2 SIS'!$F$2="tubes + composite",IF('T2.16.1 T2.16.2 SIS'!$G$14&gt;0,'T2.16.1 T2.16.2 SIS'!$G$15,""),"")</f>
        <v/>
      </c>
      <c r="AN37" s="624" t="str">
        <f>IF('T2.16.1 T2.16.2 SIS'!$F$2="tubes + composite",IF('T2.16.1 T2.16.2 SIS'!$G$14&gt;0,'T2.16.1 T2.16.2 SIS'!$G$16,""),"")</f>
        <v/>
      </c>
      <c r="AO37" s="447" t="str">
        <f>IF('T2.16.1 T2.16.2 SIS'!$F$2="Tubing only","",'T2.16.1 T2.16.2 SIS'!$I$5)</f>
        <v/>
      </c>
      <c r="AP37" s="446" t="str">
        <f>IF('T2.16.1 T2.16.2 SIS'!$F$2="Tubing only","",'T2.16.1 T2.16.2 SIS'!$I$18)</f>
        <v/>
      </c>
      <c r="AQ37" s="447" t="str">
        <f>IF('T2.16.1 T2.16.2 SIS'!$F$2="Tubing only","",'T2.16.1 T2.16.2 SIS'!$I$20)</f>
        <v/>
      </c>
      <c r="AR37" s="447" t="str">
        <f>IF('T2.16.1 T2.16.2 SIS'!$F$2="Tubing only","",'T2.16.1 T2.16.2 SIS'!$I$21)</f>
        <v/>
      </c>
      <c r="AS37" s="457" t="str">
        <f>IF('T2.16.1 T2.16.2 SIS'!$F$2="Tubing only","",'T2.16.1 T2.16.2 SIS'!$I$22)</f>
        <v/>
      </c>
    </row>
    <row r="38" spans="1:45" ht="12.75" customHeight="1" x14ac:dyDescent="0.2">
      <c r="A38" s="536" t="str">
        <f>IF('T2.16.1 T2.16.2 SIS'!F2="tubing only","N/A","NO")</f>
        <v>N/A</v>
      </c>
      <c r="B38" s="537"/>
      <c r="C38" s="536" t="str">
        <f>IF(A38="N/A","N/A",IF(A38="YES","NO","YES"))</f>
        <v>N/A</v>
      </c>
      <c r="D38" s="537"/>
      <c r="E38" s="557" t="s">
        <v>538</v>
      </c>
      <c r="F38" s="528"/>
      <c r="G38" s="532" t="s">
        <v>499</v>
      </c>
      <c r="H38" s="532"/>
      <c r="I38" s="532"/>
      <c r="J38" s="532"/>
      <c r="K38" s="532"/>
      <c r="L38" s="532"/>
      <c r="M38" s="532"/>
      <c r="N38" s="532"/>
      <c r="O38" s="526"/>
      <c r="P38" s="526"/>
      <c r="Q38" s="526"/>
      <c r="R38" s="526"/>
      <c r="S38" s="526"/>
      <c r="T38" s="621"/>
      <c r="U38" s="621"/>
      <c r="V38" s="621"/>
      <c r="W38" s="621"/>
      <c r="X38" s="621"/>
      <c r="Y38" s="621"/>
      <c r="Z38" s="621"/>
      <c r="AA38" s="623"/>
      <c r="AB38" s="621"/>
      <c r="AC38" s="625"/>
      <c r="AD38" s="625"/>
      <c r="AE38" s="627"/>
      <c r="AF38" s="625"/>
      <c r="AG38" s="625"/>
      <c r="AH38" s="625"/>
      <c r="AI38" s="627"/>
      <c r="AJ38" s="625"/>
      <c r="AK38" s="625"/>
      <c r="AL38" s="625"/>
      <c r="AM38" s="627"/>
      <c r="AN38" s="625"/>
      <c r="AO38" s="447" t="str">
        <f>IF('T2.16.1 T2.16.2 SIS'!$F$2="Tubing only","",'T2.16.1 T2.16.2 SIS'!$J$5)</f>
        <v/>
      </c>
      <c r="AP38" s="446" t="str">
        <f>IF('T2.16.1 T2.16.2 SIS'!$F$2="Tubing only","",'T2.16.1 T2.16.2 SIS'!$J$18)</f>
        <v/>
      </c>
      <c r="AQ38" s="447" t="str">
        <f>IF('T2.16.1 T2.16.2 SIS'!$F$2="Tubing only","",'T2.16.1 T2.16.2 SIS'!$J$20)</f>
        <v/>
      </c>
      <c r="AR38" s="447" t="str">
        <f>IF('T2.16.1 T2.16.2 SIS'!$F$2="Tubing only","",'T2.16.1 T2.16.2 SIS'!$J$21)</f>
        <v/>
      </c>
      <c r="AS38" s="457" t="str">
        <f>IF('T2.16.1 T2.16.2 SIS'!$F$2="Tubing only","",'T2.16.1 T2.16.2 SIS'!$J$22)</f>
        <v/>
      </c>
    </row>
    <row r="39" spans="1:45" ht="12.75" customHeight="1" x14ac:dyDescent="0.2">
      <c r="A39" s="536" t="str">
        <f>IF('T2.11.5 T2.6 MHoop Brace Spt'!F2="tubing only","N/A","NO")</f>
        <v>N/A</v>
      </c>
      <c r="B39" s="537"/>
      <c r="C39" s="536" t="str">
        <f t="shared" si="1"/>
        <v>N/A</v>
      </c>
      <c r="D39" s="537"/>
      <c r="E39" s="527" t="s">
        <v>613</v>
      </c>
      <c r="F39" s="528"/>
      <c r="G39" s="532" t="s">
        <v>154</v>
      </c>
      <c r="H39" s="532"/>
      <c r="I39" s="532"/>
      <c r="J39" s="532"/>
      <c r="K39" s="532"/>
      <c r="L39" s="532"/>
      <c r="M39" s="532"/>
      <c r="N39" s="532"/>
      <c r="O39" s="578"/>
      <c r="P39" s="526"/>
      <c r="Q39" s="526"/>
      <c r="R39" s="526"/>
      <c r="S39" s="526"/>
      <c r="T39" s="439" t="str">
        <f>IF(A39="NO",'T2.11.5 T2.6 MHoop Brace Spt'!$H$27,"NA")</f>
        <v>NA</v>
      </c>
      <c r="U39" s="439" t="str">
        <f>IF(A39="NO",'T2.11.5 T2.6 MHoop Brace Spt'!$H$28,"NA")</f>
        <v>NA</v>
      </c>
      <c r="V39" s="439" t="str">
        <f>IF(A39="NO",'T2.11.5 T2.6 MHoop Brace Spt'!$H$29,"NA")</f>
        <v>NA</v>
      </c>
      <c r="W39" s="439" t="str">
        <f>IF(A39="NO",'T2.11.5 T2.6 MHoop Brace Spt'!$H$30,"NA")</f>
        <v>NA</v>
      </c>
      <c r="X39" s="439" t="str">
        <f>IF(A39="NO",'T2.11.5 T2.6 MHoop Brace Spt'!$H$31,"NA")</f>
        <v>NA</v>
      </c>
      <c r="Y39" s="439" t="str">
        <f>IF(A39="NO",'T2.11.5 T2.6 MHoop Brace Spt'!$H$32,"NA")</f>
        <v>NA</v>
      </c>
      <c r="Z39" s="439" t="str">
        <f>IF(A39="NO",'T2.11.5 T2.6 MHoop Brace Spt'!$H$33,"NA")</f>
        <v>NA</v>
      </c>
      <c r="AA39" s="443" t="str">
        <f>IF(A39="NO",'T2.11.5 T2.6 MHoop Brace Spt'!$H$34,"NA")</f>
        <v>NA</v>
      </c>
      <c r="AB39" s="439" t="str">
        <f>IF(A39="NO",'T2.11.5 T2.6 MHoop Brace Spt'!$H$35,"NA")</f>
        <v>NA</v>
      </c>
      <c r="AC39" s="447" t="str">
        <f>IF(A39="N/A","",IF('T2.11.5 T2.6 MHoop Brace Spt'!$F$2="tubes + composite",'T2.11.5 T2.6 MHoop Brace Spt'!E5,""))</f>
        <v/>
      </c>
      <c r="AD39" s="447" t="str">
        <f>IF(A39="N/A","",IF('T2.11.5 T2.6 MHoop Brace Spt'!$F$2="tubes + composite",'T2.11.5 T2.6 MHoop Brace Spt'!$E$6,""))</f>
        <v/>
      </c>
      <c r="AE39" s="446" t="str">
        <f>IF(A39="N/A","",IF('T2.11.5 T2.6 MHoop Brace Spt'!$F$2="tubes + composite",'T2.11.5 T2.6 MHoop Brace Spt'!$E$15,""))</f>
        <v/>
      </c>
      <c r="AF39" s="447" t="str">
        <f>IF(A39="N/A","",IF('T2.11.5 T2.6 MHoop Brace Spt'!$F$2="tubes + composite",'T2.11.5 T2.6 MHoop Brace Spt'!$E$16,""))</f>
        <v/>
      </c>
      <c r="AG39" s="448"/>
      <c r="AH39" s="448"/>
      <c r="AI39" s="448"/>
      <c r="AJ39" s="448"/>
      <c r="AK39" s="448"/>
      <c r="AL39" s="448"/>
      <c r="AM39" s="448"/>
      <c r="AN39" s="448"/>
      <c r="AO39" s="447" t="str">
        <f>IF('T2.11.5 T2.6 MHoop Brace Spt'!F2="tubing only","",'T2.11.5 T2.6 MHoop Brace Spt'!F5)</f>
        <v/>
      </c>
      <c r="AP39" s="446" t="str">
        <f>IF('T2.11.5 T2.6 MHoop Brace Spt'!F2="tubing only","",'T2.11.5 T2.6 MHoop Brace Spt'!F18)</f>
        <v/>
      </c>
      <c r="AQ39" s="447" t="str">
        <f>IF('T2.11.5 T2.6 MHoop Brace Spt'!$F$2="tubing only","",'T2.11.5 T2.6 MHoop Brace Spt'!$F$20)</f>
        <v/>
      </c>
      <c r="AR39" s="447" t="str">
        <f>IF('T2.11.5 T2.6 MHoop Brace Spt'!$F$2="tubing only","",'T2.11.5 T2.6 MHoop Brace Spt'!$F$21)</f>
        <v/>
      </c>
      <c r="AS39" s="457" t="str">
        <f>IF('T2.11.5 T2.6 MHoop Brace Spt'!F2="tubing only","",'T2.11.5 T2.6 MHoop Brace Spt'!F22)</f>
        <v/>
      </c>
    </row>
    <row r="40" spans="1:45" ht="12.75" customHeight="1" x14ac:dyDescent="0.2">
      <c r="A40" s="536" t="str">
        <f>IF(A37="no","NO","N/A")</f>
        <v>N/A</v>
      </c>
      <c r="B40" s="537"/>
      <c r="C40" s="536" t="str">
        <f t="shared" si="1"/>
        <v>N/A</v>
      </c>
      <c r="D40" s="537"/>
      <c r="E40" s="581" t="s">
        <v>550</v>
      </c>
      <c r="F40" s="528"/>
      <c r="G40" s="532" t="s">
        <v>65</v>
      </c>
      <c r="H40" s="532"/>
      <c r="I40" s="532"/>
      <c r="J40" s="532"/>
      <c r="K40" s="532"/>
      <c r="L40" s="532"/>
      <c r="M40" s="532"/>
      <c r="N40" s="532"/>
      <c r="O40" s="526"/>
      <c r="P40" s="526"/>
      <c r="Q40" s="526"/>
      <c r="R40" s="526"/>
      <c r="S40" s="526"/>
      <c r="T40" s="439" t="str">
        <f>IF(A40="N/A","NA",IF(OR('T2.17 Main Hoop Attachments'!C8="FAIL",'T2.17 Main Hoop Attachments'!E8="FAIL",'T2.17 Main Hoop Attachments'!G8="FAIL",'T2.17 Main Hoop Attachments'!I8="FAIL"),"FA","PA"))</f>
        <v>NA</v>
      </c>
      <c r="U40" s="458"/>
      <c r="V40" s="458"/>
      <c r="W40" s="458"/>
      <c r="X40" s="458"/>
      <c r="Y40" s="458"/>
      <c r="Z40" s="458"/>
      <c r="AA40" s="458"/>
      <c r="AB40" s="458"/>
      <c r="AC40" s="458"/>
      <c r="AD40" s="458"/>
      <c r="AE40" s="458"/>
      <c r="AF40" s="458"/>
      <c r="AG40" s="458"/>
      <c r="AH40" s="458"/>
      <c r="AI40" s="458"/>
      <c r="AJ40" s="458"/>
      <c r="AK40" s="458"/>
      <c r="AL40" s="458"/>
      <c r="AM40" s="458"/>
      <c r="AN40" s="458"/>
      <c r="AO40" s="458"/>
      <c r="AP40" s="458"/>
      <c r="AQ40" s="458"/>
      <c r="AR40" s="458"/>
      <c r="AS40" s="458"/>
    </row>
    <row r="41" spans="1:45" ht="12.75" customHeight="1" x14ac:dyDescent="0.2">
      <c r="A41" s="536" t="str">
        <f>IF(A36="no","NO","N/A")</f>
        <v>N/A</v>
      </c>
      <c r="B41" s="537"/>
      <c r="C41" s="536" t="str">
        <f t="shared" si="1"/>
        <v>N/A</v>
      </c>
      <c r="D41" s="537"/>
      <c r="E41" s="527" t="s">
        <v>550</v>
      </c>
      <c r="F41" s="528"/>
      <c r="G41" s="532" t="s">
        <v>151</v>
      </c>
      <c r="H41" s="532"/>
      <c r="I41" s="532"/>
      <c r="J41" s="532"/>
      <c r="K41" s="532"/>
      <c r="L41" s="532"/>
      <c r="M41" s="532"/>
      <c r="N41" s="532"/>
      <c r="O41" s="526"/>
      <c r="P41" s="526"/>
      <c r="Q41" s="526"/>
      <c r="R41" s="526"/>
      <c r="S41" s="526"/>
      <c r="T41" s="439" t="str">
        <f>IF('T2.17 Front Hoop Attachments'!C3=0,"CH",IF(A41="N/A","NA",IF(OR('T2.17 Front Hoop Attachments'!C8="FAIL",'T2.17 Front Hoop Attachments'!E8="FAIL",'T2.17 Front Hoop Attachments'!G8="FAIL",'T2.17 Front Hoop Attachments'!I8="FAIL"),"FA","PA")))</f>
        <v>NA</v>
      </c>
      <c r="U41" s="448"/>
      <c r="V41" s="448"/>
      <c r="W41" s="448"/>
      <c r="X41" s="448"/>
      <c r="Y41" s="448"/>
      <c r="Z41" s="448"/>
      <c r="AA41" s="448"/>
      <c r="AB41" s="448"/>
      <c r="AC41" s="448"/>
      <c r="AD41" s="448"/>
      <c r="AE41" s="448"/>
      <c r="AF41" s="448"/>
      <c r="AG41" s="448"/>
      <c r="AH41" s="448"/>
      <c r="AI41" s="448"/>
      <c r="AJ41" s="448"/>
      <c r="AK41" s="448"/>
      <c r="AL41" s="448"/>
      <c r="AM41" s="448"/>
      <c r="AN41" s="448"/>
      <c r="AO41" s="448"/>
      <c r="AP41" s="448"/>
      <c r="AQ41" s="448"/>
      <c r="AR41" s="448"/>
      <c r="AS41" s="448"/>
    </row>
    <row r="42" spans="1:45" ht="12.75" customHeight="1" x14ac:dyDescent="0.2">
      <c r="A42" s="536" t="str">
        <f>IF(OR('T2.17 Hoop B''ing Attachments'!C3="YES",'T2.17 Hoop B''ing Attachments'!C6="YES"),"NO","N/A")</f>
        <v>N/A</v>
      </c>
      <c r="B42" s="537"/>
      <c r="C42" s="536" t="str">
        <f t="shared" si="1"/>
        <v>N/A</v>
      </c>
      <c r="D42" s="537"/>
      <c r="E42" s="527" t="s">
        <v>550</v>
      </c>
      <c r="F42" s="528"/>
      <c r="G42" s="532" t="s">
        <v>175</v>
      </c>
      <c r="H42" s="532"/>
      <c r="I42" s="532"/>
      <c r="J42" s="532"/>
      <c r="K42" s="532"/>
      <c r="L42" s="532"/>
      <c r="M42" s="532"/>
      <c r="N42" s="532"/>
      <c r="O42" s="526"/>
      <c r="P42" s="526"/>
      <c r="Q42" s="526"/>
      <c r="R42" s="526"/>
      <c r="S42" s="526"/>
      <c r="T42" s="439" t="str">
        <f>IF(A42="N/A","NA",IF(OR('T2.17 Hoop B''ing Attachments'!C9="FAIL",'T2.17 Hoop B''ing Attachments'!E9="FAIL"),"FA","PA"))</f>
        <v>NA</v>
      </c>
      <c r="U42" s="448"/>
      <c r="V42" s="448"/>
      <c r="W42" s="448"/>
      <c r="X42" s="448"/>
      <c r="Y42" s="448"/>
      <c r="Z42" s="448"/>
      <c r="AA42" s="448"/>
      <c r="AB42" s="448"/>
      <c r="AC42" s="448"/>
      <c r="AD42" s="448"/>
      <c r="AE42" s="448"/>
      <c r="AF42" s="448"/>
      <c r="AG42" s="448"/>
      <c r="AH42" s="448"/>
      <c r="AI42" s="448"/>
      <c r="AJ42" s="448"/>
      <c r="AK42" s="448"/>
      <c r="AL42" s="448"/>
      <c r="AM42" s="448"/>
      <c r="AN42" s="448"/>
      <c r="AO42" s="448"/>
      <c r="AP42" s="448"/>
      <c r="AQ42" s="448"/>
      <c r="AR42" s="448"/>
      <c r="AS42" s="448"/>
    </row>
    <row r="43" spans="1:45" ht="12.75" customHeight="1" x14ac:dyDescent="0.2">
      <c r="A43" s="576" t="str">
        <f>IF(A35="no","NO","N/A")</f>
        <v>N/A</v>
      </c>
      <c r="B43" s="577"/>
      <c r="C43" s="536" t="str">
        <f t="shared" si="1"/>
        <v>N/A</v>
      </c>
      <c r="D43" s="537"/>
      <c r="E43" s="527" t="s">
        <v>551</v>
      </c>
      <c r="F43" s="528"/>
      <c r="G43" s="532" t="s">
        <v>69</v>
      </c>
      <c r="H43" s="532"/>
      <c r="I43" s="532"/>
      <c r="J43" s="532"/>
      <c r="K43" s="532"/>
      <c r="L43" s="532"/>
      <c r="M43" s="532"/>
      <c r="N43" s="532"/>
      <c r="O43" s="526"/>
      <c r="P43" s="526"/>
      <c r="Q43" s="526"/>
      <c r="R43" s="526"/>
      <c r="S43" s="526"/>
      <c r="T43" s="439" t="str">
        <f>IF(A43="N/A","NA",IF('T2.18.5 IA Attachments'!C4="FAIL","FA","PA"))</f>
        <v>NA</v>
      </c>
      <c r="U43" s="448"/>
      <c r="V43" s="448"/>
      <c r="W43" s="448"/>
      <c r="X43" s="448"/>
      <c r="Y43" s="448"/>
      <c r="Z43" s="448"/>
      <c r="AA43" s="448"/>
      <c r="AB43" s="448"/>
      <c r="AC43" s="448"/>
      <c r="AD43" s="448"/>
      <c r="AE43" s="448"/>
      <c r="AF43" s="448"/>
      <c r="AG43" s="448"/>
      <c r="AH43" s="448"/>
      <c r="AI43" s="448"/>
      <c r="AJ43" s="448"/>
      <c r="AK43" s="448"/>
      <c r="AL43" s="448"/>
      <c r="AM43" s="448"/>
      <c r="AN43" s="448"/>
      <c r="AO43" s="448"/>
      <c r="AP43" s="448"/>
      <c r="AQ43" s="448"/>
      <c r="AR43" s="448"/>
      <c r="AS43" s="448"/>
    </row>
    <row r="44" spans="1:45" ht="12.75" customHeight="1" x14ac:dyDescent="0.2">
      <c r="A44" s="576" t="str">
        <f>IF(OR('T3.5 Harness Attachments'!Q34="YES",'T3.5 Harness Attachments'!Q35="YES",'T3.5 Harness Attachments'!Q36="YES",'T3.5 Harness Attachments'!Q37="YES"),"NO","N/A")</f>
        <v>N/A</v>
      </c>
      <c r="B44" s="577"/>
      <c r="C44" s="536" t="str">
        <f t="shared" si="1"/>
        <v>N/A</v>
      </c>
      <c r="D44" s="537"/>
      <c r="E44" s="527" t="s">
        <v>553</v>
      </c>
      <c r="F44" s="528"/>
      <c r="G44" s="532" t="s">
        <v>70</v>
      </c>
      <c r="H44" s="532"/>
      <c r="I44" s="532"/>
      <c r="J44" s="532"/>
      <c r="K44" s="532"/>
      <c r="L44" s="532"/>
      <c r="M44" s="532"/>
      <c r="N44" s="532"/>
      <c r="O44" s="526"/>
      <c r="P44" s="526"/>
      <c r="Q44" s="526"/>
      <c r="R44" s="526"/>
      <c r="S44" s="526"/>
      <c r="T44" s="439" t="str">
        <f>IF(A44="N/A","NA",IF('T3.5 Harness Attachments'!A35="PASS","PA","FA"))</f>
        <v>NA</v>
      </c>
      <c r="U44" s="448"/>
      <c r="V44" s="448"/>
      <c r="W44" s="448"/>
      <c r="X44" s="448"/>
      <c r="Y44" s="448"/>
      <c r="Z44" s="448"/>
      <c r="AA44" s="448"/>
      <c r="AB44" s="448"/>
      <c r="AC44" s="448"/>
      <c r="AD44" s="448"/>
      <c r="AE44" s="448"/>
      <c r="AF44" s="448"/>
      <c r="AG44" s="448"/>
      <c r="AH44" s="448"/>
      <c r="AI44" s="448"/>
      <c r="AJ44" s="448"/>
      <c r="AK44" s="448"/>
      <c r="AL44" s="448"/>
      <c r="AM44" s="448"/>
      <c r="AN44" s="448"/>
      <c r="AO44" s="448"/>
      <c r="AP44" s="448"/>
      <c r="AQ44" s="448"/>
      <c r="AR44" s="448"/>
      <c r="AS44" s="448"/>
    </row>
    <row r="45" spans="1:45" ht="12.75" customHeight="1" x14ac:dyDescent="0.2">
      <c r="A45" s="579" t="s">
        <v>153</v>
      </c>
      <c r="B45" s="580"/>
      <c r="C45" s="538" t="s">
        <v>153</v>
      </c>
      <c r="D45" s="539"/>
      <c r="E45" s="540" t="s">
        <v>584</v>
      </c>
      <c r="F45" s="541"/>
      <c r="G45" s="535" t="str">
        <f>IF(D17="electric vehicle","Accumulator Container","N/A")</f>
        <v>N/A</v>
      </c>
      <c r="H45" s="535"/>
      <c r="I45" s="535"/>
      <c r="J45" s="535"/>
      <c r="K45" s="535"/>
      <c r="L45" s="535"/>
      <c r="M45" s="535"/>
      <c r="N45" s="535"/>
      <c r="O45" s="529"/>
      <c r="P45" s="530"/>
      <c r="Q45" s="530"/>
      <c r="R45" s="530"/>
      <c r="S45" s="531"/>
      <c r="T45" s="459"/>
      <c r="U45" s="448"/>
      <c r="V45" s="448"/>
      <c r="W45" s="448"/>
      <c r="X45" s="448"/>
      <c r="Y45" s="448"/>
      <c r="Z45" s="448"/>
      <c r="AA45" s="448"/>
      <c r="AB45" s="448"/>
      <c r="AC45" s="448"/>
      <c r="AD45" s="448"/>
      <c r="AE45" s="448"/>
      <c r="AF45" s="448"/>
      <c r="AG45" s="448"/>
      <c r="AH45" s="448"/>
      <c r="AI45" s="448"/>
      <c r="AJ45" s="448"/>
      <c r="AK45" s="448"/>
      <c r="AL45" s="448"/>
      <c r="AM45" s="448"/>
      <c r="AN45" s="448"/>
      <c r="AO45" s="448"/>
      <c r="AP45" s="448"/>
      <c r="AQ45" s="448"/>
      <c r="AR45" s="448"/>
      <c r="AS45" s="448"/>
    </row>
    <row r="46" spans="1:45" ht="12.75" customHeight="1" x14ac:dyDescent="0.2">
      <c r="A46" s="542" t="s">
        <v>153</v>
      </c>
      <c r="B46" s="543"/>
      <c r="C46" s="542" t="str">
        <f t="shared" si="1"/>
        <v>N/A</v>
      </c>
      <c r="D46" s="543"/>
      <c r="E46" s="533" t="s">
        <v>582</v>
      </c>
      <c r="F46" s="534"/>
      <c r="G46" s="535" t="str">
        <f>IF(D17="electric vehicle","Accumulator Attachment","N/A")</f>
        <v>N/A</v>
      </c>
      <c r="H46" s="535"/>
      <c r="I46" s="535"/>
      <c r="J46" s="535"/>
      <c r="K46" s="535"/>
      <c r="L46" s="535"/>
      <c r="M46" s="535"/>
      <c r="N46" s="535"/>
      <c r="O46" s="526"/>
      <c r="P46" s="526"/>
      <c r="Q46" s="526"/>
      <c r="R46" s="526"/>
      <c r="S46" s="526"/>
      <c r="T46" s="459"/>
      <c r="U46" s="448"/>
      <c r="V46" s="448"/>
      <c r="W46" s="448"/>
      <c r="X46" s="448"/>
      <c r="Y46" s="448"/>
      <c r="Z46" s="448"/>
      <c r="AA46" s="448"/>
      <c r="AB46" s="448"/>
      <c r="AC46" s="448"/>
      <c r="AD46" s="448"/>
      <c r="AE46" s="448"/>
      <c r="AF46" s="448"/>
      <c r="AG46" s="448"/>
      <c r="AH46" s="448"/>
      <c r="AI46" s="448"/>
      <c r="AJ46" s="448"/>
      <c r="AK46" s="448"/>
      <c r="AL46" s="448"/>
      <c r="AM46" s="448"/>
      <c r="AN46" s="448"/>
      <c r="AO46" s="448"/>
      <c r="AP46" s="448"/>
      <c r="AQ46" s="448"/>
      <c r="AR46" s="448"/>
      <c r="AS46" s="448"/>
    </row>
    <row r="47" spans="1:45" ht="12.75" customHeight="1" x14ac:dyDescent="0.2">
      <c r="A47" s="542" t="str">
        <f>IF(NOT('EV6.5.1&amp;3 Accumulator Protect.'!F2="tubing only"),"NO",IF('EV6.5.1&amp;3 Accumulator Protect.'!G17="YES","YES","NO"))</f>
        <v>YES</v>
      </c>
      <c r="B47" s="543"/>
      <c r="C47" s="542" t="str">
        <f t="shared" si="1"/>
        <v>NO</v>
      </c>
      <c r="D47" s="543"/>
      <c r="E47" s="533" t="s">
        <v>583</v>
      </c>
      <c r="F47" s="534"/>
      <c r="G47" s="535" t="str">
        <f>IF(D17="electric vehicle","Accumulator Protection","N/A")</f>
        <v>N/A</v>
      </c>
      <c r="H47" s="535"/>
      <c r="I47" s="535"/>
      <c r="J47" s="535"/>
      <c r="K47" s="535"/>
      <c r="L47" s="535"/>
      <c r="M47" s="535"/>
      <c r="N47" s="535"/>
      <c r="O47" s="526"/>
      <c r="P47" s="526"/>
      <c r="Q47" s="526"/>
      <c r="R47" s="526"/>
      <c r="S47" s="526"/>
      <c r="T47" s="439" t="str">
        <f>IF($A$47="NO",'EV6.5.1&amp;3 Accumulator Protect.'!$K$27,"NA")</f>
        <v>NA</v>
      </c>
      <c r="U47" s="439" t="str">
        <f>IF($A$47="NO",'EV6.5.1&amp;3 Accumulator Protect.'!$K$28,"NA")</f>
        <v>NA</v>
      </c>
      <c r="V47" s="439" t="str">
        <f>IF($A$47="NO",'EV6.5.1&amp;3 Accumulator Protect.'!$K$29,"NA")</f>
        <v>NA</v>
      </c>
      <c r="W47" s="439" t="str">
        <f>IF($A$47="NO",'EV6.5.1&amp;3 Accumulator Protect.'!$K$30,"NA")</f>
        <v>NA</v>
      </c>
      <c r="X47" s="439" t="str">
        <f>IF($A$47="NO",'EV6.5.1&amp;3 Accumulator Protect.'!$K$31,"NA")</f>
        <v>NA</v>
      </c>
      <c r="Y47" s="439" t="str">
        <f>IF($A$47="NO",'EV6.5.1&amp;3 Accumulator Protect.'!$K$32,"NA")</f>
        <v>NA</v>
      </c>
      <c r="Z47" s="439" t="str">
        <f>IF($A$47="NO",'EV6.5.1&amp;3 Accumulator Protect.'!$K$33,"NA")</f>
        <v>NA</v>
      </c>
      <c r="AA47" s="443" t="str">
        <f>IF($A$47="NO",'EV6.5.1&amp;3 Accumulator Protect.'!$K$34,"NA")</f>
        <v>NA</v>
      </c>
      <c r="AB47" s="439" t="str">
        <f>IF($A$47="NO",'EV6.5.1&amp;3 Accumulator Protect.'!$K$35,"NA")</f>
        <v>NA</v>
      </c>
      <c r="AC47" s="447" t="str">
        <f>IF('EV6.5.1&amp;3 Accumulator Protect.'!$F$2="tubing only",'EV6.5.1&amp;3 Accumulator Protect.'!$E$5,"")</f>
        <v>Steel</v>
      </c>
      <c r="AD47" s="447" t="str">
        <f>IF('EV6.5.1&amp;3 Accumulator Protect.'!$F$2="tubing only",'EV6.5.1&amp;3 Accumulator Protect.'!$E$6,"")</f>
        <v>Round</v>
      </c>
      <c r="AE47" s="446">
        <f>IF('EV6.5.1&amp;3 Accumulator Protect.'!$F$2="tubing only",'EV6.5.1&amp;3 Accumulator Protect.'!$E$15,"")</f>
        <v>25.4</v>
      </c>
      <c r="AF47" s="447">
        <f>IF('EV6.5.1&amp;3 Accumulator Protect.'!$F$2="tubing only",'EV6.5.1&amp;3 Accumulator Protect.'!$E$16,"")</f>
        <v>1.6</v>
      </c>
      <c r="AG47" s="447" t="str">
        <f>IF('EV6.5.1&amp;3 Accumulator Protect.'!$F$2="tubing only",IF('EV6.5.1&amp;3 Accumulator Protect.'!$F$14&gt;0,'EV6.5.1&amp;3 Accumulator Protect.'!$F$5,""),"")</f>
        <v/>
      </c>
      <c r="AH47" s="447" t="str">
        <f>IF('EV6.5.1&amp;3 Accumulator Protect.'!$F$2="tubing only",IF('EV6.5.1&amp;3 Accumulator Protect.'!$F$14&gt;0,'EV6.5.1&amp;3 Accumulator Protect.'!$F$6,""),"")</f>
        <v/>
      </c>
      <c r="AI47" s="446" t="str">
        <f>IF('EV6.5.1&amp;3 Accumulator Protect.'!$F$2="tubing only",IF('EV6.5.1&amp;3 Accumulator Protect.'!$F$14&gt;0,'EV6.5.1&amp;3 Accumulator Protect.'!$F$15,""),"")</f>
        <v/>
      </c>
      <c r="AJ47" s="447" t="str">
        <f>IF('EV6.5.1&amp;3 Accumulator Protect.'!$F$2="tubing only",IF('EV6.5.1&amp;3 Accumulator Protect.'!$F$14&gt;0,'EV6.5.1&amp;3 Accumulator Protect.'!$F$16,""),"")</f>
        <v/>
      </c>
      <c r="AK47" s="447" t="str">
        <f>IF('EV6.5.1&amp;3 Accumulator Protect.'!$F$2="tubing only",IF('EV6.5.1&amp;3 Accumulator Protect.'!$G$14&gt;0,'EV6.5.1&amp;3 Accumulator Protect.'!$G$5,""),"")</f>
        <v/>
      </c>
      <c r="AL47" s="447" t="str">
        <f>IF('EV6.5.1&amp;3 Accumulator Protect.'!$F$2="tubing only",IF('EV6.5.1&amp;3 Accumulator Protect.'!$G$14&gt;0,'EV6.5.1&amp;3 Accumulator Protect.'!$G$6,""),"")</f>
        <v/>
      </c>
      <c r="AM47" s="446" t="str">
        <f>IF('EV6.5.1&amp;3 Accumulator Protect.'!$F$2="tubing only",IF('EV6.5.1&amp;3 Accumulator Protect.'!$G$14&gt;0,'EV6.5.1&amp;3 Accumulator Protect.'!$G$15,""),"")</f>
        <v/>
      </c>
      <c r="AN47" s="447" t="str">
        <f>IF('EV6.5.1&amp;3 Accumulator Protect.'!$F$2="tubing only",IF('EV6.5.1&amp;3 Accumulator Protect.'!$G$14&gt;0,'EV6.5.1&amp;3 Accumulator Protect.'!$G$16,""),"")</f>
        <v/>
      </c>
      <c r="AO47" s="447" t="str">
        <f>IF('EV6.5.1&amp;3 Accumulator Protect.'!$F$2="Tubing only","",'EV6.5.1&amp;3 Accumulator Protect.'!$I$5)</f>
        <v/>
      </c>
      <c r="AP47" s="446" t="str">
        <f>IF('EV6.5.1&amp;3 Accumulator Protect.'!$F$2="Tubing only","",'EV6.5.1&amp;3 Accumulator Protect.'!$I$18)</f>
        <v/>
      </c>
      <c r="AQ47" s="447" t="str">
        <f>IF('EV6.5.1&amp;3 Accumulator Protect.'!$F$2="Tubing only","",'EV6.5.1&amp;3 Accumulator Protect.'!$I$20)</f>
        <v/>
      </c>
      <c r="AR47" s="447" t="str">
        <f>IF('EV6.5.1&amp;3 Accumulator Protect.'!$F$2="Tubing only","",'EV6.5.1&amp;3 Accumulator Protect.'!$I$21)</f>
        <v/>
      </c>
      <c r="AS47" s="457" t="str">
        <f>IF('EV6.5.1&amp;3 Accumulator Protect.'!$F$2="Tubing only","",'EV6.5.1&amp;3 Accumulator Protect.'!$I$22)</f>
        <v/>
      </c>
    </row>
    <row r="48" spans="1:45" ht="12.75" customHeight="1" x14ac:dyDescent="0.2">
      <c r="A48" s="542" t="str">
        <f>IF(NOT('EV5.4 Tract. System Prot''n'!F2="tubing only"),"NO",IF('EV5.4 Tract. System Prot''n'!G17="YES","YES","NO"))</f>
        <v>YES</v>
      </c>
      <c r="B48" s="543"/>
      <c r="C48" s="542" t="str">
        <f>IF(A48="N/A","N/A",IF(A48="YES","NO","YES"))</f>
        <v>NO</v>
      </c>
      <c r="D48" s="543"/>
      <c r="E48" s="533" t="s">
        <v>585</v>
      </c>
      <c r="F48" s="534"/>
      <c r="G48" s="535" t="str">
        <f>IF(D17="electric vehicle","Tractive System Protection","N/A")</f>
        <v>N/A</v>
      </c>
      <c r="H48" s="535"/>
      <c r="I48" s="535"/>
      <c r="J48" s="535"/>
      <c r="K48" s="535"/>
      <c r="L48" s="535"/>
      <c r="M48" s="535"/>
      <c r="N48" s="535"/>
      <c r="O48" s="526"/>
      <c r="P48" s="526"/>
      <c r="Q48" s="526"/>
      <c r="R48" s="526"/>
      <c r="S48" s="526"/>
      <c r="T48" s="452" t="str">
        <f>IF($A$48="NO",'EV5.4 Tract. System Prot''n'!$K$27,"NA")</f>
        <v>NA</v>
      </c>
      <c r="U48" s="452" t="str">
        <f>IF($A$48="NO",'EV5.4 Tract. System Prot''n'!$K$28,"NA")</f>
        <v>NA</v>
      </c>
      <c r="V48" s="452" t="str">
        <f>IF($A$48="NO",'EV5.4 Tract. System Prot''n'!$K$29,"NA")</f>
        <v>NA</v>
      </c>
      <c r="W48" s="452" t="str">
        <f>IF($A$48="NO",'EV5.4 Tract. System Prot''n'!$K$30,"NA")</f>
        <v>NA</v>
      </c>
      <c r="X48" s="452" t="str">
        <f>IF($A$48="NO",'EV5.4 Tract. System Prot''n'!$K$31,"NA")</f>
        <v>NA</v>
      </c>
      <c r="Y48" s="452" t="str">
        <f>IF($A$48="NO",'EV5.4 Tract. System Prot''n'!$K$32,"NA")</f>
        <v>NA</v>
      </c>
      <c r="Z48" s="452" t="str">
        <f>IF($A$48="NO",'EV5.4 Tract. System Prot''n'!$K$33,"NA")</f>
        <v>NA</v>
      </c>
      <c r="AA48" s="443" t="str">
        <f>IF($A$48="NO",'EV5.4 Tract. System Prot''n'!$K$34,"NA")</f>
        <v>NA</v>
      </c>
      <c r="AB48" s="452" t="str">
        <f>IF($A$48="NO",'EV5.4 Tract. System Prot''n'!$K$35,"NA")</f>
        <v>NA</v>
      </c>
      <c r="AC48" s="453" t="str">
        <f>IF('EV5.4 Tract. System Prot''n'!$F$2="tubing only",'EV5.4 Tract. System Prot''n'!$E$5,"")</f>
        <v>Steel</v>
      </c>
      <c r="AD48" s="453" t="str">
        <f>IF('EV5.4 Tract. System Prot''n'!$F$2="tubing only",'EV5.4 Tract. System Prot''n'!$E$6,"")</f>
        <v>Round</v>
      </c>
      <c r="AE48" s="454">
        <f>IF('EV5.4 Tract. System Prot''n'!$F$2="tubing only",'EV5.4 Tract. System Prot''n'!$E$15,"")</f>
        <v>25.4</v>
      </c>
      <c r="AF48" s="453">
        <f>IF('EV5.4 Tract. System Prot''n'!$F$2="tubing only",'EV5.4 Tract. System Prot''n'!$E$16,"")</f>
        <v>1.2</v>
      </c>
      <c r="AG48" s="453" t="str">
        <f>IF('EV5.4 Tract. System Prot''n'!$F$2="tubing only",IF('EV5.4 Tract. System Prot''n'!$F$14&gt;0,'EV5.4 Tract. System Prot''n'!$F$5,""),"")</f>
        <v/>
      </c>
      <c r="AH48" s="453" t="str">
        <f>IF('EV5.4 Tract. System Prot''n'!$F$2="tubing only",IF('EV5.4 Tract. System Prot''n'!$F$14&gt;0,'EV5.4 Tract. System Prot''n'!$F$6,""),"")</f>
        <v/>
      </c>
      <c r="AI48" s="454" t="str">
        <f>IF('EV5.4 Tract. System Prot''n'!$F$2="tubing only",IF('EV5.4 Tract. System Prot''n'!$F$14&gt;0,'EV5.4 Tract. System Prot''n'!$F$15,""),"")</f>
        <v/>
      </c>
      <c r="AJ48" s="453" t="str">
        <f>IF('EV5.4 Tract. System Prot''n'!$F$2="tubing only",IF('EV5.4 Tract. System Prot''n'!$F$14&gt;0,'EV5.4 Tract. System Prot''n'!$F$16,""),"")</f>
        <v/>
      </c>
      <c r="AK48" s="453" t="str">
        <f>IF('EV5.4 Tract. System Prot''n'!$F$2="tubing only",IF('EV5.4 Tract. System Prot''n'!$G$14&gt;0,'EV5.4 Tract. System Prot''n'!$G$5,""),"")</f>
        <v/>
      </c>
      <c r="AL48" s="453" t="str">
        <f>IF('EV5.4 Tract. System Prot''n'!$F$2="tubing only",IF('EV5.4 Tract. System Prot''n'!$G$14&gt;0,'EV5.4 Tract. System Prot''n'!$G$6,""),"")</f>
        <v/>
      </c>
      <c r="AM48" s="454" t="str">
        <f>IF('EV5.4 Tract. System Prot''n'!$F$2="tubing only",IF('EV5.4 Tract. System Prot''n'!$G$14&gt;0,'EV5.4 Tract. System Prot''n'!$G$15,""),"")</f>
        <v/>
      </c>
      <c r="AN48" s="453" t="str">
        <f>IF('EV5.4 Tract. System Prot''n'!$F$2="tubing only",IF('EV5.4 Tract. System Prot''n'!$G$14&gt;0,'EV5.4 Tract. System Prot''n'!$G$16,""),"")</f>
        <v/>
      </c>
      <c r="AO48" s="447" t="str">
        <f>IF('EV5.4 Tract. System Prot''n'!$F$2="Tubing only","",'EV5.4 Tract. System Prot''n'!$I$5)</f>
        <v/>
      </c>
      <c r="AP48" s="446" t="str">
        <f>IF('EV5.4 Tract. System Prot''n'!$F$2="Tubing only","",'EV5.4 Tract. System Prot''n'!$I$18)</f>
        <v/>
      </c>
      <c r="AQ48" s="447" t="str">
        <f>IF('EV5.4 Tract. System Prot''n'!$F$2="Tubing only","",'EV5.4 Tract. System Prot''n'!$I$20)</f>
        <v/>
      </c>
      <c r="AR48" s="447" t="str">
        <f>IF('EV5.4 Tract. System Prot''n'!$F$2="Tubing only","",'EV5.4 Tract. System Prot''n'!$I$21)</f>
        <v/>
      </c>
      <c r="AS48" s="457" t="str">
        <f>IF('EV5.4 Tract. System Prot''n'!$F$2="Tubing only","",'EV5.4 Tract. System Prot''n'!$I$22)</f>
        <v/>
      </c>
    </row>
    <row r="49" spans="1:20" ht="12.75" customHeight="1" x14ac:dyDescent="0.2">
      <c r="A49" s="460" t="s">
        <v>71</v>
      </c>
      <c r="T49" s="605"/>
    </row>
    <row r="50" spans="1:20" x14ac:dyDescent="0.2">
      <c r="A50" s="461" t="s">
        <v>72</v>
      </c>
      <c r="B50" s="575" t="s">
        <v>73</v>
      </c>
      <c r="C50" s="575"/>
      <c r="D50" s="575"/>
      <c r="E50" s="575"/>
      <c r="F50" s="575"/>
      <c r="G50" s="575"/>
      <c r="H50" s="575"/>
      <c r="I50" s="575"/>
      <c r="J50" s="575"/>
      <c r="K50" s="575"/>
      <c r="L50" s="575"/>
      <c r="M50" s="575"/>
      <c r="N50" s="575"/>
      <c r="O50" s="575"/>
      <c r="P50" s="575"/>
      <c r="Q50" s="575"/>
      <c r="R50" s="575"/>
      <c r="S50" s="575"/>
      <c r="T50" s="606"/>
    </row>
    <row r="51" spans="1:20" x14ac:dyDescent="0.2">
      <c r="A51" s="461" t="s">
        <v>72</v>
      </c>
      <c r="B51" s="575" t="s">
        <v>74</v>
      </c>
      <c r="C51" s="575"/>
      <c r="D51" s="575"/>
      <c r="E51" s="575"/>
      <c r="F51" s="575"/>
      <c r="G51" s="575"/>
      <c r="H51" s="575"/>
      <c r="I51" s="575"/>
      <c r="J51" s="575"/>
      <c r="K51" s="575"/>
      <c r="L51" s="575"/>
      <c r="M51" s="575"/>
      <c r="N51" s="575"/>
      <c r="O51" s="575"/>
      <c r="P51" s="575"/>
      <c r="Q51" s="575"/>
      <c r="R51" s="575"/>
      <c r="S51" s="575"/>
      <c r="T51" s="606"/>
    </row>
    <row r="52" spans="1:20" x14ac:dyDescent="0.2">
      <c r="A52" s="461" t="s">
        <v>72</v>
      </c>
      <c r="B52" s="609" t="s">
        <v>75</v>
      </c>
      <c r="C52" s="609"/>
      <c r="D52" s="609"/>
      <c r="E52" s="609"/>
      <c r="F52" s="609"/>
      <c r="G52" s="609"/>
      <c r="H52" s="609"/>
      <c r="I52" s="609"/>
      <c r="J52" s="609"/>
      <c r="K52" s="609"/>
      <c r="L52" s="609"/>
      <c r="M52" s="609"/>
      <c r="N52" s="609"/>
      <c r="O52" s="609"/>
      <c r="P52" s="609"/>
      <c r="Q52" s="609"/>
      <c r="R52" s="609"/>
      <c r="S52" s="609"/>
      <c r="T52" s="606"/>
    </row>
    <row r="53" spans="1:20" x14ac:dyDescent="0.2">
      <c r="A53" s="461" t="s">
        <v>72</v>
      </c>
      <c r="B53" s="575" t="s">
        <v>76</v>
      </c>
      <c r="C53" s="575"/>
      <c r="D53" s="575"/>
      <c r="E53" s="575"/>
      <c r="F53" s="575"/>
      <c r="G53" s="575"/>
      <c r="H53" s="575"/>
      <c r="I53" s="575"/>
      <c r="J53" s="575"/>
      <c r="K53" s="575"/>
      <c r="L53" s="575"/>
      <c r="M53" s="575"/>
      <c r="N53" s="575"/>
      <c r="O53" s="575"/>
      <c r="P53" s="575"/>
      <c r="Q53" s="575"/>
      <c r="R53" s="575"/>
      <c r="S53" s="575"/>
      <c r="T53" s="606"/>
    </row>
    <row r="54" spans="1:20" x14ac:dyDescent="0.2">
      <c r="T54" s="606"/>
    </row>
    <row r="55" spans="1:20" x14ac:dyDescent="0.2">
      <c r="A55" s="574" t="s">
        <v>77</v>
      </c>
      <c r="B55" s="574"/>
      <c r="C55" s="574"/>
      <c r="D55" s="574"/>
      <c r="E55" s="574"/>
      <c r="F55" s="574"/>
      <c r="G55" s="574"/>
      <c r="H55" s="574"/>
      <c r="I55" s="574"/>
      <c r="J55" s="574"/>
      <c r="K55" s="574"/>
      <c r="L55" s="574"/>
      <c r="M55" s="574"/>
      <c r="N55" s="574"/>
      <c r="O55" s="574"/>
      <c r="P55" s="574"/>
      <c r="Q55" s="574"/>
      <c r="R55" s="574"/>
      <c r="S55" s="574"/>
      <c r="T55" s="606"/>
    </row>
    <row r="56" spans="1:20" x14ac:dyDescent="0.2">
      <c r="A56" s="462" t="s">
        <v>214</v>
      </c>
      <c r="T56" s="606"/>
    </row>
    <row r="57" spans="1:20" x14ac:dyDescent="0.2">
      <c r="A57" s="559" t="s">
        <v>78</v>
      </c>
      <c r="B57" s="559"/>
      <c r="C57" s="559"/>
      <c r="D57" s="559"/>
      <c r="E57" s="559"/>
      <c r="F57" s="559"/>
      <c r="G57" s="559"/>
      <c r="H57" s="559"/>
      <c r="I57" s="559"/>
      <c r="J57" s="559"/>
      <c r="K57" s="559"/>
      <c r="L57" s="559"/>
      <c r="M57" s="559"/>
      <c r="N57" s="559"/>
      <c r="O57" s="559"/>
      <c r="P57" s="559"/>
      <c r="Q57" s="559"/>
      <c r="R57" s="559"/>
      <c r="S57" s="559"/>
      <c r="T57" s="606"/>
    </row>
    <row r="58" spans="1:20" x14ac:dyDescent="0.2">
      <c r="T58" s="606"/>
    </row>
    <row r="59" spans="1:20" x14ac:dyDescent="0.2">
      <c r="A59" s="565"/>
      <c r="B59" s="566"/>
      <c r="C59" s="566"/>
      <c r="D59" s="566"/>
      <c r="E59" s="566"/>
      <c r="F59" s="566"/>
      <c r="G59" s="566"/>
      <c r="H59" s="566"/>
      <c r="I59" s="566"/>
      <c r="J59" s="566"/>
      <c r="K59" s="566"/>
      <c r="L59" s="566"/>
      <c r="M59" s="566"/>
      <c r="N59" s="566"/>
      <c r="O59" s="566"/>
      <c r="P59" s="566"/>
      <c r="Q59" s="566"/>
      <c r="R59" s="566"/>
      <c r="S59" s="567"/>
      <c r="T59" s="606"/>
    </row>
    <row r="60" spans="1:20" x14ac:dyDescent="0.2">
      <c r="A60" s="568"/>
      <c r="B60" s="569"/>
      <c r="C60" s="569"/>
      <c r="D60" s="569"/>
      <c r="E60" s="569"/>
      <c r="F60" s="569"/>
      <c r="G60" s="569"/>
      <c r="H60" s="569"/>
      <c r="I60" s="569"/>
      <c r="J60" s="569"/>
      <c r="K60" s="569"/>
      <c r="L60" s="569"/>
      <c r="M60" s="569"/>
      <c r="N60" s="569"/>
      <c r="O60" s="569"/>
      <c r="P60" s="569"/>
      <c r="Q60" s="569"/>
      <c r="R60" s="569"/>
      <c r="S60" s="570"/>
      <c r="T60" s="606"/>
    </row>
    <row r="61" spans="1:20" x14ac:dyDescent="0.2">
      <c r="A61" s="568"/>
      <c r="B61" s="569"/>
      <c r="C61" s="569"/>
      <c r="D61" s="569"/>
      <c r="E61" s="569"/>
      <c r="F61" s="569"/>
      <c r="G61" s="569"/>
      <c r="H61" s="569"/>
      <c r="I61" s="569"/>
      <c r="J61" s="569"/>
      <c r="K61" s="569"/>
      <c r="L61" s="569"/>
      <c r="M61" s="569"/>
      <c r="N61" s="569"/>
      <c r="O61" s="569"/>
      <c r="P61" s="569"/>
      <c r="Q61" s="569"/>
      <c r="R61" s="569"/>
      <c r="S61" s="570"/>
      <c r="T61" s="606"/>
    </row>
    <row r="62" spans="1:20" x14ac:dyDescent="0.2">
      <c r="A62" s="568"/>
      <c r="B62" s="569"/>
      <c r="C62" s="569"/>
      <c r="D62" s="569"/>
      <c r="E62" s="569"/>
      <c r="F62" s="569"/>
      <c r="G62" s="569"/>
      <c r="H62" s="569"/>
      <c r="I62" s="569"/>
      <c r="J62" s="569"/>
      <c r="K62" s="569"/>
      <c r="L62" s="569"/>
      <c r="M62" s="569"/>
      <c r="N62" s="569"/>
      <c r="O62" s="569"/>
      <c r="P62" s="569"/>
      <c r="Q62" s="569"/>
      <c r="R62" s="569"/>
      <c r="S62" s="570"/>
      <c r="T62" s="463"/>
    </row>
    <row r="63" spans="1:20" x14ac:dyDescent="0.2">
      <c r="A63" s="571"/>
      <c r="B63" s="572"/>
      <c r="C63" s="572"/>
      <c r="D63" s="572"/>
      <c r="E63" s="572"/>
      <c r="F63" s="572"/>
      <c r="G63" s="572"/>
      <c r="H63" s="572"/>
      <c r="I63" s="572"/>
      <c r="J63" s="572"/>
      <c r="K63" s="572"/>
      <c r="L63" s="572"/>
      <c r="M63" s="572"/>
      <c r="N63" s="572"/>
      <c r="O63" s="572"/>
      <c r="P63" s="572"/>
      <c r="Q63" s="572"/>
      <c r="R63" s="572"/>
      <c r="S63" s="573"/>
      <c r="T63" s="463"/>
    </row>
    <row r="65" spans="1:20" x14ac:dyDescent="0.2">
      <c r="A65" s="435" t="s">
        <v>79</v>
      </c>
      <c r="D65" s="582"/>
      <c r="E65" s="582"/>
      <c r="F65" s="582"/>
      <c r="G65" s="582"/>
      <c r="H65" s="582"/>
      <c r="I65" s="582"/>
      <c r="J65" s="582"/>
      <c r="K65" s="582"/>
      <c r="L65" s="582"/>
      <c r="M65" s="582"/>
      <c r="N65" s="582"/>
      <c r="O65" s="435" t="s">
        <v>80</v>
      </c>
      <c r="P65" s="572"/>
      <c r="Q65" s="572"/>
      <c r="R65" s="572"/>
      <c r="S65" s="572"/>
      <c r="T65" s="436"/>
    </row>
    <row r="67" spans="1:20" x14ac:dyDescent="0.2">
      <c r="A67" s="564" t="s">
        <v>81</v>
      </c>
      <c r="B67" s="564"/>
      <c r="C67" s="564"/>
      <c r="D67" s="564"/>
      <c r="E67" s="564"/>
      <c r="F67" s="564"/>
      <c r="G67" s="564"/>
      <c r="H67" s="564"/>
      <c r="I67" s="564"/>
      <c r="J67" s="564"/>
      <c r="K67" s="564"/>
      <c r="L67" s="564"/>
      <c r="M67" s="564"/>
      <c r="N67" s="564"/>
      <c r="O67" s="564"/>
      <c r="P67" s="564"/>
      <c r="Q67" s="564"/>
      <c r="R67" s="564"/>
      <c r="S67" s="564"/>
      <c r="T67" s="464"/>
    </row>
    <row r="68" spans="1:20" x14ac:dyDescent="0.2">
      <c r="A68" s="564"/>
      <c r="B68" s="564"/>
      <c r="C68" s="564"/>
      <c r="D68" s="564"/>
      <c r="E68" s="564"/>
      <c r="F68" s="564"/>
      <c r="G68" s="564"/>
      <c r="H68" s="564"/>
      <c r="I68" s="564"/>
      <c r="J68" s="564"/>
      <c r="K68" s="564"/>
      <c r="L68" s="564"/>
      <c r="M68" s="564"/>
      <c r="N68" s="564"/>
      <c r="O68" s="564"/>
      <c r="P68" s="564"/>
      <c r="Q68" s="564"/>
      <c r="R68" s="564"/>
      <c r="S68" s="564"/>
      <c r="T68" s="464"/>
    </row>
  </sheetData>
  <sheetProtection password="E10F" sheet="1"/>
  <mergeCells count="204">
    <mergeCell ref="AE37:AE38"/>
    <mergeCell ref="AF37:AF38"/>
    <mergeCell ref="AM37:AM38"/>
    <mergeCell ref="AN37:AN38"/>
    <mergeCell ref="AG37:AG38"/>
    <mergeCell ref="AH37:AH38"/>
    <mergeCell ref="AI37:AI38"/>
    <mergeCell ref="AJ37:AJ38"/>
    <mergeCell ref="AK37:AK38"/>
    <mergeCell ref="AL37:AL38"/>
    <mergeCell ref="Y37:Y38"/>
    <mergeCell ref="Z37:Z38"/>
    <mergeCell ref="AA37:AA38"/>
    <mergeCell ref="AB37:AB38"/>
    <mergeCell ref="AC37:AC38"/>
    <mergeCell ref="AD37:AD38"/>
    <mergeCell ref="T37:T38"/>
    <mergeCell ref="G37:N37"/>
    <mergeCell ref="U37:U38"/>
    <mergeCell ref="V37:V38"/>
    <mergeCell ref="W37:W38"/>
    <mergeCell ref="X37:X38"/>
    <mergeCell ref="T49:T61"/>
    <mergeCell ref="O24:S24"/>
    <mergeCell ref="C28:D28"/>
    <mergeCell ref="E25:F25"/>
    <mergeCell ref="G26:N26"/>
    <mergeCell ref="E26:F26"/>
    <mergeCell ref="C29:D29"/>
    <mergeCell ref="G36:N36"/>
    <mergeCell ref="O36:S36"/>
    <mergeCell ref="C25:D25"/>
    <mergeCell ref="E30:F30"/>
    <mergeCell ref="B50:S50"/>
    <mergeCell ref="B51:S51"/>
    <mergeCell ref="B52:S52"/>
    <mergeCell ref="A37:B37"/>
    <mergeCell ref="A43:B43"/>
    <mergeCell ref="C38:D38"/>
    <mergeCell ref="E38:F38"/>
    <mergeCell ref="G38:N38"/>
    <mergeCell ref="O38:S38"/>
    <mergeCell ref="O47:S47"/>
    <mergeCell ref="A33:B33"/>
    <mergeCell ref="A35:B35"/>
    <mergeCell ref="A41:B41"/>
    <mergeCell ref="E24:F24"/>
    <mergeCell ref="C24:D24"/>
    <mergeCell ref="A30:B30"/>
    <mergeCell ref="A1:S1"/>
    <mergeCell ref="D14:J14"/>
    <mergeCell ref="D15:J15"/>
    <mergeCell ref="A3:S9"/>
    <mergeCell ref="A11:S12"/>
    <mergeCell ref="O14:S14"/>
    <mergeCell ref="N15:S15"/>
    <mergeCell ref="C27:D27"/>
    <mergeCell ref="E27:F27"/>
    <mergeCell ref="A26:B26"/>
    <mergeCell ref="N16:S16"/>
    <mergeCell ref="D16:J16"/>
    <mergeCell ref="G25:N25"/>
    <mergeCell ref="A19:S19"/>
    <mergeCell ref="A21:B23"/>
    <mergeCell ref="A24:B24"/>
    <mergeCell ref="G21:N23"/>
    <mergeCell ref="A25:B25"/>
    <mergeCell ref="G24:N24"/>
    <mergeCell ref="D65:N65"/>
    <mergeCell ref="AA18:AA23"/>
    <mergeCell ref="U18:U23"/>
    <mergeCell ref="Y18:Y23"/>
    <mergeCell ref="X18:X23"/>
    <mergeCell ref="O27:S27"/>
    <mergeCell ref="C34:D34"/>
    <mergeCell ref="P65:S65"/>
    <mergeCell ref="E31:F31"/>
    <mergeCell ref="O28:S28"/>
    <mergeCell ref="G33:N33"/>
    <mergeCell ref="E32:F32"/>
    <mergeCell ref="C30:D30"/>
    <mergeCell ref="C32:D32"/>
    <mergeCell ref="C33:D33"/>
    <mergeCell ref="C31:D31"/>
    <mergeCell ref="O30:S30"/>
    <mergeCell ref="O33:S33"/>
    <mergeCell ref="O25:S25"/>
    <mergeCell ref="O26:S26"/>
    <mergeCell ref="O32:S32"/>
    <mergeCell ref="C35:D35"/>
    <mergeCell ref="O21:S23"/>
    <mergeCell ref="E41:F41"/>
    <mergeCell ref="A67:S68"/>
    <mergeCell ref="A59:S63"/>
    <mergeCell ref="C37:D37"/>
    <mergeCell ref="G43:N43"/>
    <mergeCell ref="A55:S55"/>
    <mergeCell ref="E42:F42"/>
    <mergeCell ref="B53:S53"/>
    <mergeCell ref="A39:B39"/>
    <mergeCell ref="A44:B44"/>
    <mergeCell ref="C41:D41"/>
    <mergeCell ref="O37:S37"/>
    <mergeCell ref="C43:D43"/>
    <mergeCell ref="G39:N39"/>
    <mergeCell ref="G42:N42"/>
    <mergeCell ref="A48:B48"/>
    <mergeCell ref="C48:D48"/>
    <mergeCell ref="E48:F48"/>
    <mergeCell ref="G48:N48"/>
    <mergeCell ref="O48:S48"/>
    <mergeCell ref="O39:S39"/>
    <mergeCell ref="A45:B45"/>
    <mergeCell ref="E40:F40"/>
    <mergeCell ref="C46:D46"/>
    <mergeCell ref="C44:D44"/>
    <mergeCell ref="A57:S57"/>
    <mergeCell ref="G35:N35"/>
    <mergeCell ref="G34:N34"/>
    <mergeCell ref="G32:N32"/>
    <mergeCell ref="G30:N30"/>
    <mergeCell ref="O29:S29"/>
    <mergeCell ref="G41:N41"/>
    <mergeCell ref="O35:S35"/>
    <mergeCell ref="O34:S34"/>
    <mergeCell ref="A34:B34"/>
    <mergeCell ref="C40:D40"/>
    <mergeCell ref="A40:B40"/>
    <mergeCell ref="O31:S31"/>
    <mergeCell ref="E34:F34"/>
    <mergeCell ref="E37:F37"/>
    <mergeCell ref="C36:D36"/>
    <mergeCell ref="O40:S40"/>
    <mergeCell ref="A32:B32"/>
    <mergeCell ref="A38:B38"/>
    <mergeCell ref="A31:B31"/>
    <mergeCell ref="A29:B29"/>
    <mergeCell ref="G29:N29"/>
    <mergeCell ref="AC17:AF17"/>
    <mergeCell ref="AC18:AC23"/>
    <mergeCell ref="AB18:AB23"/>
    <mergeCell ref="T17:AB17"/>
    <mergeCell ref="T18:T23"/>
    <mergeCell ref="AF18:AF23"/>
    <mergeCell ref="AK18:AK23"/>
    <mergeCell ref="AL18:AL23"/>
    <mergeCell ref="AM18:AM23"/>
    <mergeCell ref="Z18:Z23"/>
    <mergeCell ref="W18:W23"/>
    <mergeCell ref="V18:V23"/>
    <mergeCell ref="AD18:AD23"/>
    <mergeCell ref="AE18:AE23"/>
    <mergeCell ref="AN18:AN23"/>
    <mergeCell ref="AG17:AJ17"/>
    <mergeCell ref="AG18:AG23"/>
    <mergeCell ref="AH18:AH23"/>
    <mergeCell ref="AJ18:AJ23"/>
    <mergeCell ref="AI18:AI23"/>
    <mergeCell ref="AK17:AN17"/>
    <mergeCell ref="AO17:AS17"/>
    <mergeCell ref="AO18:AO23"/>
    <mergeCell ref="AP18:AP23"/>
    <mergeCell ref="AQ18:AQ23"/>
    <mergeCell ref="AS18:AS23"/>
    <mergeCell ref="AR18:AR23"/>
    <mergeCell ref="A42:B42"/>
    <mergeCell ref="A36:B36"/>
    <mergeCell ref="E46:F46"/>
    <mergeCell ref="A47:B47"/>
    <mergeCell ref="D17:J17"/>
    <mergeCell ref="C42:D42"/>
    <mergeCell ref="E33:F33"/>
    <mergeCell ref="G46:N46"/>
    <mergeCell ref="E36:F36"/>
    <mergeCell ref="E39:F39"/>
    <mergeCell ref="G40:N40"/>
    <mergeCell ref="A46:B46"/>
    <mergeCell ref="E43:F43"/>
    <mergeCell ref="C47:D47"/>
    <mergeCell ref="E29:F29"/>
    <mergeCell ref="G31:N31"/>
    <mergeCell ref="A28:B28"/>
    <mergeCell ref="A27:B27"/>
    <mergeCell ref="E21:F23"/>
    <mergeCell ref="C21:D23"/>
    <mergeCell ref="G28:N28"/>
    <mergeCell ref="E28:F28"/>
    <mergeCell ref="C26:D26"/>
    <mergeCell ref="G27:N27"/>
    <mergeCell ref="O46:S46"/>
    <mergeCell ref="E35:F35"/>
    <mergeCell ref="O45:S45"/>
    <mergeCell ref="O44:S44"/>
    <mergeCell ref="E44:F44"/>
    <mergeCell ref="G44:N44"/>
    <mergeCell ref="E47:F47"/>
    <mergeCell ref="G47:N47"/>
    <mergeCell ref="C39:D39"/>
    <mergeCell ref="O43:S43"/>
    <mergeCell ref="O41:S41"/>
    <mergeCell ref="C45:D45"/>
    <mergeCell ref="E45:F45"/>
    <mergeCell ref="G45:N45"/>
    <mergeCell ref="O42:S42"/>
  </mergeCells>
  <phoneticPr fontId="2" type="noConversion"/>
  <conditionalFormatting sqref="T29 T24:Z27 U34:Z34 U28:Z29 T35:Z37 AB24:AB32 T30:Z32 AB34:AB37 AB39 T39:Z39">
    <cfRule type="cellIs" dxfId="289" priority="36" stopIfTrue="1" operator="greaterThanOrEqual">
      <formula>100</formula>
    </cfRule>
    <cfRule type="cellIs" dxfId="288" priority="37" stopIfTrue="1" operator="lessThan">
      <formula>100</formula>
    </cfRule>
  </conditionalFormatting>
  <conditionalFormatting sqref="AO30:AQ30 AD39:AF39 AG30:AN31 AO32:AQ32 AC27:AF32 AE36:AQ37 AC36:AD36 AC34:AF35 AO34:AQ35 AS32 AS34:AS37 AS30 AO39:AS39">
    <cfRule type="expression" dxfId="287" priority="38" stopIfTrue="1">
      <formula>AC27=""</formula>
    </cfRule>
  </conditionalFormatting>
  <conditionalFormatting sqref="T28 T34">
    <cfRule type="expression" dxfId="286" priority="39" stopIfTrue="1">
      <formula>T28&gt;=100</formula>
    </cfRule>
    <cfRule type="cellIs" dxfId="285" priority="40" stopIfTrue="1" operator="between">
      <formula>0</formula>
      <formula>99.99</formula>
    </cfRule>
    <cfRule type="expression" dxfId="284" priority="41" stopIfTrue="1">
      <formula>ISBLANK(T28)</formula>
    </cfRule>
  </conditionalFormatting>
  <conditionalFormatting sqref="AA24:AA32 AA34:AA37 AA39">
    <cfRule type="expression" dxfId="283" priority="42" stopIfTrue="1">
      <formula>OR(AA24="NA",AA24&lt;100.01)</formula>
    </cfRule>
    <cfRule type="expression" dxfId="282" priority="43" stopIfTrue="1">
      <formula>AND(NOT(AA24="NA"),AA24&gt;=100.01)</formula>
    </cfRule>
  </conditionalFormatting>
  <conditionalFormatting sqref="AC39 AC37:AD37">
    <cfRule type="expression" dxfId="281" priority="44" stopIfTrue="1">
      <formula>AC37=""</formula>
    </cfRule>
  </conditionalFormatting>
  <conditionalFormatting sqref="T41">
    <cfRule type="expression" dxfId="280" priority="62" stopIfTrue="1">
      <formula>T41="FA"</formula>
    </cfRule>
    <cfRule type="expression" dxfId="279" priority="63" stopIfTrue="1">
      <formula>OR(T41="PA",T41="NA")</formula>
    </cfRule>
    <cfRule type="expression" dxfId="278" priority="64" stopIfTrue="1">
      <formula>T41="CH"</formula>
    </cfRule>
  </conditionalFormatting>
  <conditionalFormatting sqref="AB47 T47:Z47">
    <cfRule type="cellIs" dxfId="277" priority="31" stopIfTrue="1" operator="greaterThanOrEqual">
      <formula>100</formula>
    </cfRule>
    <cfRule type="cellIs" dxfId="276" priority="32" stopIfTrue="1" operator="lessThan">
      <formula>100</formula>
    </cfRule>
  </conditionalFormatting>
  <conditionalFormatting sqref="AC47:AN47">
    <cfRule type="expression" dxfId="275" priority="33" stopIfTrue="1">
      <formula>AC47=""</formula>
    </cfRule>
  </conditionalFormatting>
  <conditionalFormatting sqref="AA47">
    <cfRule type="expression" dxfId="274" priority="34" stopIfTrue="1">
      <formula>OR(AA47="NA",AA47&lt;100.01)</formula>
    </cfRule>
    <cfRule type="expression" dxfId="273" priority="35" stopIfTrue="1">
      <formula>AND(NOT(AA47="NA"),AA47&gt;=100.01)</formula>
    </cfRule>
  </conditionalFormatting>
  <conditionalFormatting sqref="AO47:AQ47 AS47">
    <cfRule type="expression" dxfId="272" priority="30" stopIfTrue="1">
      <formula>AO47=""</formula>
    </cfRule>
  </conditionalFormatting>
  <conditionalFormatting sqref="AB48 T48:Z48">
    <cfRule type="cellIs" dxfId="271" priority="25" stopIfTrue="1" operator="greaterThanOrEqual">
      <formula>100</formula>
    </cfRule>
    <cfRule type="cellIs" dxfId="270" priority="26" stopIfTrue="1" operator="lessThan">
      <formula>100</formula>
    </cfRule>
  </conditionalFormatting>
  <conditionalFormatting sqref="AC48:AN48">
    <cfRule type="expression" dxfId="269" priority="27" stopIfTrue="1">
      <formula>AC48=""</formula>
    </cfRule>
  </conditionalFormatting>
  <conditionalFormatting sqref="AA48">
    <cfRule type="expression" dxfId="268" priority="28" stopIfTrue="1">
      <formula>OR(AA48="NA",AA48&lt;100.01)</formula>
    </cfRule>
    <cfRule type="expression" dxfId="267" priority="29" stopIfTrue="1">
      <formula>AND(NOT(AA48="NA"),AA48&gt;=100.01)</formula>
    </cfRule>
  </conditionalFormatting>
  <conditionalFormatting sqref="AO48:AQ48 AS48">
    <cfRule type="expression" dxfId="266" priority="24" stopIfTrue="1">
      <formula>AO48=""</formula>
    </cfRule>
  </conditionalFormatting>
  <conditionalFormatting sqref="T33">
    <cfRule type="cellIs" dxfId="265" priority="23" stopIfTrue="1" operator="equal">
      <formula>"CH"</formula>
    </cfRule>
    <cfRule type="expression" dxfId="264" priority="45" stopIfTrue="1">
      <formula>T33="FA"</formula>
    </cfRule>
    <cfRule type="expression" dxfId="263" priority="46" stopIfTrue="1">
      <formula>OR($T$33="PA",$T$33="NA")</formula>
    </cfRule>
  </conditionalFormatting>
  <conditionalFormatting sqref="T40">
    <cfRule type="cellIs" dxfId="262" priority="20" stopIfTrue="1" operator="equal">
      <formula>"CH"</formula>
    </cfRule>
    <cfRule type="expression" dxfId="261" priority="21" stopIfTrue="1">
      <formula>T40="FA"</formula>
    </cfRule>
    <cfRule type="expression" dxfId="260" priority="22" stopIfTrue="1">
      <formula>OR($T$40="PA",$T$40="NA")</formula>
    </cfRule>
  </conditionalFormatting>
  <conditionalFormatting sqref="T42">
    <cfRule type="cellIs" dxfId="259" priority="17" stopIfTrue="1" operator="equal">
      <formula>"CH"</formula>
    </cfRule>
    <cfRule type="expression" dxfId="258" priority="18" stopIfTrue="1">
      <formula>T42="FA"</formula>
    </cfRule>
    <cfRule type="expression" dxfId="257" priority="19" stopIfTrue="1">
      <formula>OR($T$42="PA",$T$42="NA")</formula>
    </cfRule>
  </conditionalFormatting>
  <conditionalFormatting sqref="T44">
    <cfRule type="cellIs" dxfId="256" priority="14" stopIfTrue="1" operator="equal">
      <formula>"CH"</formula>
    </cfRule>
    <cfRule type="expression" dxfId="255" priority="15" stopIfTrue="1">
      <formula>T44="FA"</formula>
    </cfRule>
    <cfRule type="expression" dxfId="254" priority="16" stopIfTrue="1">
      <formula>OR($T$44="PA",$T$44="NA")</formula>
    </cfRule>
  </conditionalFormatting>
  <conditionalFormatting sqref="T43">
    <cfRule type="cellIs" dxfId="253" priority="11" stopIfTrue="1" operator="equal">
      <formula>"CH"</formula>
    </cfRule>
    <cfRule type="expression" dxfId="252" priority="12" stopIfTrue="1">
      <formula>T43="FA"</formula>
    </cfRule>
    <cfRule type="expression" dxfId="251" priority="13" stopIfTrue="1">
      <formula>OR($T$40="PA",$T$40="NA")</formula>
    </cfRule>
  </conditionalFormatting>
  <conditionalFormatting sqref="AR30 AR32 AR34:AR37">
    <cfRule type="expression" dxfId="250" priority="10" stopIfTrue="1">
      <formula>AR30=""</formula>
    </cfRule>
  </conditionalFormatting>
  <conditionalFormatting sqref="AR47">
    <cfRule type="expression" dxfId="249" priority="9" stopIfTrue="1">
      <formula>AR47=""</formula>
    </cfRule>
  </conditionalFormatting>
  <conditionalFormatting sqref="AR48">
    <cfRule type="expression" dxfId="248" priority="8" stopIfTrue="1">
      <formula>AR48=""</formula>
    </cfRule>
  </conditionalFormatting>
  <conditionalFormatting sqref="AO38:AQ38 AS38">
    <cfRule type="expression" dxfId="247" priority="4" stopIfTrue="1">
      <formula>AO38=""</formula>
    </cfRule>
  </conditionalFormatting>
  <conditionalFormatting sqref="AR38">
    <cfRule type="expression" dxfId="246" priority="1" stopIfTrue="1">
      <formula>AR38=""</formula>
    </cfRule>
  </conditionalFormatting>
  <dataValidations count="1">
    <dataValidation type="list" allowBlank="1" showInputMessage="1" showErrorMessage="1" sqref="D17:J17" xr:uid="{00000000-0002-0000-0300-000000000000}">
      <formula1>"Internal Combustion, Electric Vehicle"</formula1>
    </dataValidation>
  </dataValidations>
  <hyperlinks>
    <hyperlink ref="G24:N24" location="'T2.9 Main Hoop Tubing'!A1" display="Main Roll Hoop Tubing" xr:uid="{00000000-0004-0000-0300-000000000000}"/>
    <hyperlink ref="G25:N25" location="'T2.10 Front Hoop Tubing'!A1" display="Front Roll Hoop Tubing" xr:uid="{00000000-0004-0000-0300-000001000000}"/>
    <hyperlink ref="G26:N26" location="'T2.11 Main Hoop Bracing'!A1" display="Main Roll Hoop Bracing Tubing" xr:uid="{00000000-0004-0000-0300-000002000000}"/>
    <hyperlink ref="G28:N28" location="'T2.12 T2.6 FHoop Bracing'!A1" display="Front Hoop Bracing - Tube Frames" xr:uid="{00000000-0004-0000-0300-000003000000}"/>
    <hyperlink ref="G29:N29" location="'T2.14 T2.6 Ft Bulkhead'!A1" display="Front Bulkhead - Tube Frames" xr:uid="{00000000-0004-0000-0300-000004000000}"/>
    <hyperlink ref="G30:N30" location="'T2.15 T2.6 FBH S''pt Structure'!A1" display="Front Bulkhead Support - Tube Frames" xr:uid="{00000000-0004-0000-0300-000005000000}"/>
    <hyperlink ref="G33:N33" location="'T2.20 IA AI Plate'!A1" display="Impact Attenuator Anti-Intrusion Plate" xr:uid="{00000000-0004-0000-0300-000006000000}"/>
    <hyperlink ref="G31:N31" location="'T2.16.1 T2.16.2 SIS'!A1" display="Side Impact Structure - Tube Frames" xr:uid="{00000000-0004-0000-0300-000007000000}"/>
    <hyperlink ref="G40:N40" location="'T2.17 Main Hoop Attachments'!A1" display="Main Hoop Attachment - Monocoques" xr:uid="{00000000-0004-0000-0300-000008000000}"/>
    <hyperlink ref="G41:N41" location="'T2.17 Front Hoop Attachments'!A1" display="Front Hoop Attachment - Monocoques" xr:uid="{00000000-0004-0000-0300-000009000000}"/>
    <hyperlink ref="G34:N34" location="'T2.12 T2.6 FHoop Bracing'!A1" display="Front Hoop Bracing - Monocoques" xr:uid="{00000000-0004-0000-0300-00000A000000}"/>
    <hyperlink ref="G35:N35" location="'T2.14 T2.6 Ft Bulkhead'!A1" display="Front Bulkhead - Monocoques" xr:uid="{00000000-0004-0000-0300-00000B000000}"/>
    <hyperlink ref="G36:N36" location="'T2.15 T2.6 FBH S''pt Structure'!A1" display="Front Bulkhead Support - Monocoques" xr:uid="{00000000-0004-0000-0300-00000C000000}"/>
    <hyperlink ref="G37:N37" location="'T2.16.1 T2.16.2 SIS'!A1" display="Side Impact Structure - Monocoques, Side" xr:uid="{00000000-0004-0000-0300-00000D000000}"/>
    <hyperlink ref="G44:N44" location="'T3.5 Harness Attachments'!A1" display="Safety Harness Attachment - Monocoques" xr:uid="{00000000-0004-0000-0300-00000E000000}"/>
    <hyperlink ref="G32:N32" location="'T4.5 Shoulder Harness Bar'!A1" display="Shoulder Harness Bar" xr:uid="{00000000-0004-0000-0300-00000F000000}"/>
    <hyperlink ref="G27:N27" location="'T2.11.5 T2.6 MHoop Brace Spt'!A1" display="Main Hoop Bracing Support - Tube Frames" xr:uid="{00000000-0004-0000-0300-000010000000}"/>
    <hyperlink ref="G39:N39" location="'T2.11.5 T2.6 MHoop Brace Spt'!A1" display="Main Hoop Bracing Support - Monocoques" xr:uid="{00000000-0004-0000-0300-000011000000}"/>
    <hyperlink ref="G42:N42" location="'T2.17 Hoop B''ing Attachments'!A1" display="Hoop Bracing Attach. - Monocoques" xr:uid="{00000000-0004-0000-0300-000012000000}"/>
    <hyperlink ref="G43:N43" location="'T2.18.5 IA Attachments'!A1" display="Impact Attenuator Attachment - Monocoques" xr:uid="{00000000-0004-0000-0300-000013000000}"/>
    <hyperlink ref="G46:N46" location="'EV6.5.12 Acc. Attachments'!A1" display="'EV6.5.12 Acc. Attachments'!A1" xr:uid="{00000000-0004-0000-0300-000014000000}"/>
    <hyperlink ref="G47:N47" location="'EV6.5.1&amp;3 Accumulator Protect.'!A1" display="'EV6.5.1&amp;3 Accumulator Protect.'!A1" xr:uid="{00000000-0004-0000-0300-000015000000}"/>
    <hyperlink ref="G48:N48" location="'EV5.4 Tract. System Prot''n'!A1" display="'EV5.4 Tract. System Prot''n'!A1" xr:uid="{00000000-0004-0000-0300-000016000000}"/>
    <hyperlink ref="B53" location="'Welded Tube Inserts'!A1" display="Holes &gt;4mm drilled in any regulated tubing require proof of equivalency, include area and moment of inertia" xr:uid="{00000000-0004-0000-0300-000017000000}"/>
    <hyperlink ref="B52" location="'T3.31 Laminate Test'!A1" display="Monocoque Laminate Test data and pictures" xr:uid="{00000000-0004-0000-0300-000018000000}"/>
    <hyperlink ref="B51" location="MaterialData!A1" display="Properties for all non-steel materials" xr:uid="{00000000-0004-0000-0300-000019000000}"/>
    <hyperlink ref="B50" location="'Additional Info'!A1" display="Receipt, letter of donation or proof for non-steel materials (composite, honeycomb, resin, etc)" xr:uid="{00000000-0004-0000-0300-00001A000000}"/>
    <hyperlink ref="G45:N45" location="'EV6.5.5&amp;6 Accumulator Container'!A1" display="'EV6.5.5&amp;6 Accumulator Container'!A1" xr:uid="{00000000-0004-0000-0300-00001B000000}"/>
    <hyperlink ref="G38:N38" location="'T2.16.1 T2.16.2 SIS'!A1" display="Side Impact Structure - Monocoques, Floor" xr:uid="{00000000-0004-0000-0300-00001C000000}"/>
    <hyperlink ref="B52:S52" location="'T2.6 Laminate Test'!A1" display="Monocoque Laminate Test data and pictures" xr:uid="{00000000-0004-0000-0300-00001D000000}"/>
  </hyperlinks>
  <printOptions horizontalCentered="1"/>
  <pageMargins left="0" right="0" top="0.39370078740157483" bottom="0.39370078740157483" header="0.51181102362204722" footer="0.51181102362204722"/>
  <pageSetup paperSize="9" scale="88" fitToWidth="2" orientation="portrait" r:id="rId1"/>
  <headerFooter alignWithMargins="0"/>
  <colBreaks count="1" manualBreakCount="1">
    <brk id="19" max="1048575" man="1"/>
  </col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L64"/>
  <sheetViews>
    <sheetView showGridLines="0" view="pageBreakPreview" zoomScaleNormal="100" zoomScaleSheetLayoutView="100" workbookViewId="0">
      <selection sqref="A1:S1"/>
    </sheetView>
  </sheetViews>
  <sheetFormatPr baseColWidth="10" defaultColWidth="9.140625" defaultRowHeight="12.75" x14ac:dyDescent="0.2"/>
  <cols>
    <col min="1" max="38" width="5" customWidth="1"/>
  </cols>
  <sheetData>
    <row r="1" spans="1:38" x14ac:dyDescent="0.2">
      <c r="A1" s="601" t="s">
        <v>630</v>
      </c>
      <c r="B1" s="601"/>
      <c r="C1" s="601"/>
      <c r="D1" s="601"/>
      <c r="E1" s="601"/>
      <c r="F1" s="601"/>
      <c r="G1" s="601"/>
      <c r="H1" s="601"/>
      <c r="I1" s="601"/>
      <c r="J1" s="601"/>
      <c r="K1" s="601"/>
      <c r="L1" s="601"/>
      <c r="M1" s="601"/>
      <c r="N1" s="601"/>
      <c r="O1" s="601"/>
      <c r="P1" s="601"/>
      <c r="Q1" s="601"/>
      <c r="R1" s="601"/>
      <c r="S1" s="601"/>
      <c r="T1" s="24"/>
      <c r="U1" s="25"/>
      <c r="V1" s="25"/>
      <c r="W1" s="25"/>
      <c r="X1" s="25"/>
      <c r="Y1" s="25"/>
      <c r="Z1" s="25"/>
      <c r="AA1" s="25"/>
      <c r="AB1" s="25"/>
      <c r="AC1" s="25"/>
      <c r="AD1" s="25"/>
      <c r="AE1" s="25"/>
      <c r="AF1" s="25"/>
      <c r="AG1" s="25"/>
      <c r="AH1" s="25"/>
      <c r="AI1" s="25"/>
      <c r="AJ1" s="25"/>
      <c r="AK1" s="25"/>
      <c r="AL1" s="26"/>
    </row>
    <row r="2" spans="1:38" x14ac:dyDescent="0.2">
      <c r="T2" s="30"/>
      <c r="U2" s="31"/>
      <c r="V2" s="31"/>
      <c r="W2" s="31"/>
      <c r="X2" s="31"/>
      <c r="Y2" s="31"/>
      <c r="Z2" s="31"/>
      <c r="AA2" s="31"/>
      <c r="AB2" s="31"/>
      <c r="AC2" s="31"/>
      <c r="AD2" s="31"/>
      <c r="AE2" s="31"/>
      <c r="AF2" s="31"/>
      <c r="AG2" s="31"/>
      <c r="AH2" s="31"/>
      <c r="AI2" s="31"/>
      <c r="AJ2" s="31"/>
      <c r="AK2" s="31"/>
      <c r="AL2" s="32"/>
    </row>
    <row r="3" spans="1:38" x14ac:dyDescent="0.2">
      <c r="A3" t="s">
        <v>47</v>
      </c>
      <c r="D3" s="637" t="str">
        <f>IF('Cover Sheet'!D14:J14&gt;0,'Cover Sheet'!D14:J14,"")</f>
        <v>EPSA</v>
      </c>
      <c r="E3" s="637"/>
      <c r="F3" s="637"/>
      <c r="G3" s="637"/>
      <c r="H3" s="637"/>
      <c r="I3" s="637"/>
      <c r="J3" s="637"/>
      <c r="K3" t="s">
        <v>48</v>
      </c>
      <c r="O3" s="637" t="str">
        <f>IF('Cover Sheet'!O14:S14&gt;0,'Cover Sheet'!O14:S14,"")</f>
        <v/>
      </c>
      <c r="P3" s="637"/>
      <c r="Q3" s="637"/>
      <c r="R3" s="637"/>
      <c r="S3" s="637"/>
      <c r="T3" s="30"/>
      <c r="U3" s="31"/>
      <c r="V3" s="31"/>
      <c r="W3" s="31"/>
      <c r="X3" s="31"/>
      <c r="Y3" s="31"/>
      <c r="Z3" s="31"/>
      <c r="AA3" s="31"/>
      <c r="AB3" s="31"/>
      <c r="AC3" s="31"/>
      <c r="AD3" s="31"/>
      <c r="AE3" s="31"/>
      <c r="AF3" s="31"/>
      <c r="AG3" s="31"/>
      <c r="AH3" s="31"/>
      <c r="AI3" s="31"/>
      <c r="AJ3" s="31"/>
      <c r="AK3" s="31"/>
      <c r="AL3" s="32"/>
    </row>
    <row r="4" spans="1:38" x14ac:dyDescent="0.2">
      <c r="T4" s="30"/>
      <c r="U4" s="31"/>
      <c r="V4" s="31"/>
      <c r="W4" s="31"/>
      <c r="X4" s="31"/>
      <c r="Y4" s="31"/>
      <c r="Z4" s="31"/>
      <c r="AA4" s="31"/>
      <c r="AB4" s="31"/>
      <c r="AC4" s="31"/>
      <c r="AD4" s="31"/>
      <c r="AE4" s="31"/>
      <c r="AF4" s="31"/>
      <c r="AG4" s="31"/>
      <c r="AH4" s="31"/>
      <c r="AI4" s="31"/>
      <c r="AJ4" s="31"/>
      <c r="AK4" s="31"/>
      <c r="AL4" s="32"/>
    </row>
    <row r="5" spans="1:38" ht="12.75" customHeight="1" x14ac:dyDescent="0.2">
      <c r="A5" s="631" t="s">
        <v>279</v>
      </c>
      <c r="B5" s="632"/>
      <c r="C5" s="632"/>
      <c r="D5" s="632"/>
      <c r="E5" s="632"/>
      <c r="F5" s="632"/>
      <c r="G5" s="632"/>
      <c r="H5" s="632"/>
      <c r="I5" s="632"/>
      <c r="J5" s="632"/>
      <c r="K5" s="632"/>
      <c r="L5" s="632"/>
      <c r="M5" s="632"/>
      <c r="N5" s="632"/>
      <c r="O5" s="632"/>
      <c r="P5" s="632"/>
      <c r="Q5" s="632"/>
      <c r="R5" s="632"/>
      <c r="S5" s="632"/>
      <c r="T5" s="30"/>
      <c r="U5" s="31"/>
      <c r="V5" s="31"/>
      <c r="W5" s="31"/>
      <c r="X5" s="31"/>
      <c r="Y5" s="31"/>
      <c r="Z5" s="31"/>
      <c r="AA5" s="31"/>
      <c r="AB5" s="31"/>
      <c r="AC5" s="31"/>
      <c r="AD5" s="31"/>
      <c r="AE5" s="31"/>
      <c r="AF5" s="31"/>
      <c r="AG5" s="31"/>
      <c r="AH5" s="31"/>
      <c r="AI5" s="31"/>
      <c r="AJ5" s="31"/>
      <c r="AK5" s="31"/>
      <c r="AL5" s="32"/>
    </row>
    <row r="6" spans="1:38" x14ac:dyDescent="0.2">
      <c r="A6" s="633"/>
      <c r="B6" s="634"/>
      <c r="C6" s="634"/>
      <c r="D6" s="634"/>
      <c r="E6" s="634"/>
      <c r="F6" s="634"/>
      <c r="G6" s="634"/>
      <c r="H6" s="634"/>
      <c r="I6" s="634"/>
      <c r="J6" s="634"/>
      <c r="K6" s="634"/>
      <c r="L6" s="634"/>
      <c r="M6" s="634"/>
      <c r="N6" s="634"/>
      <c r="O6" s="634"/>
      <c r="P6" s="634"/>
      <c r="Q6" s="634"/>
      <c r="R6" s="634"/>
      <c r="S6" s="634"/>
      <c r="T6" s="30"/>
      <c r="U6" s="31"/>
      <c r="V6" s="31"/>
      <c r="W6" s="31"/>
      <c r="X6" s="31"/>
      <c r="Y6" s="31"/>
      <c r="Z6" s="31"/>
      <c r="AA6" s="31"/>
      <c r="AB6" s="31"/>
      <c r="AC6" s="31"/>
      <c r="AD6" s="31"/>
      <c r="AE6" s="31"/>
      <c r="AF6" s="31"/>
      <c r="AG6" s="31"/>
      <c r="AH6" s="31"/>
      <c r="AI6" s="31"/>
      <c r="AJ6" s="31"/>
      <c r="AK6" s="31"/>
      <c r="AL6" s="32"/>
    </row>
    <row r="7" spans="1:38" x14ac:dyDescent="0.2">
      <c r="A7" s="633"/>
      <c r="B7" s="634"/>
      <c r="C7" s="634"/>
      <c r="D7" s="634"/>
      <c r="E7" s="634"/>
      <c r="F7" s="634"/>
      <c r="G7" s="634"/>
      <c r="H7" s="634"/>
      <c r="I7" s="634"/>
      <c r="J7" s="634"/>
      <c r="K7" s="634"/>
      <c r="L7" s="634"/>
      <c r="M7" s="634"/>
      <c r="N7" s="634"/>
      <c r="O7" s="634"/>
      <c r="P7" s="634"/>
      <c r="Q7" s="634"/>
      <c r="R7" s="634"/>
      <c r="S7" s="634"/>
      <c r="T7" s="30"/>
      <c r="U7" s="31"/>
      <c r="V7" s="31"/>
      <c r="W7" s="31"/>
      <c r="X7" s="31"/>
      <c r="Y7" s="31"/>
      <c r="Z7" s="31"/>
      <c r="AA7" s="31"/>
      <c r="AB7" s="31"/>
      <c r="AC7" s="31"/>
      <c r="AD7" s="31"/>
      <c r="AE7" s="31"/>
      <c r="AF7" s="31"/>
      <c r="AG7" s="31"/>
      <c r="AH7" s="31"/>
      <c r="AI7" s="31"/>
      <c r="AJ7" s="31"/>
      <c r="AK7" s="31"/>
      <c r="AL7" s="32"/>
    </row>
    <row r="8" spans="1:38" x14ac:dyDescent="0.2">
      <c r="A8" s="635"/>
      <c r="B8" s="636"/>
      <c r="C8" s="636"/>
      <c r="D8" s="636"/>
      <c r="E8" s="636"/>
      <c r="F8" s="636"/>
      <c r="G8" s="636"/>
      <c r="H8" s="636"/>
      <c r="I8" s="636"/>
      <c r="J8" s="636"/>
      <c r="K8" s="636"/>
      <c r="L8" s="636"/>
      <c r="M8" s="636"/>
      <c r="N8" s="636"/>
      <c r="O8" s="636"/>
      <c r="P8" s="636"/>
      <c r="Q8" s="636"/>
      <c r="R8" s="636"/>
      <c r="S8" s="636"/>
      <c r="T8" s="30"/>
      <c r="U8" s="31"/>
      <c r="V8" s="31"/>
      <c r="W8" s="31"/>
      <c r="X8" s="31"/>
      <c r="Y8" s="31"/>
      <c r="Z8" s="31"/>
      <c r="AA8" s="31"/>
      <c r="AB8" s="31"/>
      <c r="AC8" s="31"/>
      <c r="AD8" s="31"/>
      <c r="AE8" s="31"/>
      <c r="AF8" s="31"/>
      <c r="AG8" s="31"/>
      <c r="AH8" s="31"/>
      <c r="AI8" s="31"/>
      <c r="AJ8" s="31"/>
      <c r="AK8" s="31"/>
      <c r="AL8" s="32"/>
    </row>
    <row r="9" spans="1:38" x14ac:dyDescent="0.2">
      <c r="A9" s="219" t="s">
        <v>235</v>
      </c>
      <c r="B9" s="220"/>
      <c r="C9" s="220"/>
      <c r="D9" s="220"/>
      <c r="E9" s="220"/>
      <c r="F9" s="220"/>
      <c r="G9" s="220"/>
      <c r="H9" s="220"/>
      <c r="I9" s="220"/>
      <c r="J9" s="220"/>
      <c r="K9" s="220"/>
      <c r="L9" s="220"/>
      <c r="M9" s="220"/>
      <c r="N9" s="220"/>
      <c r="O9" s="220"/>
      <c r="P9" s="220"/>
      <c r="Q9" s="220"/>
      <c r="R9" s="220"/>
      <c r="S9" s="221"/>
      <c r="T9" s="30"/>
      <c r="U9" s="31"/>
      <c r="V9" s="31"/>
      <c r="W9" s="31"/>
      <c r="X9" s="31"/>
      <c r="Y9" s="31"/>
      <c r="Z9" s="31"/>
      <c r="AA9" s="31"/>
      <c r="AB9" s="31"/>
      <c r="AC9" s="31"/>
      <c r="AD9" s="31"/>
      <c r="AE9" s="31"/>
      <c r="AF9" s="31"/>
      <c r="AG9" s="31"/>
      <c r="AH9" s="31"/>
      <c r="AI9" s="31"/>
      <c r="AJ9" s="31"/>
      <c r="AK9" s="31"/>
      <c r="AL9" s="32"/>
    </row>
    <row r="10" spans="1:38" x14ac:dyDescent="0.2">
      <c r="A10" s="222" t="s">
        <v>515</v>
      </c>
      <c r="B10" s="223"/>
      <c r="C10" s="223"/>
      <c r="D10" s="223"/>
      <c r="E10" s="223"/>
      <c r="F10" s="223"/>
      <c r="G10" s="223"/>
      <c r="H10" s="223"/>
      <c r="I10" s="223"/>
      <c r="J10" s="223"/>
      <c r="K10" s="223"/>
      <c r="L10" s="223"/>
      <c r="M10" s="223"/>
      <c r="N10" s="223"/>
      <c r="O10" s="223"/>
      <c r="P10" s="223"/>
      <c r="Q10" s="223"/>
      <c r="R10" s="223"/>
      <c r="S10" s="224"/>
      <c r="T10" s="30"/>
      <c r="U10" s="31"/>
      <c r="V10" s="31"/>
      <c r="W10" s="31"/>
      <c r="X10" s="31"/>
      <c r="Y10" s="31"/>
      <c r="Z10" s="31"/>
      <c r="AA10" s="31"/>
      <c r="AB10" s="31"/>
      <c r="AC10" s="31"/>
      <c r="AD10" s="31"/>
      <c r="AE10" s="31"/>
      <c r="AF10" s="31"/>
      <c r="AG10" s="31"/>
      <c r="AH10" s="31"/>
      <c r="AI10" s="31"/>
      <c r="AJ10" s="31"/>
      <c r="AK10" s="31"/>
      <c r="AL10" s="32"/>
    </row>
    <row r="11" spans="1:38" x14ac:dyDescent="0.2">
      <c r="A11" s="222" t="s">
        <v>276</v>
      </c>
      <c r="B11" s="223"/>
      <c r="C11" s="223"/>
      <c r="D11" s="223"/>
      <c r="E11" s="223"/>
      <c r="F11" s="223"/>
      <c r="G11" s="223"/>
      <c r="H11" s="223"/>
      <c r="I11" s="223"/>
      <c r="J11" s="223"/>
      <c r="K11" s="223"/>
      <c r="L11" s="223"/>
      <c r="M11" s="223"/>
      <c r="N11" s="223"/>
      <c r="O11" s="223"/>
      <c r="P11" s="223"/>
      <c r="Q11" s="223"/>
      <c r="R11" s="223"/>
      <c r="S11" s="224"/>
      <c r="T11" s="30"/>
      <c r="U11" s="31"/>
      <c r="V11" s="31"/>
      <c r="W11" s="31"/>
      <c r="X11" s="31"/>
      <c r="Y11" s="31"/>
      <c r="Z11" s="31"/>
      <c r="AA11" s="31"/>
      <c r="AB11" s="31"/>
      <c r="AC11" s="31"/>
      <c r="AD11" s="31"/>
      <c r="AE11" s="31"/>
      <c r="AF11" s="31"/>
      <c r="AG11" s="31"/>
      <c r="AH11" s="31"/>
      <c r="AI11" s="31"/>
      <c r="AJ11" s="31"/>
      <c r="AK11" s="31"/>
      <c r="AL11" s="32"/>
    </row>
    <row r="12" spans="1:38" x14ac:dyDescent="0.2">
      <c r="A12" s="222" t="s">
        <v>234</v>
      </c>
      <c r="B12" s="223"/>
      <c r="C12" s="223"/>
      <c r="D12" s="223"/>
      <c r="E12" s="223"/>
      <c r="F12" s="223"/>
      <c r="G12" s="223"/>
      <c r="H12" s="223"/>
      <c r="I12" s="223"/>
      <c r="J12" s="223"/>
      <c r="K12" s="223"/>
      <c r="L12" s="223"/>
      <c r="M12" s="223"/>
      <c r="N12" s="223"/>
      <c r="O12" s="223"/>
      <c r="P12" s="223"/>
      <c r="Q12" s="223"/>
      <c r="R12" s="223"/>
      <c r="S12" s="224"/>
      <c r="T12" s="30"/>
      <c r="U12" s="31"/>
      <c r="V12" s="31"/>
      <c r="W12" s="31"/>
      <c r="X12" s="31"/>
      <c r="Y12" s="31"/>
      <c r="Z12" s="31"/>
      <c r="AA12" s="31"/>
      <c r="AB12" s="31"/>
      <c r="AC12" s="31"/>
      <c r="AD12" s="31"/>
      <c r="AE12" s="31"/>
      <c r="AF12" s="31"/>
      <c r="AG12" s="31"/>
      <c r="AH12" s="31"/>
      <c r="AI12" s="31"/>
      <c r="AJ12" s="31"/>
      <c r="AK12" s="31"/>
      <c r="AL12" s="32"/>
    </row>
    <row r="13" spans="1:38" x14ac:dyDescent="0.2">
      <c r="A13" s="222" t="s">
        <v>233</v>
      </c>
      <c r="B13" s="223"/>
      <c r="C13" s="223"/>
      <c r="D13" s="223"/>
      <c r="E13" s="223"/>
      <c r="F13" s="223"/>
      <c r="G13" s="223"/>
      <c r="H13" s="223"/>
      <c r="I13" s="223"/>
      <c r="J13" s="223"/>
      <c r="K13" s="223"/>
      <c r="L13" s="223"/>
      <c r="M13" s="223"/>
      <c r="N13" s="223"/>
      <c r="O13" s="223"/>
      <c r="P13" s="223"/>
      <c r="Q13" s="223"/>
      <c r="R13" s="223"/>
      <c r="S13" s="224"/>
      <c r="T13" s="30"/>
      <c r="U13" s="31"/>
      <c r="V13" s="31"/>
      <c r="W13" s="31"/>
      <c r="X13" s="31"/>
      <c r="Y13" s="31"/>
      <c r="Z13" s="31"/>
      <c r="AA13" s="31"/>
      <c r="AB13" s="31"/>
      <c r="AC13" s="31"/>
      <c r="AD13" s="31"/>
      <c r="AE13" s="31"/>
      <c r="AF13" s="31"/>
      <c r="AG13" s="31"/>
      <c r="AH13" s="31"/>
      <c r="AI13" s="31"/>
      <c r="AJ13" s="31"/>
      <c r="AK13" s="31"/>
      <c r="AL13" s="32"/>
    </row>
    <row r="14" spans="1:38" x14ac:dyDescent="0.2">
      <c r="A14" s="225" t="s">
        <v>278</v>
      </c>
      <c r="B14" s="226"/>
      <c r="C14" s="226"/>
      <c r="D14" s="226"/>
      <c r="E14" s="226"/>
      <c r="F14" s="226"/>
      <c r="G14" s="226"/>
      <c r="H14" s="226"/>
      <c r="I14" s="226"/>
      <c r="J14" s="226"/>
      <c r="K14" s="226"/>
      <c r="L14" s="226"/>
      <c r="M14" s="226"/>
      <c r="N14" s="226"/>
      <c r="O14" s="226"/>
      <c r="P14" s="226"/>
      <c r="Q14" s="226"/>
      <c r="R14" s="226"/>
      <c r="S14" s="227"/>
      <c r="T14" s="30"/>
      <c r="U14" s="31"/>
      <c r="V14" s="31"/>
      <c r="W14" s="31"/>
      <c r="X14" s="31"/>
      <c r="Y14" s="31"/>
      <c r="Z14" s="31"/>
      <c r="AA14" s="31"/>
      <c r="AB14" s="31"/>
      <c r="AC14" s="31"/>
      <c r="AD14" s="31"/>
      <c r="AE14" s="31"/>
      <c r="AF14" s="31"/>
      <c r="AG14" s="31"/>
      <c r="AH14" s="31"/>
      <c r="AI14" s="31"/>
      <c r="AJ14" s="31"/>
      <c r="AK14" s="31"/>
      <c r="AL14" s="32"/>
    </row>
    <row r="15" spans="1:38" ht="27.75" customHeight="1" x14ac:dyDescent="0.2">
      <c r="A15" s="628" t="s">
        <v>514</v>
      </c>
      <c r="B15" s="629"/>
      <c r="C15" s="629"/>
      <c r="D15" s="629"/>
      <c r="E15" s="629"/>
      <c r="F15" s="629"/>
      <c r="G15" s="629"/>
      <c r="H15" s="629"/>
      <c r="I15" s="629"/>
      <c r="J15" s="629"/>
      <c r="K15" s="629"/>
      <c r="L15" s="629"/>
      <c r="M15" s="629"/>
      <c r="N15" s="629"/>
      <c r="O15" s="629"/>
      <c r="P15" s="629"/>
      <c r="Q15" s="629"/>
      <c r="R15" s="629"/>
      <c r="S15" s="630"/>
      <c r="T15" s="30"/>
      <c r="U15" s="31"/>
      <c r="V15" s="31"/>
      <c r="W15" s="31"/>
      <c r="X15" s="31"/>
      <c r="Y15" s="31"/>
      <c r="Z15" s="31"/>
      <c r="AA15" s="31"/>
      <c r="AB15" s="31"/>
      <c r="AC15" s="31"/>
      <c r="AD15" s="31"/>
      <c r="AE15" s="31"/>
      <c r="AF15" s="31"/>
      <c r="AG15" s="31"/>
      <c r="AH15" s="31"/>
      <c r="AI15" s="31"/>
      <c r="AJ15" s="31"/>
      <c r="AK15" s="31"/>
      <c r="AL15" s="32"/>
    </row>
    <row r="16" spans="1:38" ht="27.75" customHeight="1" x14ac:dyDescent="0.2">
      <c r="A16" s="628" t="s">
        <v>277</v>
      </c>
      <c r="B16" s="629"/>
      <c r="C16" s="629"/>
      <c r="D16" s="629"/>
      <c r="E16" s="629"/>
      <c r="F16" s="629"/>
      <c r="G16" s="629"/>
      <c r="H16" s="629"/>
      <c r="I16" s="629"/>
      <c r="J16" s="629"/>
      <c r="K16" s="629"/>
      <c r="L16" s="629"/>
      <c r="M16" s="629"/>
      <c r="N16" s="629"/>
      <c r="O16" s="629"/>
      <c r="P16" s="629"/>
      <c r="Q16" s="629"/>
      <c r="R16" s="629"/>
      <c r="S16" s="630"/>
      <c r="T16" s="30"/>
      <c r="U16" s="31"/>
      <c r="V16" s="31"/>
      <c r="W16" s="31"/>
      <c r="X16" s="31"/>
      <c r="Y16" s="31"/>
      <c r="Z16" s="31"/>
      <c r="AA16" s="31"/>
      <c r="AB16" s="31"/>
      <c r="AC16" s="31"/>
      <c r="AD16" s="31"/>
      <c r="AE16" s="31"/>
      <c r="AF16" s="31"/>
      <c r="AG16" s="31"/>
      <c r="AH16" s="31"/>
      <c r="AI16" s="31"/>
      <c r="AJ16" s="31"/>
      <c r="AK16" s="31"/>
      <c r="AL16" s="32"/>
    </row>
    <row r="17" spans="1:38" x14ac:dyDescent="0.2">
      <c r="A17" s="48"/>
      <c r="B17" s="49"/>
      <c r="C17" s="49"/>
      <c r="D17" s="49"/>
      <c r="E17" s="49"/>
      <c r="F17" s="49"/>
      <c r="G17" s="49"/>
      <c r="H17" s="49"/>
      <c r="I17" s="49"/>
      <c r="J17" s="49"/>
      <c r="K17" s="49"/>
      <c r="L17" s="49"/>
      <c r="M17" s="49"/>
      <c r="N17" s="49"/>
      <c r="O17" s="49"/>
      <c r="P17" s="49"/>
      <c r="Q17" s="49"/>
      <c r="R17" s="49"/>
      <c r="S17" s="68"/>
      <c r="T17" s="30"/>
      <c r="U17" s="31"/>
      <c r="V17" s="31"/>
      <c r="W17" s="31"/>
      <c r="X17" s="31"/>
      <c r="Y17" s="31"/>
      <c r="Z17" s="31"/>
      <c r="AA17" s="31"/>
      <c r="AB17" s="31"/>
      <c r="AC17" s="31"/>
      <c r="AD17" s="31"/>
      <c r="AE17" s="31"/>
      <c r="AF17" s="31"/>
      <c r="AG17" s="31"/>
      <c r="AH17" s="31"/>
      <c r="AI17" s="31"/>
      <c r="AJ17" s="31"/>
      <c r="AK17" s="31"/>
      <c r="AL17" s="32"/>
    </row>
    <row r="18" spans="1:38" x14ac:dyDescent="0.2">
      <c r="A18" s="48"/>
      <c r="B18" s="49"/>
      <c r="C18" s="49"/>
      <c r="D18" s="49"/>
      <c r="E18" s="49"/>
      <c r="F18" s="49"/>
      <c r="G18" s="49"/>
      <c r="H18" s="49"/>
      <c r="I18" s="49"/>
      <c r="J18" s="49"/>
      <c r="K18" s="49"/>
      <c r="L18" s="49"/>
      <c r="M18" s="49"/>
      <c r="N18" s="49"/>
      <c r="O18" s="49"/>
      <c r="P18" s="49"/>
      <c r="Q18" s="49"/>
      <c r="R18" s="49"/>
      <c r="S18" s="68"/>
      <c r="T18" s="30"/>
      <c r="U18" s="31"/>
      <c r="V18" s="31"/>
      <c r="W18" s="31"/>
      <c r="X18" s="31"/>
      <c r="Y18" s="31"/>
      <c r="Z18" s="31"/>
      <c r="AA18" s="31"/>
      <c r="AB18" s="31"/>
      <c r="AC18" s="31"/>
      <c r="AD18" s="31"/>
      <c r="AE18" s="31"/>
      <c r="AF18" s="31"/>
      <c r="AG18" s="31"/>
      <c r="AH18" s="31"/>
      <c r="AI18" s="31"/>
      <c r="AJ18" s="31"/>
      <c r="AK18" s="31"/>
      <c r="AL18" s="32"/>
    </row>
    <row r="19" spans="1:38" x14ac:dyDescent="0.2">
      <c r="A19" s="48"/>
      <c r="B19" s="49"/>
      <c r="C19" s="49"/>
      <c r="D19" s="49"/>
      <c r="E19" s="49"/>
      <c r="F19" s="49"/>
      <c r="G19" s="49"/>
      <c r="H19" s="49"/>
      <c r="I19" s="49"/>
      <c r="J19" s="49"/>
      <c r="K19" s="49"/>
      <c r="L19" s="49"/>
      <c r="M19" s="49"/>
      <c r="N19" s="49"/>
      <c r="O19" s="49"/>
      <c r="P19" s="49"/>
      <c r="Q19" s="49"/>
      <c r="R19" s="49"/>
      <c r="S19" s="68"/>
      <c r="T19" s="30"/>
      <c r="U19" s="31"/>
      <c r="V19" s="31"/>
      <c r="W19" s="31"/>
      <c r="X19" s="31"/>
      <c r="Y19" s="31"/>
      <c r="Z19" s="31"/>
      <c r="AA19" s="31"/>
      <c r="AB19" s="31"/>
      <c r="AC19" s="31"/>
      <c r="AD19" s="31"/>
      <c r="AE19" s="31"/>
      <c r="AF19" s="31"/>
      <c r="AG19" s="31"/>
      <c r="AH19" s="31"/>
      <c r="AI19" s="31"/>
      <c r="AJ19" s="31"/>
      <c r="AK19" s="31"/>
      <c r="AL19" s="32"/>
    </row>
    <row r="20" spans="1:38" x14ac:dyDescent="0.2">
      <c r="A20" s="48"/>
      <c r="B20" s="49"/>
      <c r="C20" s="49"/>
      <c r="D20" s="49"/>
      <c r="E20" s="49"/>
      <c r="F20" s="49"/>
      <c r="G20" s="49"/>
      <c r="H20" s="49"/>
      <c r="I20" s="49"/>
      <c r="J20" s="49"/>
      <c r="K20" s="49"/>
      <c r="L20" s="49"/>
      <c r="M20" s="49"/>
      <c r="N20" s="49"/>
      <c r="O20" s="49"/>
      <c r="P20" s="49"/>
      <c r="Q20" s="49"/>
      <c r="R20" s="49"/>
      <c r="S20" s="68"/>
      <c r="T20" s="30"/>
      <c r="U20" s="31"/>
      <c r="V20" s="31"/>
      <c r="W20" s="31"/>
      <c r="X20" s="31"/>
      <c r="Y20" s="31"/>
      <c r="Z20" s="31"/>
      <c r="AA20" s="31"/>
      <c r="AB20" s="31"/>
      <c r="AC20" s="31"/>
      <c r="AD20" s="31"/>
      <c r="AE20" s="31"/>
      <c r="AF20" s="31"/>
      <c r="AG20" s="31"/>
      <c r="AH20" s="31"/>
      <c r="AI20" s="31"/>
      <c r="AJ20" s="31"/>
      <c r="AK20" s="31"/>
      <c r="AL20" s="32"/>
    </row>
    <row r="21" spans="1:38" x14ac:dyDescent="0.2">
      <c r="A21" s="48"/>
      <c r="B21" s="49"/>
      <c r="C21" s="49"/>
      <c r="D21" s="49"/>
      <c r="E21" s="49"/>
      <c r="F21" s="49"/>
      <c r="G21" s="49"/>
      <c r="H21" s="49"/>
      <c r="I21" s="49"/>
      <c r="J21" s="49"/>
      <c r="K21" s="49"/>
      <c r="L21" s="49"/>
      <c r="M21" s="49"/>
      <c r="N21" s="49"/>
      <c r="O21" s="49"/>
      <c r="P21" s="49"/>
      <c r="Q21" s="49"/>
      <c r="R21" s="49"/>
      <c r="S21" s="68"/>
      <c r="T21" s="30"/>
      <c r="U21" s="31"/>
      <c r="V21" s="31"/>
      <c r="W21" s="31"/>
      <c r="X21" s="31"/>
      <c r="Y21" s="31"/>
      <c r="Z21" s="31"/>
      <c r="AA21" s="31"/>
      <c r="AB21" s="31"/>
      <c r="AC21" s="31"/>
      <c r="AD21" s="31"/>
      <c r="AE21" s="31"/>
      <c r="AF21" s="31"/>
      <c r="AG21" s="31"/>
      <c r="AH21" s="31"/>
      <c r="AI21" s="31"/>
      <c r="AJ21" s="31"/>
      <c r="AK21" s="31"/>
      <c r="AL21" s="32"/>
    </row>
    <row r="22" spans="1:38" x14ac:dyDescent="0.2">
      <c r="A22" s="48"/>
      <c r="B22" s="49"/>
      <c r="C22" s="49"/>
      <c r="D22" s="49"/>
      <c r="E22" s="49"/>
      <c r="F22" s="49"/>
      <c r="G22" s="49"/>
      <c r="H22" s="49"/>
      <c r="I22" s="49"/>
      <c r="J22" s="49"/>
      <c r="K22" s="49"/>
      <c r="L22" s="49"/>
      <c r="M22" s="49"/>
      <c r="N22" s="49"/>
      <c r="O22" s="49"/>
      <c r="P22" s="49"/>
      <c r="Q22" s="49"/>
      <c r="R22" s="49"/>
      <c r="S22" s="68"/>
      <c r="T22" s="30"/>
      <c r="U22" s="31"/>
      <c r="V22" s="31"/>
      <c r="W22" s="31"/>
      <c r="X22" s="31"/>
      <c r="Y22" s="31"/>
      <c r="Z22" s="31"/>
      <c r="AA22" s="31"/>
      <c r="AB22" s="31"/>
      <c r="AC22" s="31"/>
      <c r="AD22" s="31"/>
      <c r="AE22" s="31"/>
      <c r="AF22" s="31"/>
      <c r="AG22" s="31"/>
      <c r="AH22" s="31"/>
      <c r="AI22" s="31"/>
      <c r="AJ22" s="31"/>
      <c r="AK22" s="31"/>
      <c r="AL22" s="32"/>
    </row>
    <row r="23" spans="1:38" x14ac:dyDescent="0.2">
      <c r="A23" s="48"/>
      <c r="B23" s="49"/>
      <c r="C23" s="49"/>
      <c r="D23" s="49"/>
      <c r="E23" s="49"/>
      <c r="F23" s="49"/>
      <c r="G23" s="49"/>
      <c r="H23" s="49"/>
      <c r="I23" s="49"/>
      <c r="J23" s="49"/>
      <c r="K23" s="49"/>
      <c r="L23" s="49"/>
      <c r="M23" s="49"/>
      <c r="N23" s="49"/>
      <c r="O23" s="49"/>
      <c r="P23" s="49"/>
      <c r="Q23" s="49"/>
      <c r="R23" s="49"/>
      <c r="S23" s="68"/>
      <c r="T23" s="30"/>
      <c r="U23" s="31"/>
      <c r="V23" s="31"/>
      <c r="W23" s="31"/>
      <c r="X23" s="31"/>
      <c r="Y23" s="31"/>
      <c r="Z23" s="31"/>
      <c r="AA23" s="31"/>
      <c r="AB23" s="31"/>
      <c r="AC23" s="31"/>
      <c r="AD23" s="31"/>
      <c r="AE23" s="31"/>
      <c r="AF23" s="31"/>
      <c r="AG23" s="31"/>
      <c r="AH23" s="31"/>
      <c r="AI23" s="31"/>
      <c r="AJ23" s="31"/>
      <c r="AK23" s="31"/>
      <c r="AL23" s="32"/>
    </row>
    <row r="24" spans="1:38" x14ac:dyDescent="0.2">
      <c r="A24" s="48"/>
      <c r="B24" s="49"/>
      <c r="C24" s="49"/>
      <c r="D24" s="49"/>
      <c r="E24" s="49"/>
      <c r="F24" s="49"/>
      <c r="G24" s="49"/>
      <c r="H24" s="49"/>
      <c r="I24" s="49"/>
      <c r="J24" s="49"/>
      <c r="K24" s="49"/>
      <c r="L24" s="49"/>
      <c r="M24" s="49"/>
      <c r="N24" s="49"/>
      <c r="O24" s="49"/>
      <c r="P24" s="49"/>
      <c r="Q24" s="49"/>
      <c r="R24" s="49"/>
      <c r="S24" s="68"/>
      <c r="T24" s="30"/>
      <c r="U24" s="31"/>
      <c r="V24" s="31"/>
      <c r="W24" s="31"/>
      <c r="X24" s="31"/>
      <c r="Y24" s="31"/>
      <c r="Z24" s="31"/>
      <c r="AA24" s="31"/>
      <c r="AB24" s="31"/>
      <c r="AC24" s="31"/>
      <c r="AD24" s="31"/>
      <c r="AE24" s="31"/>
      <c r="AF24" s="31"/>
      <c r="AG24" s="31"/>
      <c r="AH24" s="31"/>
      <c r="AI24" s="31"/>
      <c r="AJ24" s="31"/>
      <c r="AK24" s="31"/>
      <c r="AL24" s="32"/>
    </row>
    <row r="25" spans="1:38" x14ac:dyDescent="0.2">
      <c r="A25" s="48"/>
      <c r="B25" s="49"/>
      <c r="C25" s="49"/>
      <c r="D25" s="49"/>
      <c r="E25" s="49"/>
      <c r="F25" s="49"/>
      <c r="G25" s="49"/>
      <c r="H25" s="49"/>
      <c r="I25" s="49"/>
      <c r="J25" s="49"/>
      <c r="K25" s="49"/>
      <c r="L25" s="49"/>
      <c r="M25" s="49"/>
      <c r="N25" s="49"/>
      <c r="O25" s="49"/>
      <c r="P25" s="49"/>
      <c r="Q25" s="49"/>
      <c r="R25" s="49"/>
      <c r="S25" s="68"/>
      <c r="T25" s="30"/>
      <c r="U25" s="31"/>
      <c r="V25" s="31"/>
      <c r="W25" s="31"/>
      <c r="X25" s="31"/>
      <c r="Y25" s="31"/>
      <c r="Z25" s="31"/>
      <c r="AA25" s="31"/>
      <c r="AB25" s="31"/>
      <c r="AC25" s="31"/>
      <c r="AD25" s="31"/>
      <c r="AE25" s="31"/>
      <c r="AF25" s="31"/>
      <c r="AG25" s="31"/>
      <c r="AH25" s="31"/>
      <c r="AI25" s="31"/>
      <c r="AJ25" s="31"/>
      <c r="AK25" s="31"/>
      <c r="AL25" s="32"/>
    </row>
    <row r="26" spans="1:38" x14ac:dyDescent="0.2">
      <c r="A26" s="48"/>
      <c r="B26" s="49"/>
      <c r="C26" s="49"/>
      <c r="D26" s="49"/>
      <c r="E26" s="49"/>
      <c r="F26" s="49"/>
      <c r="G26" s="49"/>
      <c r="H26" s="49"/>
      <c r="I26" s="49"/>
      <c r="J26" s="49"/>
      <c r="K26" s="49"/>
      <c r="L26" s="49"/>
      <c r="M26" s="49"/>
      <c r="N26" s="49"/>
      <c r="O26" s="49"/>
      <c r="P26" s="49"/>
      <c r="Q26" s="49"/>
      <c r="R26" s="49"/>
      <c r="S26" s="68"/>
      <c r="T26" s="30"/>
      <c r="U26" s="31"/>
      <c r="V26" s="31"/>
      <c r="W26" s="31"/>
      <c r="X26" s="31"/>
      <c r="Y26" s="31"/>
      <c r="Z26" s="31"/>
      <c r="AA26" s="31"/>
      <c r="AB26" s="31"/>
      <c r="AC26" s="31"/>
      <c r="AD26" s="31"/>
      <c r="AE26" s="31"/>
      <c r="AF26" s="31"/>
      <c r="AG26" s="31"/>
      <c r="AH26" s="31"/>
      <c r="AI26" s="31"/>
      <c r="AJ26" s="31"/>
      <c r="AK26" s="31"/>
      <c r="AL26" s="32"/>
    </row>
    <row r="27" spans="1:38" x14ac:dyDescent="0.2">
      <c r="A27" s="48"/>
      <c r="B27" s="49"/>
      <c r="C27" s="49"/>
      <c r="D27" s="49"/>
      <c r="E27" s="49"/>
      <c r="F27" s="49"/>
      <c r="G27" s="49"/>
      <c r="H27" s="49"/>
      <c r="I27" s="49"/>
      <c r="J27" s="49"/>
      <c r="K27" s="49"/>
      <c r="L27" s="49"/>
      <c r="M27" s="49"/>
      <c r="N27" s="49"/>
      <c r="O27" s="49"/>
      <c r="P27" s="49"/>
      <c r="Q27" s="49"/>
      <c r="R27" s="49"/>
      <c r="S27" s="68"/>
      <c r="T27" s="30"/>
      <c r="U27" s="31"/>
      <c r="V27" s="31"/>
      <c r="W27" s="31"/>
      <c r="X27" s="31"/>
      <c r="Y27" s="31"/>
      <c r="Z27" s="31"/>
      <c r="AA27" s="31"/>
      <c r="AB27" s="31"/>
      <c r="AC27" s="31"/>
      <c r="AD27" s="31"/>
      <c r="AE27" s="31"/>
      <c r="AF27" s="31"/>
      <c r="AG27" s="31"/>
      <c r="AH27" s="31"/>
      <c r="AI27" s="31"/>
      <c r="AJ27" s="31"/>
      <c r="AK27" s="31"/>
      <c r="AL27" s="32"/>
    </row>
    <row r="28" spans="1:38" x14ac:dyDescent="0.2">
      <c r="A28" s="48"/>
      <c r="B28" s="49"/>
      <c r="C28" s="49"/>
      <c r="D28" s="49"/>
      <c r="E28" s="49"/>
      <c r="F28" s="49"/>
      <c r="G28" s="49"/>
      <c r="H28" s="49"/>
      <c r="I28" s="49"/>
      <c r="J28" s="49"/>
      <c r="K28" s="49"/>
      <c r="L28" s="49"/>
      <c r="M28" s="49"/>
      <c r="N28" s="49"/>
      <c r="O28" s="49"/>
      <c r="P28" s="49"/>
      <c r="Q28" s="49"/>
      <c r="R28" s="49"/>
      <c r="S28" s="68"/>
      <c r="T28" s="30"/>
      <c r="U28" s="31"/>
      <c r="V28" s="31"/>
      <c r="W28" s="31"/>
      <c r="X28" s="31"/>
      <c r="Y28" s="31"/>
      <c r="Z28" s="31"/>
      <c r="AA28" s="31"/>
      <c r="AB28" s="31"/>
      <c r="AC28" s="31"/>
      <c r="AD28" s="31"/>
      <c r="AE28" s="31"/>
      <c r="AF28" s="31"/>
      <c r="AG28" s="31"/>
      <c r="AH28" s="31"/>
      <c r="AI28" s="31"/>
      <c r="AJ28" s="31"/>
      <c r="AK28" s="31"/>
      <c r="AL28" s="32"/>
    </row>
    <row r="29" spans="1:38" x14ac:dyDescent="0.2">
      <c r="A29" s="48"/>
      <c r="B29" s="49"/>
      <c r="C29" s="49"/>
      <c r="D29" s="49"/>
      <c r="E29" s="49"/>
      <c r="F29" s="49"/>
      <c r="G29" s="49"/>
      <c r="H29" s="49"/>
      <c r="I29" s="49"/>
      <c r="J29" s="49"/>
      <c r="K29" s="49"/>
      <c r="L29" s="49"/>
      <c r="M29" s="49"/>
      <c r="N29" s="49"/>
      <c r="O29" s="49"/>
      <c r="P29" s="49"/>
      <c r="Q29" s="49"/>
      <c r="R29" s="49"/>
      <c r="S29" s="68"/>
      <c r="T29" s="30"/>
      <c r="U29" s="31"/>
      <c r="V29" s="31"/>
      <c r="W29" s="31"/>
      <c r="X29" s="31"/>
      <c r="Y29" s="31"/>
      <c r="Z29" s="31"/>
      <c r="AA29" s="31"/>
      <c r="AB29" s="31"/>
      <c r="AC29" s="31"/>
      <c r="AD29" s="31"/>
      <c r="AE29" s="31"/>
      <c r="AF29" s="31"/>
      <c r="AG29" s="31"/>
      <c r="AH29" s="31"/>
      <c r="AI29" s="31"/>
      <c r="AJ29" s="31"/>
      <c r="AK29" s="31"/>
      <c r="AL29" s="32"/>
    </row>
    <row r="30" spans="1:38" x14ac:dyDescent="0.2">
      <c r="A30" s="48"/>
      <c r="B30" s="49"/>
      <c r="C30" s="49"/>
      <c r="D30" s="49"/>
      <c r="E30" s="49"/>
      <c r="F30" s="49"/>
      <c r="G30" s="49"/>
      <c r="H30" s="49"/>
      <c r="I30" s="49"/>
      <c r="J30" s="49"/>
      <c r="K30" s="49"/>
      <c r="L30" s="49"/>
      <c r="M30" s="49"/>
      <c r="N30" s="49"/>
      <c r="O30" s="49"/>
      <c r="P30" s="49"/>
      <c r="Q30" s="49"/>
      <c r="R30" s="49"/>
      <c r="S30" s="68"/>
      <c r="T30" s="30"/>
      <c r="U30" s="31"/>
      <c r="V30" s="31"/>
      <c r="W30" s="31"/>
      <c r="X30" s="31"/>
      <c r="Y30" s="31"/>
      <c r="Z30" s="31"/>
      <c r="AA30" s="31"/>
      <c r="AB30" s="31"/>
      <c r="AC30" s="31"/>
      <c r="AD30" s="31"/>
      <c r="AE30" s="31"/>
      <c r="AF30" s="31"/>
      <c r="AG30" s="31"/>
      <c r="AH30" s="31"/>
      <c r="AI30" s="31"/>
      <c r="AJ30" s="31"/>
      <c r="AK30" s="31"/>
      <c r="AL30" s="32"/>
    </row>
    <row r="31" spans="1:38" x14ac:dyDescent="0.2">
      <c r="A31" s="48"/>
      <c r="B31" s="49"/>
      <c r="C31" s="49"/>
      <c r="D31" s="49"/>
      <c r="E31" s="49"/>
      <c r="F31" s="49"/>
      <c r="G31" s="49"/>
      <c r="H31" s="49"/>
      <c r="I31" s="49"/>
      <c r="J31" s="49"/>
      <c r="K31" s="49"/>
      <c r="L31" s="49"/>
      <c r="M31" s="49"/>
      <c r="N31" s="49"/>
      <c r="O31" s="49"/>
      <c r="P31" s="49"/>
      <c r="Q31" s="49"/>
      <c r="R31" s="49"/>
      <c r="S31" s="68"/>
      <c r="T31" s="30"/>
      <c r="U31" s="31"/>
      <c r="V31" s="31"/>
      <c r="W31" s="31"/>
      <c r="X31" s="31"/>
      <c r="Y31" s="31"/>
      <c r="Z31" s="31"/>
      <c r="AA31" s="31"/>
      <c r="AB31" s="31"/>
      <c r="AC31" s="31"/>
      <c r="AD31" s="31"/>
      <c r="AE31" s="31"/>
      <c r="AF31" s="31"/>
      <c r="AG31" s="31"/>
      <c r="AH31" s="31"/>
      <c r="AI31" s="31"/>
      <c r="AJ31" s="31"/>
      <c r="AK31" s="31"/>
      <c r="AL31" s="32"/>
    </row>
    <row r="32" spans="1:38" x14ac:dyDescent="0.2">
      <c r="A32" s="48"/>
      <c r="B32" s="49"/>
      <c r="C32" s="49"/>
      <c r="D32" s="49"/>
      <c r="E32" s="49"/>
      <c r="F32" s="49"/>
      <c r="G32" s="49"/>
      <c r="H32" s="49"/>
      <c r="I32" s="49"/>
      <c r="J32" s="49"/>
      <c r="K32" s="49"/>
      <c r="L32" s="49"/>
      <c r="M32" s="49"/>
      <c r="N32" s="49"/>
      <c r="O32" s="49"/>
      <c r="P32" s="49"/>
      <c r="Q32" s="49"/>
      <c r="R32" s="49"/>
      <c r="S32" s="68"/>
      <c r="T32" s="30"/>
      <c r="U32" s="31"/>
      <c r="V32" s="31"/>
      <c r="W32" s="31"/>
      <c r="X32" s="31"/>
      <c r="Y32" s="31"/>
      <c r="Z32" s="31"/>
      <c r="AA32" s="31"/>
      <c r="AB32" s="31"/>
      <c r="AC32" s="31"/>
      <c r="AD32" s="31"/>
      <c r="AE32" s="31"/>
      <c r="AF32" s="31"/>
      <c r="AG32" s="31"/>
      <c r="AH32" s="31"/>
      <c r="AI32" s="31"/>
      <c r="AJ32" s="31"/>
      <c r="AK32" s="31"/>
      <c r="AL32" s="32"/>
    </row>
    <row r="33" spans="1:38" x14ac:dyDescent="0.2">
      <c r="A33" s="48"/>
      <c r="B33" s="49"/>
      <c r="C33" s="49"/>
      <c r="D33" s="49"/>
      <c r="E33" s="49"/>
      <c r="F33" s="49"/>
      <c r="G33" s="49"/>
      <c r="H33" s="49"/>
      <c r="I33" s="49"/>
      <c r="J33" s="49"/>
      <c r="K33" s="49"/>
      <c r="L33" s="49"/>
      <c r="M33" s="49"/>
      <c r="N33" s="49"/>
      <c r="O33" s="49"/>
      <c r="P33" s="49"/>
      <c r="Q33" s="49"/>
      <c r="R33" s="49"/>
      <c r="S33" s="68"/>
      <c r="T33" s="30"/>
      <c r="U33" s="31"/>
      <c r="V33" s="31"/>
      <c r="W33" s="31"/>
      <c r="X33" s="31"/>
      <c r="Y33" s="31"/>
      <c r="Z33" s="31"/>
      <c r="AA33" s="31"/>
      <c r="AB33" s="31"/>
      <c r="AC33" s="31"/>
      <c r="AD33" s="31"/>
      <c r="AE33" s="31"/>
      <c r="AF33" s="31"/>
      <c r="AG33" s="31"/>
      <c r="AH33" s="31"/>
      <c r="AI33" s="31"/>
      <c r="AJ33" s="31"/>
      <c r="AK33" s="31"/>
      <c r="AL33" s="32"/>
    </row>
    <row r="34" spans="1:38" x14ac:dyDescent="0.2">
      <c r="A34" s="48"/>
      <c r="B34" s="49"/>
      <c r="C34" s="49"/>
      <c r="D34" s="49"/>
      <c r="E34" s="49"/>
      <c r="F34" s="49"/>
      <c r="G34" s="49"/>
      <c r="H34" s="49"/>
      <c r="I34" s="49"/>
      <c r="J34" s="49"/>
      <c r="K34" s="49"/>
      <c r="L34" s="49"/>
      <c r="M34" s="49"/>
      <c r="N34" s="49"/>
      <c r="O34" s="49"/>
      <c r="P34" s="49"/>
      <c r="Q34" s="49"/>
      <c r="R34" s="49"/>
      <c r="S34" s="68"/>
      <c r="T34" s="30"/>
      <c r="U34" s="31"/>
      <c r="V34" s="31"/>
      <c r="W34" s="31"/>
      <c r="X34" s="31"/>
      <c r="Y34" s="31"/>
      <c r="Z34" s="31"/>
      <c r="AA34" s="31"/>
      <c r="AB34" s="31"/>
      <c r="AC34" s="31"/>
      <c r="AD34" s="31"/>
      <c r="AE34" s="31"/>
      <c r="AF34" s="31"/>
      <c r="AG34" s="31"/>
      <c r="AH34" s="31"/>
      <c r="AI34" s="31"/>
      <c r="AJ34" s="31"/>
      <c r="AK34" s="31"/>
      <c r="AL34" s="32"/>
    </row>
    <row r="35" spans="1:38" x14ac:dyDescent="0.2">
      <c r="A35" s="48"/>
      <c r="B35" s="49"/>
      <c r="C35" s="49"/>
      <c r="D35" s="49"/>
      <c r="E35" s="49"/>
      <c r="F35" s="49"/>
      <c r="G35" s="49"/>
      <c r="H35" s="49"/>
      <c r="I35" s="49"/>
      <c r="J35" s="49"/>
      <c r="K35" s="49"/>
      <c r="L35" s="49"/>
      <c r="M35" s="49"/>
      <c r="N35" s="49"/>
      <c r="O35" s="49"/>
      <c r="P35" s="49"/>
      <c r="Q35" s="49"/>
      <c r="R35" s="49"/>
      <c r="S35" s="68"/>
      <c r="T35" s="30"/>
      <c r="U35" s="31"/>
      <c r="V35" s="31"/>
      <c r="W35" s="31"/>
      <c r="X35" s="31"/>
      <c r="Y35" s="31"/>
      <c r="Z35" s="31"/>
      <c r="AA35" s="31"/>
      <c r="AB35" s="31"/>
      <c r="AC35" s="31"/>
      <c r="AD35" s="31"/>
      <c r="AE35" s="31"/>
      <c r="AF35" s="31"/>
      <c r="AG35" s="31"/>
      <c r="AH35" s="31"/>
      <c r="AI35" s="31"/>
      <c r="AJ35" s="31"/>
      <c r="AK35" s="31"/>
      <c r="AL35" s="32"/>
    </row>
    <row r="36" spans="1:38" x14ac:dyDescent="0.2">
      <c r="A36" s="48"/>
      <c r="B36" s="49"/>
      <c r="C36" s="49"/>
      <c r="D36" s="49"/>
      <c r="E36" s="49"/>
      <c r="F36" s="49"/>
      <c r="G36" s="49"/>
      <c r="H36" s="49"/>
      <c r="I36" s="49"/>
      <c r="J36" s="49"/>
      <c r="K36" s="49"/>
      <c r="L36" s="49"/>
      <c r="M36" s="49"/>
      <c r="N36" s="49"/>
      <c r="O36" s="49"/>
      <c r="P36" s="49"/>
      <c r="Q36" s="49"/>
      <c r="R36" s="49"/>
      <c r="S36" s="68"/>
      <c r="T36" s="30"/>
      <c r="U36" s="31"/>
      <c r="V36" s="31"/>
      <c r="W36" s="31"/>
      <c r="X36" s="31"/>
      <c r="Y36" s="31"/>
      <c r="Z36" s="31"/>
      <c r="AA36" s="31"/>
      <c r="AB36" s="31"/>
      <c r="AC36" s="31"/>
      <c r="AD36" s="31"/>
      <c r="AE36" s="31"/>
      <c r="AF36" s="31"/>
      <c r="AG36" s="31"/>
      <c r="AH36" s="31"/>
      <c r="AI36" s="31"/>
      <c r="AJ36" s="31"/>
      <c r="AK36" s="31"/>
      <c r="AL36" s="32"/>
    </row>
    <row r="37" spans="1:38" x14ac:dyDescent="0.2">
      <c r="A37" s="48"/>
      <c r="B37" s="49"/>
      <c r="C37" s="49"/>
      <c r="D37" s="49"/>
      <c r="E37" s="49"/>
      <c r="F37" s="49"/>
      <c r="G37" s="49"/>
      <c r="H37" s="49"/>
      <c r="I37" s="49"/>
      <c r="J37" s="49"/>
      <c r="K37" s="49"/>
      <c r="L37" s="49"/>
      <c r="M37" s="49"/>
      <c r="N37" s="49"/>
      <c r="O37" s="49"/>
      <c r="P37" s="49"/>
      <c r="Q37" s="49"/>
      <c r="R37" s="49"/>
      <c r="S37" s="68"/>
      <c r="T37" s="30"/>
      <c r="U37" s="31"/>
      <c r="V37" s="31"/>
      <c r="W37" s="31"/>
      <c r="X37" s="31"/>
      <c r="Y37" s="31"/>
      <c r="Z37" s="31"/>
      <c r="AA37" s="31"/>
      <c r="AB37" s="31"/>
      <c r="AC37" s="31"/>
      <c r="AD37" s="31"/>
      <c r="AE37" s="31"/>
      <c r="AF37" s="31"/>
      <c r="AG37" s="31"/>
      <c r="AH37" s="31"/>
      <c r="AI37" s="31"/>
      <c r="AJ37" s="31"/>
      <c r="AK37" s="31"/>
      <c r="AL37" s="32"/>
    </row>
    <row r="38" spans="1:38" x14ac:dyDescent="0.2">
      <c r="A38" s="48"/>
      <c r="B38" s="49"/>
      <c r="C38" s="49"/>
      <c r="D38" s="49"/>
      <c r="E38" s="49"/>
      <c r="F38" s="49"/>
      <c r="G38" s="49"/>
      <c r="H38" s="49"/>
      <c r="I38" s="49"/>
      <c r="J38" s="49"/>
      <c r="K38" s="49"/>
      <c r="L38" s="49"/>
      <c r="M38" s="49"/>
      <c r="N38" s="49"/>
      <c r="O38" s="49"/>
      <c r="P38" s="49"/>
      <c r="Q38" s="49"/>
      <c r="R38" s="49"/>
      <c r="S38" s="68"/>
      <c r="T38" s="30"/>
      <c r="U38" s="31"/>
      <c r="V38" s="31"/>
      <c r="W38" s="31"/>
      <c r="X38" s="31"/>
      <c r="Y38" s="31"/>
      <c r="Z38" s="31"/>
      <c r="AA38" s="31"/>
      <c r="AB38" s="31"/>
      <c r="AC38" s="31"/>
      <c r="AD38" s="31"/>
      <c r="AE38" s="31"/>
      <c r="AF38" s="31"/>
      <c r="AG38" s="31"/>
      <c r="AH38" s="31"/>
      <c r="AI38" s="31"/>
      <c r="AJ38" s="31"/>
      <c r="AK38" s="31"/>
      <c r="AL38" s="32"/>
    </row>
    <row r="39" spans="1:38" x14ac:dyDescent="0.2">
      <c r="A39" s="48"/>
      <c r="B39" s="49"/>
      <c r="C39" s="49"/>
      <c r="D39" s="49"/>
      <c r="E39" s="49"/>
      <c r="F39" s="49"/>
      <c r="G39" s="49"/>
      <c r="H39" s="49"/>
      <c r="I39" s="49"/>
      <c r="J39" s="49"/>
      <c r="K39" s="49"/>
      <c r="L39" s="49"/>
      <c r="M39" s="49"/>
      <c r="N39" s="49"/>
      <c r="O39" s="49"/>
      <c r="P39" s="49"/>
      <c r="Q39" s="49"/>
      <c r="R39" s="49"/>
      <c r="S39" s="68"/>
      <c r="T39" s="30"/>
      <c r="U39" s="31"/>
      <c r="V39" s="31"/>
      <c r="W39" s="31"/>
      <c r="X39" s="31"/>
      <c r="Y39" s="31"/>
      <c r="Z39" s="31"/>
      <c r="AA39" s="31"/>
      <c r="AB39" s="31"/>
      <c r="AC39" s="31"/>
      <c r="AD39" s="31"/>
      <c r="AE39" s="31"/>
      <c r="AF39" s="31"/>
      <c r="AG39" s="31"/>
      <c r="AH39" s="31"/>
      <c r="AI39" s="31"/>
      <c r="AJ39" s="31"/>
      <c r="AK39" s="31"/>
      <c r="AL39" s="32"/>
    </row>
    <row r="40" spans="1:38" x14ac:dyDescent="0.2">
      <c r="A40" s="48"/>
      <c r="B40" s="49"/>
      <c r="C40" s="49"/>
      <c r="D40" s="49"/>
      <c r="E40" s="49"/>
      <c r="F40" s="49"/>
      <c r="G40" s="49"/>
      <c r="H40" s="49"/>
      <c r="I40" s="49"/>
      <c r="J40" s="49"/>
      <c r="K40" s="49"/>
      <c r="L40" s="49"/>
      <c r="M40" s="49"/>
      <c r="N40" s="49"/>
      <c r="O40" s="49"/>
      <c r="P40" s="49"/>
      <c r="Q40" s="49"/>
      <c r="R40" s="49"/>
      <c r="S40" s="68"/>
      <c r="T40" s="30"/>
      <c r="U40" s="31"/>
      <c r="V40" s="31"/>
      <c r="W40" s="31"/>
      <c r="X40" s="31"/>
      <c r="Y40" s="31"/>
      <c r="Z40" s="31"/>
      <c r="AA40" s="31"/>
      <c r="AB40" s="31"/>
      <c r="AC40" s="31"/>
      <c r="AD40" s="31"/>
      <c r="AE40" s="31"/>
      <c r="AF40" s="31"/>
      <c r="AG40" s="31"/>
      <c r="AH40" s="31"/>
      <c r="AI40" s="31"/>
      <c r="AJ40" s="31"/>
      <c r="AK40" s="31"/>
      <c r="AL40" s="32"/>
    </row>
    <row r="41" spans="1:38" x14ac:dyDescent="0.2">
      <c r="A41" s="48"/>
      <c r="B41" s="49"/>
      <c r="C41" s="49"/>
      <c r="D41" s="49"/>
      <c r="E41" s="49"/>
      <c r="F41" s="49"/>
      <c r="G41" s="49"/>
      <c r="H41" s="49"/>
      <c r="I41" s="49"/>
      <c r="J41" s="49"/>
      <c r="K41" s="49"/>
      <c r="L41" s="49"/>
      <c r="M41" s="49"/>
      <c r="N41" s="49"/>
      <c r="O41" s="49"/>
      <c r="P41" s="49"/>
      <c r="Q41" s="49"/>
      <c r="R41" s="49"/>
      <c r="S41" s="68"/>
      <c r="T41" s="30"/>
      <c r="U41" s="31"/>
      <c r="V41" s="31"/>
      <c r="W41" s="31"/>
      <c r="X41" s="31"/>
      <c r="Y41" s="31"/>
      <c r="Z41" s="31"/>
      <c r="AA41" s="31"/>
      <c r="AB41" s="31"/>
      <c r="AC41" s="31"/>
      <c r="AD41" s="31"/>
      <c r="AE41" s="31"/>
      <c r="AF41" s="31"/>
      <c r="AG41" s="31"/>
      <c r="AH41" s="31"/>
      <c r="AI41" s="31"/>
      <c r="AJ41" s="31"/>
      <c r="AK41" s="31"/>
      <c r="AL41" s="32"/>
    </row>
    <row r="42" spans="1:38" x14ac:dyDescent="0.2">
      <c r="A42" s="48"/>
      <c r="B42" s="49"/>
      <c r="C42" s="49"/>
      <c r="D42" s="49"/>
      <c r="E42" s="49"/>
      <c r="F42" s="49"/>
      <c r="G42" s="49"/>
      <c r="H42" s="49"/>
      <c r="I42" s="49"/>
      <c r="J42" s="49"/>
      <c r="K42" s="49"/>
      <c r="L42" s="49"/>
      <c r="M42" s="49"/>
      <c r="N42" s="49"/>
      <c r="O42" s="49"/>
      <c r="P42" s="49"/>
      <c r="Q42" s="49"/>
      <c r="R42" s="49"/>
      <c r="S42" s="68"/>
      <c r="T42" s="30"/>
      <c r="U42" s="31"/>
      <c r="V42" s="31"/>
      <c r="W42" s="31"/>
      <c r="X42" s="31"/>
      <c r="Y42" s="31"/>
      <c r="Z42" s="31"/>
      <c r="AA42" s="31"/>
      <c r="AB42" s="31"/>
      <c r="AC42" s="31"/>
      <c r="AD42" s="31"/>
      <c r="AE42" s="31"/>
      <c r="AF42" s="31"/>
      <c r="AG42" s="31"/>
      <c r="AH42" s="31"/>
      <c r="AI42" s="31"/>
      <c r="AJ42" s="31"/>
      <c r="AK42" s="31"/>
      <c r="AL42" s="32"/>
    </row>
    <row r="43" spans="1:38" x14ac:dyDescent="0.2">
      <c r="A43" s="48"/>
      <c r="B43" s="49"/>
      <c r="C43" s="49"/>
      <c r="D43" s="49"/>
      <c r="E43" s="49"/>
      <c r="F43" s="49"/>
      <c r="G43" s="49"/>
      <c r="H43" s="49"/>
      <c r="I43" s="49"/>
      <c r="J43" s="49"/>
      <c r="K43" s="49"/>
      <c r="L43" s="49"/>
      <c r="M43" s="49"/>
      <c r="N43" s="49"/>
      <c r="O43" s="49"/>
      <c r="P43" s="49"/>
      <c r="Q43" s="49"/>
      <c r="R43" s="49"/>
      <c r="S43" s="68"/>
      <c r="T43" s="30"/>
      <c r="U43" s="31"/>
      <c r="V43" s="31"/>
      <c r="W43" s="31"/>
      <c r="X43" s="31"/>
      <c r="Y43" s="31"/>
      <c r="Z43" s="31"/>
      <c r="AA43" s="31"/>
      <c r="AB43" s="31"/>
      <c r="AC43" s="31"/>
      <c r="AD43" s="31"/>
      <c r="AE43" s="31"/>
      <c r="AF43" s="31"/>
      <c r="AG43" s="31"/>
      <c r="AH43" s="31"/>
      <c r="AI43" s="31"/>
      <c r="AJ43" s="31"/>
      <c r="AK43" s="31"/>
      <c r="AL43" s="32"/>
    </row>
    <row r="44" spans="1:38" x14ac:dyDescent="0.2">
      <c r="A44" s="48"/>
      <c r="B44" s="49"/>
      <c r="C44" s="49"/>
      <c r="D44" s="49"/>
      <c r="E44" s="49"/>
      <c r="F44" s="49"/>
      <c r="G44" s="49"/>
      <c r="H44" s="49"/>
      <c r="I44" s="49"/>
      <c r="J44" s="49"/>
      <c r="K44" s="49"/>
      <c r="L44" s="49"/>
      <c r="M44" s="49"/>
      <c r="N44" s="49"/>
      <c r="O44" s="49"/>
      <c r="P44" s="49"/>
      <c r="Q44" s="49"/>
      <c r="R44" s="49"/>
      <c r="S44" s="68"/>
      <c r="T44" s="30"/>
      <c r="U44" s="31"/>
      <c r="V44" s="31"/>
      <c r="W44" s="31"/>
      <c r="X44" s="31"/>
      <c r="Y44" s="31"/>
      <c r="Z44" s="31"/>
      <c r="AA44" s="31"/>
      <c r="AB44" s="31"/>
      <c r="AC44" s="31"/>
      <c r="AD44" s="31"/>
      <c r="AE44" s="31"/>
      <c r="AF44" s="31"/>
      <c r="AG44" s="31"/>
      <c r="AH44" s="31"/>
      <c r="AI44" s="31"/>
      <c r="AJ44" s="31"/>
      <c r="AK44" s="31"/>
      <c r="AL44" s="32"/>
    </row>
    <row r="45" spans="1:38" x14ac:dyDescent="0.2">
      <c r="A45" s="48"/>
      <c r="B45" s="49"/>
      <c r="C45" s="49"/>
      <c r="D45" s="49"/>
      <c r="E45" s="49"/>
      <c r="F45" s="49"/>
      <c r="G45" s="49"/>
      <c r="H45" s="49"/>
      <c r="I45" s="49"/>
      <c r="J45" s="49"/>
      <c r="K45" s="49"/>
      <c r="L45" s="49"/>
      <c r="M45" s="49"/>
      <c r="N45" s="49"/>
      <c r="O45" s="49"/>
      <c r="P45" s="49"/>
      <c r="Q45" s="49"/>
      <c r="R45" s="49"/>
      <c r="S45" s="68"/>
      <c r="T45" s="30"/>
      <c r="U45" s="31"/>
      <c r="V45" s="31"/>
      <c r="W45" s="31"/>
      <c r="X45" s="31"/>
      <c r="Y45" s="31"/>
      <c r="Z45" s="31"/>
      <c r="AA45" s="31"/>
      <c r="AB45" s="31"/>
      <c r="AC45" s="31"/>
      <c r="AD45" s="31"/>
      <c r="AE45" s="31"/>
      <c r="AF45" s="31"/>
      <c r="AG45" s="31"/>
      <c r="AH45" s="31"/>
      <c r="AI45" s="31"/>
      <c r="AJ45" s="31"/>
      <c r="AK45" s="31"/>
      <c r="AL45" s="32"/>
    </row>
    <row r="46" spans="1:38" x14ac:dyDescent="0.2">
      <c r="A46" s="48"/>
      <c r="B46" s="49"/>
      <c r="C46" s="49"/>
      <c r="D46" s="49"/>
      <c r="E46" s="49"/>
      <c r="F46" s="49"/>
      <c r="G46" s="49"/>
      <c r="H46" s="49"/>
      <c r="I46" s="49"/>
      <c r="J46" s="49"/>
      <c r="K46" s="49"/>
      <c r="L46" s="49"/>
      <c r="M46" s="49"/>
      <c r="N46" s="49"/>
      <c r="O46" s="49"/>
      <c r="P46" s="49"/>
      <c r="Q46" s="49"/>
      <c r="R46" s="49"/>
      <c r="S46" s="68"/>
      <c r="T46" s="30"/>
      <c r="U46" s="31"/>
      <c r="V46" s="31"/>
      <c r="W46" s="31"/>
      <c r="X46" s="31"/>
      <c r="Y46" s="31"/>
      <c r="Z46" s="31"/>
      <c r="AA46" s="31"/>
      <c r="AB46" s="31"/>
      <c r="AC46" s="31"/>
      <c r="AD46" s="31"/>
      <c r="AE46" s="31"/>
      <c r="AF46" s="31"/>
      <c r="AG46" s="31"/>
      <c r="AH46" s="31"/>
      <c r="AI46" s="31"/>
      <c r="AJ46" s="31"/>
      <c r="AK46" s="31"/>
      <c r="AL46" s="32"/>
    </row>
    <row r="47" spans="1:38" x14ac:dyDescent="0.2">
      <c r="A47" s="48"/>
      <c r="B47" s="49"/>
      <c r="C47" s="49"/>
      <c r="D47" s="49"/>
      <c r="E47" s="49"/>
      <c r="F47" s="49"/>
      <c r="G47" s="49"/>
      <c r="H47" s="49"/>
      <c r="I47" s="49"/>
      <c r="J47" s="49"/>
      <c r="K47" s="49"/>
      <c r="L47" s="49"/>
      <c r="M47" s="49"/>
      <c r="N47" s="49"/>
      <c r="O47" s="49"/>
      <c r="P47" s="49"/>
      <c r="Q47" s="49"/>
      <c r="R47" s="49"/>
      <c r="S47" s="68"/>
      <c r="T47" s="30"/>
      <c r="U47" s="31"/>
      <c r="V47" s="31"/>
      <c r="W47" s="31"/>
      <c r="X47" s="31"/>
      <c r="Y47" s="31"/>
      <c r="Z47" s="31"/>
      <c r="AA47" s="31"/>
      <c r="AB47" s="31"/>
      <c r="AC47" s="31"/>
      <c r="AD47" s="31"/>
      <c r="AE47" s="31"/>
      <c r="AF47" s="31"/>
      <c r="AG47" s="31"/>
      <c r="AH47" s="31"/>
      <c r="AI47" s="31"/>
      <c r="AJ47" s="31"/>
      <c r="AK47" s="31"/>
      <c r="AL47" s="32"/>
    </row>
    <row r="48" spans="1:38" x14ac:dyDescent="0.2">
      <c r="A48" s="48"/>
      <c r="B48" s="49"/>
      <c r="C48" s="49"/>
      <c r="D48" s="49"/>
      <c r="E48" s="49"/>
      <c r="F48" s="49"/>
      <c r="G48" s="49"/>
      <c r="H48" s="49"/>
      <c r="I48" s="49"/>
      <c r="J48" s="49"/>
      <c r="K48" s="49"/>
      <c r="L48" s="49"/>
      <c r="M48" s="49"/>
      <c r="N48" s="49"/>
      <c r="O48" s="49"/>
      <c r="P48" s="49"/>
      <c r="Q48" s="49"/>
      <c r="R48" s="49"/>
      <c r="S48" s="68"/>
      <c r="T48" s="30"/>
      <c r="U48" s="31"/>
      <c r="V48" s="31"/>
      <c r="W48" s="31"/>
      <c r="X48" s="31"/>
      <c r="Y48" s="31"/>
      <c r="Z48" s="31"/>
      <c r="AA48" s="31"/>
      <c r="AB48" s="31"/>
      <c r="AC48" s="31"/>
      <c r="AD48" s="31"/>
      <c r="AE48" s="31"/>
      <c r="AF48" s="31"/>
      <c r="AG48" s="31"/>
      <c r="AH48" s="31"/>
      <c r="AI48" s="31"/>
      <c r="AJ48" s="31"/>
      <c r="AK48" s="31"/>
      <c r="AL48" s="32"/>
    </row>
    <row r="49" spans="1:38" x14ac:dyDescent="0.2">
      <c r="A49" s="48"/>
      <c r="B49" s="49"/>
      <c r="C49" s="49"/>
      <c r="D49" s="49"/>
      <c r="E49" s="49"/>
      <c r="F49" s="49"/>
      <c r="G49" s="49"/>
      <c r="H49" s="49"/>
      <c r="I49" s="49"/>
      <c r="J49" s="49"/>
      <c r="K49" s="49"/>
      <c r="L49" s="49"/>
      <c r="M49" s="49"/>
      <c r="N49" s="49"/>
      <c r="O49" s="49"/>
      <c r="P49" s="49"/>
      <c r="Q49" s="49"/>
      <c r="R49" s="49"/>
      <c r="S49" s="68"/>
      <c r="T49" s="30"/>
      <c r="U49" s="31"/>
      <c r="V49" s="31"/>
      <c r="W49" s="31"/>
      <c r="X49" s="31"/>
      <c r="Y49" s="31"/>
      <c r="Z49" s="31"/>
      <c r="AA49" s="31"/>
      <c r="AB49" s="31"/>
      <c r="AC49" s="31"/>
      <c r="AD49" s="31"/>
      <c r="AE49" s="31"/>
      <c r="AF49" s="31"/>
      <c r="AG49" s="31"/>
      <c r="AH49" s="31"/>
      <c r="AI49" s="31"/>
      <c r="AJ49" s="31"/>
      <c r="AK49" s="31"/>
      <c r="AL49" s="32"/>
    </row>
    <row r="50" spans="1:38" x14ac:dyDescent="0.2">
      <c r="A50" s="48"/>
      <c r="B50" s="49"/>
      <c r="C50" s="49"/>
      <c r="D50" s="49"/>
      <c r="E50" s="49"/>
      <c r="F50" s="49"/>
      <c r="G50" s="49"/>
      <c r="H50" s="49"/>
      <c r="I50" s="49"/>
      <c r="J50" s="49"/>
      <c r="K50" s="49"/>
      <c r="L50" s="49"/>
      <c r="M50" s="49"/>
      <c r="N50" s="49"/>
      <c r="O50" s="49"/>
      <c r="P50" s="49"/>
      <c r="Q50" s="49"/>
      <c r="R50" s="49"/>
      <c r="S50" s="68"/>
      <c r="T50" s="30"/>
      <c r="U50" s="31"/>
      <c r="V50" s="31"/>
      <c r="W50" s="31"/>
      <c r="X50" s="31"/>
      <c r="Y50" s="31"/>
      <c r="Z50" s="31"/>
      <c r="AA50" s="31"/>
      <c r="AB50" s="31"/>
      <c r="AC50" s="31"/>
      <c r="AD50" s="31"/>
      <c r="AE50" s="31"/>
      <c r="AF50" s="31"/>
      <c r="AG50" s="31"/>
      <c r="AH50" s="31"/>
      <c r="AI50" s="31"/>
      <c r="AJ50" s="31"/>
      <c r="AK50" s="31"/>
      <c r="AL50" s="32"/>
    </row>
    <row r="51" spans="1:38" x14ac:dyDescent="0.2">
      <c r="A51" s="48"/>
      <c r="B51" s="49"/>
      <c r="C51" s="49"/>
      <c r="D51" s="49"/>
      <c r="E51" s="49"/>
      <c r="F51" s="49"/>
      <c r="G51" s="49"/>
      <c r="H51" s="49"/>
      <c r="I51" s="49"/>
      <c r="J51" s="49"/>
      <c r="K51" s="49"/>
      <c r="L51" s="49"/>
      <c r="M51" s="49"/>
      <c r="N51" s="49"/>
      <c r="O51" s="49"/>
      <c r="P51" s="49"/>
      <c r="Q51" s="49"/>
      <c r="R51" s="49"/>
      <c r="S51" s="68"/>
      <c r="T51" s="30"/>
      <c r="U51" s="31"/>
      <c r="V51" s="31"/>
      <c r="W51" s="31"/>
      <c r="X51" s="31"/>
      <c r="Y51" s="31"/>
      <c r="Z51" s="31"/>
      <c r="AA51" s="31"/>
      <c r="AB51" s="31"/>
      <c r="AC51" s="31"/>
      <c r="AD51" s="31"/>
      <c r="AE51" s="31"/>
      <c r="AF51" s="31"/>
      <c r="AG51" s="31"/>
      <c r="AH51" s="31"/>
      <c r="AI51" s="31"/>
      <c r="AJ51" s="31"/>
      <c r="AK51" s="31"/>
      <c r="AL51" s="32"/>
    </row>
    <row r="52" spans="1:38" x14ac:dyDescent="0.2">
      <c r="A52" s="48"/>
      <c r="B52" s="49"/>
      <c r="C52" s="49"/>
      <c r="D52" s="49"/>
      <c r="E52" s="49"/>
      <c r="F52" s="49"/>
      <c r="G52" s="49"/>
      <c r="H52" s="49"/>
      <c r="I52" s="49"/>
      <c r="J52" s="49"/>
      <c r="K52" s="49"/>
      <c r="L52" s="49"/>
      <c r="M52" s="49"/>
      <c r="N52" s="49"/>
      <c r="O52" s="49"/>
      <c r="P52" s="49"/>
      <c r="Q52" s="49"/>
      <c r="R52" s="49"/>
      <c r="S52" s="68"/>
      <c r="T52" s="30"/>
      <c r="U52" s="31"/>
      <c r="V52" s="31"/>
      <c r="W52" s="31"/>
      <c r="X52" s="31"/>
      <c r="Y52" s="31"/>
      <c r="Z52" s="31"/>
      <c r="AA52" s="31"/>
      <c r="AB52" s="31"/>
      <c r="AC52" s="31"/>
      <c r="AD52" s="31"/>
      <c r="AE52" s="31"/>
      <c r="AF52" s="31"/>
      <c r="AG52" s="31"/>
      <c r="AH52" s="31"/>
      <c r="AI52" s="31"/>
      <c r="AJ52" s="31"/>
      <c r="AK52" s="31"/>
      <c r="AL52" s="32"/>
    </row>
    <row r="53" spans="1:38" x14ac:dyDescent="0.2">
      <c r="A53" s="48"/>
      <c r="B53" s="49"/>
      <c r="C53" s="49"/>
      <c r="D53" s="49"/>
      <c r="E53" s="49"/>
      <c r="F53" s="49"/>
      <c r="G53" s="49"/>
      <c r="H53" s="49"/>
      <c r="I53" s="49"/>
      <c r="J53" s="49"/>
      <c r="K53" s="49"/>
      <c r="L53" s="49"/>
      <c r="M53" s="49"/>
      <c r="N53" s="49"/>
      <c r="O53" s="49"/>
      <c r="P53" s="49"/>
      <c r="Q53" s="49"/>
      <c r="R53" s="49"/>
      <c r="S53" s="68"/>
      <c r="T53" s="30"/>
      <c r="U53" s="31"/>
      <c r="V53" s="31"/>
      <c r="W53" s="31"/>
      <c r="X53" s="31"/>
      <c r="Y53" s="31"/>
      <c r="Z53" s="31"/>
      <c r="AA53" s="31"/>
      <c r="AB53" s="31"/>
      <c r="AC53" s="31"/>
      <c r="AD53" s="31"/>
      <c r="AE53" s="31"/>
      <c r="AF53" s="31"/>
      <c r="AG53" s="31"/>
      <c r="AH53" s="31"/>
      <c r="AI53" s="31"/>
      <c r="AJ53" s="31"/>
      <c r="AK53" s="31"/>
      <c r="AL53" s="32"/>
    </row>
    <row r="54" spans="1:38" x14ac:dyDescent="0.2">
      <c r="A54" s="48"/>
      <c r="B54" s="49"/>
      <c r="C54" s="49"/>
      <c r="D54" s="49"/>
      <c r="E54" s="49"/>
      <c r="F54" s="49"/>
      <c r="G54" s="49"/>
      <c r="H54" s="49"/>
      <c r="I54" s="49"/>
      <c r="J54" s="49"/>
      <c r="K54" s="49"/>
      <c r="L54" s="49"/>
      <c r="M54" s="49"/>
      <c r="N54" s="49"/>
      <c r="O54" s="49"/>
      <c r="P54" s="49"/>
      <c r="Q54" s="49"/>
      <c r="R54" s="49"/>
      <c r="S54" s="68"/>
      <c r="T54" s="30"/>
      <c r="U54" s="31"/>
      <c r="V54" s="31"/>
      <c r="W54" s="31"/>
      <c r="X54" s="31"/>
      <c r="Y54" s="31"/>
      <c r="Z54" s="31"/>
      <c r="AA54" s="31"/>
      <c r="AB54" s="31"/>
      <c r="AC54" s="31"/>
      <c r="AD54" s="31"/>
      <c r="AE54" s="31"/>
      <c r="AF54" s="31"/>
      <c r="AG54" s="31"/>
      <c r="AH54" s="31"/>
      <c r="AI54" s="31"/>
      <c r="AJ54" s="31"/>
      <c r="AK54" s="31"/>
      <c r="AL54" s="32"/>
    </row>
    <row r="55" spans="1:38" x14ac:dyDescent="0.2">
      <c r="A55" s="48"/>
      <c r="B55" s="49"/>
      <c r="C55" s="49"/>
      <c r="D55" s="49"/>
      <c r="E55" s="49"/>
      <c r="F55" s="49"/>
      <c r="G55" s="49"/>
      <c r="H55" s="49"/>
      <c r="I55" s="49"/>
      <c r="J55" s="49"/>
      <c r="K55" s="49"/>
      <c r="L55" s="49"/>
      <c r="M55" s="49"/>
      <c r="N55" s="49"/>
      <c r="O55" s="49"/>
      <c r="P55" s="49"/>
      <c r="Q55" s="49"/>
      <c r="R55" s="49"/>
      <c r="S55" s="68"/>
      <c r="T55" s="30"/>
      <c r="U55" s="31"/>
      <c r="V55" s="31"/>
      <c r="W55" s="31"/>
      <c r="X55" s="31"/>
      <c r="Y55" s="31"/>
      <c r="Z55" s="31"/>
      <c r="AA55" s="31"/>
      <c r="AB55" s="31"/>
      <c r="AC55" s="31"/>
      <c r="AD55" s="31"/>
      <c r="AE55" s="31"/>
      <c r="AF55" s="31"/>
      <c r="AG55" s="31"/>
      <c r="AH55" s="31"/>
      <c r="AI55" s="31"/>
      <c r="AJ55" s="31"/>
      <c r="AK55" s="31"/>
      <c r="AL55" s="32"/>
    </row>
    <row r="56" spans="1:38" x14ac:dyDescent="0.2">
      <c r="A56" s="48"/>
      <c r="B56" s="49"/>
      <c r="C56" s="49"/>
      <c r="D56" s="49"/>
      <c r="E56" s="49"/>
      <c r="F56" s="49"/>
      <c r="G56" s="49"/>
      <c r="H56" s="49"/>
      <c r="I56" s="49"/>
      <c r="J56" s="49"/>
      <c r="K56" s="49"/>
      <c r="L56" s="49"/>
      <c r="M56" s="49"/>
      <c r="N56" s="49"/>
      <c r="O56" s="49"/>
      <c r="P56" s="49"/>
      <c r="Q56" s="49"/>
      <c r="R56" s="49"/>
      <c r="S56" s="68"/>
      <c r="T56" s="30"/>
      <c r="U56" s="31"/>
      <c r="V56" s="31"/>
      <c r="W56" s="31"/>
      <c r="X56" s="31"/>
      <c r="Y56" s="31"/>
      <c r="Z56" s="31"/>
      <c r="AA56" s="31"/>
      <c r="AB56" s="31"/>
      <c r="AC56" s="31"/>
      <c r="AD56" s="31"/>
      <c r="AE56" s="31"/>
      <c r="AF56" s="31"/>
      <c r="AG56" s="31"/>
      <c r="AH56" s="31"/>
      <c r="AI56" s="31"/>
      <c r="AJ56" s="31"/>
      <c r="AK56" s="31"/>
      <c r="AL56" s="32"/>
    </row>
    <row r="57" spans="1:38" x14ac:dyDescent="0.2">
      <c r="A57" s="48"/>
      <c r="B57" s="49"/>
      <c r="C57" s="49"/>
      <c r="D57" s="49"/>
      <c r="E57" s="49"/>
      <c r="F57" s="49"/>
      <c r="G57" s="49"/>
      <c r="H57" s="49"/>
      <c r="I57" s="49"/>
      <c r="J57" s="49"/>
      <c r="K57" s="49"/>
      <c r="L57" s="49"/>
      <c r="M57" s="49"/>
      <c r="N57" s="49"/>
      <c r="O57" s="49"/>
      <c r="P57" s="49"/>
      <c r="Q57" s="49"/>
      <c r="R57" s="49"/>
      <c r="S57" s="68"/>
      <c r="T57" s="30"/>
      <c r="U57" s="31"/>
      <c r="V57" s="31"/>
      <c r="W57" s="31"/>
      <c r="X57" s="31"/>
      <c r="Y57" s="31"/>
      <c r="Z57" s="31"/>
      <c r="AA57" s="31"/>
      <c r="AB57" s="31"/>
      <c r="AC57" s="31"/>
      <c r="AD57" s="31"/>
      <c r="AE57" s="31"/>
      <c r="AF57" s="31"/>
      <c r="AG57" s="31"/>
      <c r="AH57" s="31"/>
      <c r="AI57" s="31"/>
      <c r="AJ57" s="31"/>
      <c r="AK57" s="31"/>
      <c r="AL57" s="32"/>
    </row>
    <row r="58" spans="1:38" x14ac:dyDescent="0.2">
      <c r="A58" s="48"/>
      <c r="B58" s="49"/>
      <c r="C58" s="49"/>
      <c r="D58" s="49"/>
      <c r="E58" s="49"/>
      <c r="F58" s="49"/>
      <c r="G58" s="49"/>
      <c r="H58" s="49"/>
      <c r="I58" s="49"/>
      <c r="J58" s="49"/>
      <c r="K58" s="49"/>
      <c r="L58" s="49"/>
      <c r="M58" s="49"/>
      <c r="N58" s="49"/>
      <c r="O58" s="49"/>
      <c r="P58" s="49"/>
      <c r="Q58" s="49"/>
      <c r="R58" s="49"/>
      <c r="S58" s="68"/>
      <c r="T58" s="30"/>
      <c r="U58" s="31"/>
      <c r="V58" s="31"/>
      <c r="W58" s="31"/>
      <c r="X58" s="31"/>
      <c r="Y58" s="31"/>
      <c r="Z58" s="31"/>
      <c r="AA58" s="31"/>
      <c r="AB58" s="31"/>
      <c r="AC58" s="31"/>
      <c r="AD58" s="31"/>
      <c r="AE58" s="31"/>
      <c r="AF58" s="31"/>
      <c r="AG58" s="31"/>
      <c r="AH58" s="31"/>
      <c r="AI58" s="31"/>
      <c r="AJ58" s="31"/>
      <c r="AK58" s="31"/>
      <c r="AL58" s="32"/>
    </row>
    <row r="59" spans="1:38" x14ac:dyDescent="0.2">
      <c r="A59" s="48"/>
      <c r="B59" s="49"/>
      <c r="C59" s="49"/>
      <c r="D59" s="49"/>
      <c r="E59" s="49"/>
      <c r="F59" s="49"/>
      <c r="G59" s="49"/>
      <c r="H59" s="49"/>
      <c r="I59" s="49"/>
      <c r="J59" s="49"/>
      <c r="K59" s="49"/>
      <c r="L59" s="49"/>
      <c r="M59" s="49"/>
      <c r="N59" s="49"/>
      <c r="O59" s="49"/>
      <c r="P59" s="49"/>
      <c r="Q59" s="49"/>
      <c r="R59" s="49"/>
      <c r="S59" s="68"/>
      <c r="T59" s="30"/>
      <c r="U59" s="31"/>
      <c r="V59" s="31"/>
      <c r="W59" s="31"/>
      <c r="X59" s="31"/>
      <c r="Y59" s="31"/>
      <c r="Z59" s="31"/>
      <c r="AA59" s="31"/>
      <c r="AB59" s="31"/>
      <c r="AC59" s="31"/>
      <c r="AD59" s="31"/>
      <c r="AE59" s="31"/>
      <c r="AF59" s="31"/>
      <c r="AG59" s="31"/>
      <c r="AH59" s="31"/>
      <c r="AI59" s="31"/>
      <c r="AJ59" s="31"/>
      <c r="AK59" s="31"/>
      <c r="AL59" s="32"/>
    </row>
    <row r="60" spans="1:38" x14ac:dyDescent="0.2">
      <c r="A60" s="48"/>
      <c r="B60" s="49"/>
      <c r="C60" s="49"/>
      <c r="D60" s="49"/>
      <c r="E60" s="49"/>
      <c r="F60" s="49"/>
      <c r="G60" s="49"/>
      <c r="H60" s="49"/>
      <c r="I60" s="49"/>
      <c r="J60" s="49"/>
      <c r="K60" s="49"/>
      <c r="L60" s="49"/>
      <c r="M60" s="49"/>
      <c r="N60" s="49"/>
      <c r="O60" s="49"/>
      <c r="P60" s="49"/>
      <c r="Q60" s="49"/>
      <c r="R60" s="49"/>
      <c r="S60" s="68"/>
      <c r="T60" s="30"/>
      <c r="U60" s="31"/>
      <c r="V60" s="31"/>
      <c r="W60" s="31"/>
      <c r="X60" s="31"/>
      <c r="Y60" s="31"/>
      <c r="Z60" s="31"/>
      <c r="AA60" s="31"/>
      <c r="AB60" s="31"/>
      <c r="AC60" s="31"/>
      <c r="AD60" s="31"/>
      <c r="AE60" s="31"/>
      <c r="AF60" s="31"/>
      <c r="AG60" s="31"/>
      <c r="AH60" s="31"/>
      <c r="AI60" s="31"/>
      <c r="AJ60" s="31"/>
      <c r="AK60" s="31"/>
      <c r="AL60" s="32"/>
    </row>
    <row r="61" spans="1:38" x14ac:dyDescent="0.2">
      <c r="A61" s="48"/>
      <c r="B61" s="49"/>
      <c r="C61" s="49"/>
      <c r="D61" s="49"/>
      <c r="E61" s="49"/>
      <c r="F61" s="49"/>
      <c r="G61" s="49"/>
      <c r="H61" s="49"/>
      <c r="I61" s="49"/>
      <c r="J61" s="49"/>
      <c r="K61" s="49"/>
      <c r="L61" s="49"/>
      <c r="M61" s="49"/>
      <c r="N61" s="49"/>
      <c r="O61" s="49"/>
      <c r="P61" s="49"/>
      <c r="Q61" s="49"/>
      <c r="R61" s="49"/>
      <c r="S61" s="68"/>
      <c r="T61" s="30"/>
      <c r="U61" s="31"/>
      <c r="V61" s="31"/>
      <c r="W61" s="31"/>
      <c r="X61" s="31"/>
      <c r="Y61" s="31"/>
      <c r="Z61" s="31"/>
      <c r="AA61" s="31"/>
      <c r="AB61" s="31"/>
      <c r="AC61" s="31"/>
      <c r="AD61" s="31"/>
      <c r="AE61" s="31"/>
      <c r="AF61" s="31"/>
      <c r="AG61" s="31"/>
      <c r="AH61" s="31"/>
      <c r="AI61" s="31"/>
      <c r="AJ61" s="31"/>
      <c r="AK61" s="31"/>
      <c r="AL61" s="32"/>
    </row>
    <row r="62" spans="1:38" x14ac:dyDescent="0.2">
      <c r="A62" s="48"/>
      <c r="B62" s="49"/>
      <c r="C62" s="49"/>
      <c r="D62" s="49"/>
      <c r="E62" s="49"/>
      <c r="F62" s="49"/>
      <c r="G62" s="49"/>
      <c r="H62" s="49"/>
      <c r="I62" s="49"/>
      <c r="J62" s="49"/>
      <c r="K62" s="49"/>
      <c r="L62" s="49"/>
      <c r="M62" s="49"/>
      <c r="N62" s="49"/>
      <c r="O62" s="49"/>
      <c r="P62" s="49"/>
      <c r="Q62" s="49"/>
      <c r="R62" s="49"/>
      <c r="S62" s="68"/>
      <c r="T62" s="30"/>
      <c r="U62" s="31"/>
      <c r="V62" s="31"/>
      <c r="W62" s="31"/>
      <c r="X62" s="31"/>
      <c r="Y62" s="31"/>
      <c r="Z62" s="31"/>
      <c r="AA62" s="31"/>
      <c r="AB62" s="31"/>
      <c r="AC62" s="31"/>
      <c r="AD62" s="31"/>
      <c r="AE62" s="31"/>
      <c r="AF62" s="31"/>
      <c r="AG62" s="31"/>
      <c r="AH62" s="31"/>
      <c r="AI62" s="31"/>
      <c r="AJ62" s="31"/>
      <c r="AK62" s="31"/>
      <c r="AL62" s="32"/>
    </row>
    <row r="63" spans="1:38" x14ac:dyDescent="0.2">
      <c r="A63" s="48"/>
      <c r="B63" s="49"/>
      <c r="C63" s="49"/>
      <c r="D63" s="49"/>
      <c r="E63" s="49"/>
      <c r="F63" s="49"/>
      <c r="G63" s="49"/>
      <c r="H63" s="49"/>
      <c r="I63" s="49"/>
      <c r="J63" s="49"/>
      <c r="K63" s="49"/>
      <c r="L63" s="49"/>
      <c r="M63" s="49"/>
      <c r="N63" s="49"/>
      <c r="O63" s="49"/>
      <c r="P63" s="49"/>
      <c r="Q63" s="49"/>
      <c r="R63" s="49"/>
      <c r="S63" s="68"/>
      <c r="T63" s="30"/>
      <c r="U63" s="31"/>
      <c r="V63" s="31"/>
      <c r="W63" s="31"/>
      <c r="X63" s="31"/>
      <c r="Y63" s="31"/>
      <c r="Z63" s="31"/>
      <c r="AA63" s="31"/>
      <c r="AB63" s="31"/>
      <c r="AC63" s="31"/>
      <c r="AD63" s="31"/>
      <c r="AE63" s="31"/>
      <c r="AF63" s="31"/>
      <c r="AG63" s="31"/>
      <c r="AH63" s="31"/>
      <c r="AI63" s="31"/>
      <c r="AJ63" s="31"/>
      <c r="AK63" s="31"/>
      <c r="AL63" s="32"/>
    </row>
    <row r="64" spans="1:38" x14ac:dyDescent="0.2">
      <c r="A64" s="50"/>
      <c r="B64" s="51"/>
      <c r="C64" s="51"/>
      <c r="D64" s="51"/>
      <c r="E64" s="51"/>
      <c r="F64" s="51"/>
      <c r="G64" s="51"/>
      <c r="H64" s="51"/>
      <c r="I64" s="51"/>
      <c r="J64" s="51"/>
      <c r="K64" s="51"/>
      <c r="L64" s="51"/>
      <c r="M64" s="51"/>
      <c r="N64" s="51"/>
      <c r="O64" s="51"/>
      <c r="P64" s="51"/>
      <c r="Q64" s="51"/>
      <c r="R64" s="51"/>
      <c r="S64" s="51"/>
      <c r="T64" s="38"/>
      <c r="U64" s="36"/>
      <c r="V64" s="36"/>
      <c r="W64" s="36"/>
      <c r="X64" s="36"/>
      <c r="Y64" s="36"/>
      <c r="Z64" s="36"/>
      <c r="AA64" s="36"/>
      <c r="AB64" s="36"/>
      <c r="AC64" s="36"/>
      <c r="AD64" s="36"/>
      <c r="AE64" s="36"/>
      <c r="AF64" s="36"/>
      <c r="AG64" s="36"/>
      <c r="AH64" s="36"/>
      <c r="AI64" s="36"/>
      <c r="AJ64" s="36"/>
      <c r="AK64" s="36"/>
      <c r="AL64" s="39"/>
    </row>
  </sheetData>
  <sheetProtection password="E10F" sheet="1"/>
  <mergeCells count="6">
    <mergeCell ref="A15:S15"/>
    <mergeCell ref="A16:S16"/>
    <mergeCell ref="A5:S8"/>
    <mergeCell ref="A1:S1"/>
    <mergeCell ref="D3:J3"/>
    <mergeCell ref="O3:S3"/>
  </mergeCells>
  <phoneticPr fontId="2" type="noConversion"/>
  <pageMargins left="0.39370078740157483" right="0.39370078740157483" top="0.39370078740157483" bottom="0.39370078740157483" header="0.51181102362204722" footer="0.51181102362204722"/>
  <pageSetup paperSize="9" scale="95" fitToWidth="2" orientation="portrait" r:id="rId1"/>
  <headerFooter alignWithMargins="0"/>
  <colBreaks count="1" manualBreakCount="1">
    <brk id="19" max="63" man="1"/>
  </colBreaks>
  <ignoredErrors>
    <ignoredError sqref="D3 O3" unlockedFormula="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B1:O32"/>
  <sheetViews>
    <sheetView showGridLines="0" view="pageBreakPreview" zoomScaleNormal="100" zoomScaleSheetLayoutView="100" workbookViewId="0">
      <selection activeCell="C6" sqref="C6"/>
    </sheetView>
  </sheetViews>
  <sheetFormatPr baseColWidth="10" defaultColWidth="9.140625" defaultRowHeight="12.75" x14ac:dyDescent="0.2"/>
  <cols>
    <col min="1" max="1" width="3.28515625" style="56" customWidth="1"/>
    <col min="2" max="2" width="24.7109375" style="56" customWidth="1"/>
    <col min="3" max="3" width="10.140625" style="56" customWidth="1"/>
    <col min="4" max="4" width="18" style="56" bestFit="1" customWidth="1"/>
    <col min="5" max="5" width="15.7109375" style="56" bestFit="1" customWidth="1"/>
    <col min="6" max="6" width="18" style="56" bestFit="1" customWidth="1"/>
    <col min="7" max="7" width="15.7109375" style="56" bestFit="1" customWidth="1"/>
    <col min="8" max="9" width="10.7109375" style="56" bestFit="1" customWidth="1"/>
    <col min="10" max="14" width="10.7109375" style="56" customWidth="1"/>
    <col min="15" max="15" width="14.42578125" style="56" bestFit="1" customWidth="1"/>
    <col min="16" max="16384" width="9.140625" style="56"/>
  </cols>
  <sheetData>
    <row r="1" spans="2:15" ht="18" x14ac:dyDescent="0.25">
      <c r="B1" s="64" t="s">
        <v>40</v>
      </c>
    </row>
    <row r="3" spans="2:15" x14ac:dyDescent="0.2">
      <c r="B3" s="59" t="s">
        <v>158</v>
      </c>
      <c r="C3" s="65" t="s">
        <v>7</v>
      </c>
      <c r="D3" s="65" t="s">
        <v>12</v>
      </c>
      <c r="E3" s="65" t="s">
        <v>17</v>
      </c>
      <c r="F3" s="65" t="s">
        <v>288</v>
      </c>
      <c r="G3" s="65" t="s">
        <v>13</v>
      </c>
      <c r="H3" s="65" t="s">
        <v>14</v>
      </c>
      <c r="I3" s="65" t="s">
        <v>15</v>
      </c>
      <c r="J3" s="65" t="s">
        <v>215</v>
      </c>
      <c r="K3" s="65" t="s">
        <v>216</v>
      </c>
      <c r="L3" s="65" t="s">
        <v>589</v>
      </c>
      <c r="M3" s="65" t="s">
        <v>590</v>
      </c>
      <c r="N3" s="65" t="s">
        <v>591</v>
      </c>
      <c r="O3" s="65" t="s">
        <v>339</v>
      </c>
    </row>
    <row r="4" spans="2:15" x14ac:dyDescent="0.2">
      <c r="B4" s="59" t="s">
        <v>16</v>
      </c>
      <c r="C4" s="45" t="s">
        <v>7</v>
      </c>
      <c r="D4" s="45" t="s">
        <v>12</v>
      </c>
      <c r="E4" s="45" t="s">
        <v>17</v>
      </c>
      <c r="F4" s="410" t="s">
        <v>554</v>
      </c>
      <c r="G4" s="483" t="s">
        <v>267</v>
      </c>
      <c r="H4" s="22" t="s">
        <v>157</v>
      </c>
      <c r="I4" s="3" t="s">
        <v>604</v>
      </c>
      <c r="J4" s="22" t="s">
        <v>217</v>
      </c>
      <c r="K4" s="22" t="s">
        <v>218</v>
      </c>
      <c r="L4" s="22" t="s">
        <v>592</v>
      </c>
      <c r="M4" s="22" t="s">
        <v>593</v>
      </c>
      <c r="N4" s="22" t="s">
        <v>594</v>
      </c>
      <c r="O4" s="294" t="s">
        <v>339</v>
      </c>
    </row>
    <row r="5" spans="2:15" x14ac:dyDescent="0.2">
      <c r="B5" s="58" t="s">
        <v>20</v>
      </c>
      <c r="C5" s="46">
        <v>200000000000</v>
      </c>
      <c r="D5" s="23">
        <v>70000000000</v>
      </c>
      <c r="E5" s="23">
        <v>70000000000</v>
      </c>
      <c r="F5" s="46">
        <f>'T2.6 Laminate Test'!C63*1000000000</f>
        <v>0</v>
      </c>
      <c r="G5" s="480">
        <f>'T2.6 FBHS'!C59*1000000000</f>
        <v>0</v>
      </c>
      <c r="H5" s="23">
        <v>2</v>
      </c>
      <c r="I5" s="23">
        <v>3</v>
      </c>
      <c r="J5" s="23">
        <v>4</v>
      </c>
      <c r="K5" s="23">
        <v>5</v>
      </c>
      <c r="L5" s="23">
        <v>6</v>
      </c>
      <c r="M5" s="23">
        <v>7</v>
      </c>
      <c r="N5" s="23">
        <v>8</v>
      </c>
      <c r="O5" s="266">
        <f>'3 Point Bending Comp AIP'!C59*1000000000</f>
        <v>0</v>
      </c>
    </row>
    <row r="6" spans="2:15" x14ac:dyDescent="0.2">
      <c r="B6" s="59" t="s">
        <v>10</v>
      </c>
      <c r="C6" s="46">
        <v>305000000</v>
      </c>
      <c r="D6" s="23">
        <v>1</v>
      </c>
      <c r="E6" s="23">
        <v>2</v>
      </c>
      <c r="F6" s="46">
        <f>F7</f>
        <v>0</v>
      </c>
      <c r="G6" s="480">
        <f>G7</f>
        <v>0</v>
      </c>
      <c r="H6" s="23">
        <v>2</v>
      </c>
      <c r="I6" s="478">
        <v>3</v>
      </c>
      <c r="J6" s="23">
        <v>4</v>
      </c>
      <c r="K6" s="23">
        <v>5</v>
      </c>
      <c r="L6" s="23">
        <v>6</v>
      </c>
      <c r="M6" s="23">
        <v>7</v>
      </c>
      <c r="N6" s="23">
        <v>8</v>
      </c>
      <c r="O6" s="266">
        <f>'3 Point Bending Comp AIP'!C60*1000000</f>
        <v>0</v>
      </c>
    </row>
    <row r="7" spans="2:15" x14ac:dyDescent="0.2">
      <c r="B7" s="59" t="s">
        <v>11</v>
      </c>
      <c r="C7" s="46">
        <v>365000000</v>
      </c>
      <c r="D7" s="23">
        <v>1</v>
      </c>
      <c r="E7" s="23">
        <v>2</v>
      </c>
      <c r="F7" s="46">
        <f>'T2.6 Laminate Test'!C64*1000000</f>
        <v>0</v>
      </c>
      <c r="G7" s="480">
        <f>'T2.6 FBHS'!C60*1000000</f>
        <v>0</v>
      </c>
      <c r="H7" s="23">
        <v>2</v>
      </c>
      <c r="I7" s="23">
        <v>3</v>
      </c>
      <c r="J7" s="23">
        <v>4</v>
      </c>
      <c r="K7" s="23">
        <v>5</v>
      </c>
      <c r="L7" s="23">
        <v>6</v>
      </c>
      <c r="M7" s="23">
        <v>7</v>
      </c>
      <c r="N7" s="23">
        <v>8</v>
      </c>
      <c r="O7" s="266">
        <f>O6</f>
        <v>0</v>
      </c>
    </row>
    <row r="8" spans="2:15" x14ac:dyDescent="0.2">
      <c r="B8" s="59" t="s">
        <v>9</v>
      </c>
      <c r="C8" s="46">
        <v>180000000</v>
      </c>
      <c r="D8" s="23">
        <v>1</v>
      </c>
      <c r="E8" s="23">
        <v>2</v>
      </c>
      <c r="F8" s="477" t="s">
        <v>153</v>
      </c>
      <c r="G8" s="23">
        <v>1</v>
      </c>
      <c r="H8" s="23">
        <v>2</v>
      </c>
      <c r="I8" s="23">
        <v>3</v>
      </c>
      <c r="J8" s="23">
        <v>4</v>
      </c>
      <c r="K8" s="23">
        <v>5</v>
      </c>
      <c r="L8" s="23">
        <v>6</v>
      </c>
      <c r="M8" s="23">
        <v>7</v>
      </c>
      <c r="N8" s="23">
        <v>8</v>
      </c>
      <c r="O8" s="295" t="s">
        <v>153</v>
      </c>
    </row>
    <row r="9" spans="2:15" x14ac:dyDescent="0.2">
      <c r="B9" s="59" t="s">
        <v>8</v>
      </c>
      <c r="C9" s="46">
        <v>300000000</v>
      </c>
      <c r="D9" s="23">
        <v>1</v>
      </c>
      <c r="E9" s="23">
        <v>2</v>
      </c>
      <c r="F9" s="66" t="s">
        <v>153</v>
      </c>
      <c r="G9" s="23">
        <v>1</v>
      </c>
      <c r="H9" s="23">
        <v>2</v>
      </c>
      <c r="I9" s="23">
        <v>3</v>
      </c>
      <c r="J9" s="23">
        <v>4</v>
      </c>
      <c r="K9" s="23">
        <v>5</v>
      </c>
      <c r="L9" s="23">
        <v>6</v>
      </c>
      <c r="M9" s="23">
        <v>7</v>
      </c>
      <c r="N9" s="23">
        <v>8</v>
      </c>
      <c r="O9" s="295" t="s">
        <v>153</v>
      </c>
    </row>
    <row r="10" spans="2:15" x14ac:dyDescent="0.2">
      <c r="B10" s="99" t="s">
        <v>201</v>
      </c>
      <c r="C10" s="46">
        <f>0.6*C7</f>
        <v>219000000</v>
      </c>
      <c r="D10" s="23">
        <v>1</v>
      </c>
      <c r="E10" s="23">
        <v>2</v>
      </c>
      <c r="F10" s="266">
        <f>'T2.6.9 Shear Tests'!W54*1000000</f>
        <v>0</v>
      </c>
      <c r="G10" s="480">
        <f>'T2.6.9 Shear Tests'!D54*1000000</f>
        <v>0</v>
      </c>
      <c r="H10" s="23">
        <v>2</v>
      </c>
      <c r="I10" s="23">
        <v>3</v>
      </c>
      <c r="J10" s="23">
        <v>4</v>
      </c>
      <c r="K10" s="23">
        <v>5</v>
      </c>
      <c r="L10" s="23">
        <v>6</v>
      </c>
      <c r="M10" s="23">
        <v>7</v>
      </c>
      <c r="N10" s="23">
        <v>8</v>
      </c>
      <c r="O10" s="266">
        <f>'Shear Test Comp AIP'!D53*1000000</f>
        <v>0</v>
      </c>
    </row>
    <row r="12" spans="2:15" x14ac:dyDescent="0.2">
      <c r="C12" s="186" t="s">
        <v>616</v>
      </c>
    </row>
    <row r="13" spans="2:15" x14ac:dyDescent="0.2">
      <c r="B13" s="105"/>
      <c r="C13" s="186" t="s">
        <v>617</v>
      </c>
    </row>
    <row r="14" spans="2:15" x14ac:dyDescent="0.2">
      <c r="B14" s="189"/>
      <c r="C14" s="6" t="s">
        <v>618</v>
      </c>
    </row>
    <row r="15" spans="2:15" x14ac:dyDescent="0.2">
      <c r="B15" s="105"/>
      <c r="C15" s="186" t="s">
        <v>615</v>
      </c>
    </row>
    <row r="16" spans="2:15" x14ac:dyDescent="0.2">
      <c r="B16" s="105"/>
      <c r="C16" s="186"/>
    </row>
    <row r="17" spans="2:9" x14ac:dyDescent="0.2">
      <c r="B17" s="105"/>
      <c r="C17" s="186"/>
    </row>
    <row r="18" spans="2:9" x14ac:dyDescent="0.2">
      <c r="B18" s="105"/>
      <c r="C18" s="186"/>
    </row>
    <row r="19" spans="2:9" x14ac:dyDescent="0.2">
      <c r="B19" s="105"/>
      <c r="C19" s="468"/>
      <c r="D19" s="468"/>
      <c r="E19" s="468"/>
      <c r="F19" s="468"/>
      <c r="G19" s="5" t="s">
        <v>631</v>
      </c>
      <c r="H19" s="481"/>
    </row>
    <row r="20" spans="2:9" x14ac:dyDescent="0.2">
      <c r="B20" s="105"/>
      <c r="C20" s="468"/>
      <c r="D20" s="638"/>
      <c r="E20" s="638"/>
      <c r="F20" s="638"/>
      <c r="G20" s="638"/>
      <c r="H20" s="186" t="s">
        <v>619</v>
      </c>
    </row>
    <row r="21" spans="2:9" x14ac:dyDescent="0.2">
      <c r="B21" s="73"/>
      <c r="C21" s="468"/>
      <c r="D21" s="468"/>
      <c r="E21" s="468"/>
      <c r="F21" s="468"/>
      <c r="G21" s="468"/>
      <c r="H21" s="186" t="s">
        <v>620</v>
      </c>
      <c r="I21" s="466"/>
    </row>
    <row r="22" spans="2:9" x14ac:dyDescent="0.2">
      <c r="B22" s="67" t="s">
        <v>28</v>
      </c>
      <c r="C22" s="468"/>
      <c r="D22" s="468"/>
      <c r="E22" s="468"/>
      <c r="F22" s="468"/>
      <c r="G22" s="468"/>
      <c r="H22" s="186" t="s">
        <v>621</v>
      </c>
      <c r="I22" s="270"/>
    </row>
    <row r="23" spans="2:9" x14ac:dyDescent="0.2">
      <c r="B23" s="67" t="s">
        <v>605</v>
      </c>
      <c r="C23" s="468"/>
      <c r="D23" s="468"/>
      <c r="E23" s="468"/>
      <c r="F23" s="468"/>
      <c r="G23" s="468"/>
      <c r="H23" s="186" t="s">
        <v>622</v>
      </c>
      <c r="I23" s="270"/>
    </row>
    <row r="24" spans="2:9" x14ac:dyDescent="0.2">
      <c r="B24" s="67" t="s">
        <v>599</v>
      </c>
      <c r="C24" s="468"/>
      <c r="D24" s="468"/>
      <c r="E24" s="481"/>
      <c r="F24" s="468"/>
      <c r="G24" s="468"/>
      <c r="H24" s="186" t="s">
        <v>623</v>
      </c>
      <c r="I24" s="270"/>
    </row>
    <row r="25" spans="2:9" x14ac:dyDescent="0.2">
      <c r="B25" s="67"/>
      <c r="C25" s="468"/>
      <c r="D25" s="469"/>
      <c r="E25" s="469"/>
      <c r="F25" s="469"/>
      <c r="G25" s="469"/>
      <c r="H25" s="186" t="s">
        <v>624</v>
      </c>
      <c r="I25" s="298"/>
    </row>
    <row r="26" spans="2:9" x14ac:dyDescent="0.2">
      <c r="B26" s="67" t="s">
        <v>44</v>
      </c>
      <c r="C26" s="468"/>
      <c r="D26" s="469"/>
      <c r="E26" s="469"/>
      <c r="F26" s="469"/>
      <c r="G26" s="469"/>
      <c r="H26" s="186" t="s">
        <v>625</v>
      </c>
    </row>
    <row r="27" spans="2:9" x14ac:dyDescent="0.2">
      <c r="B27" s="67" t="s">
        <v>45</v>
      </c>
      <c r="C27" s="468"/>
      <c r="D27" s="469"/>
      <c r="E27" s="469"/>
      <c r="F27" s="469"/>
      <c r="G27" s="469"/>
      <c r="H27"/>
    </row>
    <row r="28" spans="2:9" x14ac:dyDescent="0.2">
      <c r="C28" s="468"/>
      <c r="D28" s="469"/>
      <c r="E28" s="469"/>
      <c r="F28" s="469"/>
      <c r="G28" s="469"/>
      <c r="H28"/>
    </row>
    <row r="29" spans="2:9" x14ac:dyDescent="0.2">
      <c r="C29" s="468"/>
      <c r="D29" s="469"/>
      <c r="E29" s="469"/>
      <c r="F29" s="469"/>
      <c r="G29" s="469"/>
      <c r="H29"/>
    </row>
    <row r="30" spans="2:9" x14ac:dyDescent="0.2">
      <c r="C30" s="468"/>
      <c r="D30" s="469"/>
      <c r="E30" s="469"/>
      <c r="F30" s="469"/>
      <c r="G30" s="469"/>
      <c r="H30"/>
    </row>
    <row r="31" spans="2:9" x14ac:dyDescent="0.2">
      <c r="C31" s="468"/>
      <c r="D31" s="469"/>
      <c r="E31" s="469"/>
      <c r="F31" s="469"/>
      <c r="G31" s="469"/>
      <c r="H31"/>
    </row>
    <row r="32" spans="2:9" x14ac:dyDescent="0.2">
      <c r="C32" s="468"/>
      <c r="D32" s="469"/>
      <c r="E32" s="469"/>
      <c r="F32" s="469"/>
      <c r="G32" s="469"/>
      <c r="H32"/>
    </row>
  </sheetData>
  <sheetProtection password="E10F" sheet="1"/>
  <mergeCells count="2">
    <mergeCell ref="D20:E20"/>
    <mergeCell ref="F20:G20"/>
  </mergeCells>
  <phoneticPr fontId="2" type="noConversion"/>
  <dataValidations disablePrompts="1" count="1">
    <dataValidation type="list" allowBlank="1" showInputMessage="1" showErrorMessage="1" sqref="C11" xr:uid="{00000000-0002-0000-0500-000000000000}">
      <formula1>Materials</formula1>
    </dataValidation>
  </dataValidations>
  <hyperlinks>
    <hyperlink ref="F4" location="'T2.6 Laminate Test'!A1" display="T2.6_Laminate" xr:uid="{00000000-0004-0000-0500-000000000000}"/>
    <hyperlink ref="G4" location="'T2.6 FBHS'!A1" display="FBHS" xr:uid="{00000000-0004-0000-0500-000001000000}"/>
  </hyperlinks>
  <pageMargins left="0.75" right="0.75" top="1" bottom="1" header="0.5" footer="0.5"/>
  <pageSetup paperSize="9" scale="68" fitToHeight="0" orientation="landscape" horizontalDpi="4294967294"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1:M31"/>
  <sheetViews>
    <sheetView showGridLines="0" topLeftCell="A4" workbookViewId="0">
      <selection activeCell="B30" sqref="B30"/>
    </sheetView>
  </sheetViews>
  <sheetFormatPr baseColWidth="10" defaultColWidth="9.140625" defaultRowHeight="12.75" x14ac:dyDescent="0.2"/>
  <cols>
    <col min="1" max="1" width="5.140625" style="56" customWidth="1"/>
    <col min="2" max="2" width="46.140625" style="56" customWidth="1"/>
    <col min="3" max="3" width="11.42578125" style="56" customWidth="1"/>
    <col min="4" max="4" width="11.7109375" style="56" customWidth="1"/>
    <col min="5" max="5" width="5.85546875" style="56" customWidth="1"/>
    <col min="6" max="6" width="8.7109375" style="56" customWidth="1"/>
    <col min="7" max="7" width="9.140625" style="56"/>
    <col min="8" max="8" width="12.42578125" style="56" bestFit="1" customWidth="1"/>
    <col min="9" max="16384" width="9.140625" style="56"/>
  </cols>
  <sheetData>
    <row r="1" spans="2:9" ht="15.75" x14ac:dyDescent="0.25">
      <c r="B1" s="55" t="s">
        <v>29</v>
      </c>
    </row>
    <row r="3" spans="2:9" x14ac:dyDescent="0.2">
      <c r="B3" s="57" t="s">
        <v>18</v>
      </c>
      <c r="C3" s="57" t="s">
        <v>1</v>
      </c>
      <c r="D3" s="57" t="s">
        <v>2</v>
      </c>
    </row>
    <row r="4" spans="2:9" x14ac:dyDescent="0.2">
      <c r="B4" s="58" t="s">
        <v>30</v>
      </c>
      <c r="C4" s="44" t="s">
        <v>7</v>
      </c>
      <c r="D4" s="44" t="s">
        <v>7</v>
      </c>
    </row>
    <row r="5" spans="2:9" x14ac:dyDescent="0.2">
      <c r="B5" s="58" t="s">
        <v>43</v>
      </c>
      <c r="C5" s="44" t="s">
        <v>44</v>
      </c>
      <c r="D5" s="45" t="s">
        <v>44</v>
      </c>
    </row>
    <row r="6" spans="2:9" x14ac:dyDescent="0.2">
      <c r="B6" s="59" t="s">
        <v>19</v>
      </c>
      <c r="C6" s="46" t="str">
        <f>HLOOKUP(C4,MaterialData!$C$3:$O$4,2,FALSE)</f>
        <v>Steel</v>
      </c>
      <c r="D6" s="46" t="str">
        <f>HLOOKUP(D4,MaterialData!$C$3:$O$4,2,FALSE)</f>
        <v>Steel</v>
      </c>
    </row>
    <row r="7" spans="2:9" x14ac:dyDescent="0.2">
      <c r="B7" s="59" t="s">
        <v>20</v>
      </c>
      <c r="C7" s="46">
        <f>INDEX(Innertable,MATCH($B7,MaterialData!$B$5:$B$10,0),MATCH(C$6,MaterialData!$C$4:$O$4,0))</f>
        <v>200000000000</v>
      </c>
      <c r="D7" s="46">
        <f>INDEX(Innertable,MATCH($B7,MaterialData!$B$5:$B$10,0),MATCH(D$6,MaterialData!$C$4:$O$4,0))</f>
        <v>200000000000</v>
      </c>
      <c r="I7" s="60"/>
    </row>
    <row r="8" spans="2:9" x14ac:dyDescent="0.2">
      <c r="B8" s="59" t="s">
        <v>10</v>
      </c>
      <c r="C8" s="46">
        <f>INDEX(Innertable,MATCH($B8,MaterialData!$B$5:$B$10,0),MATCH(C$6,MaterialData!$C$4:$O$4,0))</f>
        <v>305000000</v>
      </c>
      <c r="D8" s="46">
        <f>INDEX(Innertable,MATCH($B8,MaterialData!$B$5:$B$10,0),MATCH(D$6,MaterialData!$C$4:$O$4,0))</f>
        <v>305000000</v>
      </c>
      <c r="I8" s="60"/>
    </row>
    <row r="9" spans="2:9" x14ac:dyDescent="0.2">
      <c r="B9" s="59" t="s">
        <v>11</v>
      </c>
      <c r="C9" s="46">
        <f>INDEX(Innertable,MATCH($B9,MaterialData!$B$5:$B$10,0),MATCH(C$6,MaterialData!$C$4:$O$4,0))</f>
        <v>365000000</v>
      </c>
      <c r="D9" s="46">
        <f>INDEX(Innertable,MATCH($B9,MaterialData!$B$5:$B$10,0),MATCH(D$6,MaterialData!$C$4:$O$4,0))</f>
        <v>365000000</v>
      </c>
      <c r="I9" s="60"/>
    </row>
    <row r="10" spans="2:9" x14ac:dyDescent="0.2">
      <c r="B10" s="59" t="s">
        <v>9</v>
      </c>
      <c r="C10" s="46">
        <f>INDEX(Innertable,MATCH($B10,MaterialData!$B$5:$B$10,0),MATCH(C$6,MaterialData!$C$4:$O$4,0))</f>
        <v>180000000</v>
      </c>
      <c r="D10" s="46">
        <f>INDEX(Innertable,MATCH($B10,MaterialData!$B$5:$B$10,0),MATCH(D$6,MaterialData!$C$4:$O$4,0))</f>
        <v>180000000</v>
      </c>
      <c r="I10" s="60"/>
    </row>
    <row r="11" spans="2:9" x14ac:dyDescent="0.2">
      <c r="B11" s="59" t="s">
        <v>8</v>
      </c>
      <c r="C11" s="46">
        <f>INDEX(Innertable,MATCH($B11,MaterialData!$B$5:$B$10,0),MATCH(C$6,MaterialData!$C$4:$O$4,0))</f>
        <v>300000000</v>
      </c>
      <c r="D11" s="46">
        <f>INDEX(Innertable,MATCH($B11,MaterialData!$B$5:$B$10,0),MATCH(D$6,MaterialData!$C$4:$O$4,0))</f>
        <v>300000000</v>
      </c>
      <c r="I11" s="60"/>
    </row>
    <row r="12" spans="2:9" x14ac:dyDescent="0.2">
      <c r="I12" s="60"/>
    </row>
    <row r="13" spans="2:9" x14ac:dyDescent="0.2">
      <c r="B13" s="59" t="s">
        <v>166</v>
      </c>
      <c r="C13" s="44">
        <f>IF(AND(D13&gt;=25,D13&lt;25.4,D14&gt;=2.5),25,25.4)</f>
        <v>25.4</v>
      </c>
      <c r="D13" s="3">
        <v>30</v>
      </c>
      <c r="I13" s="60"/>
    </row>
    <row r="14" spans="2:9" x14ac:dyDescent="0.2">
      <c r="B14" s="59" t="s">
        <v>167</v>
      </c>
      <c r="C14" s="44">
        <f>IF(AND(D13&gt;=25,D13&lt;25.4,D14&gt;=2.5),2.5,2.4)</f>
        <v>2.4</v>
      </c>
      <c r="D14" s="3">
        <v>2</v>
      </c>
      <c r="I14" s="60"/>
    </row>
    <row r="15" spans="2:9" x14ac:dyDescent="0.2">
      <c r="I15" s="60"/>
    </row>
    <row r="16" spans="2:9" x14ac:dyDescent="0.2">
      <c r="B16" s="59"/>
      <c r="C16" s="57" t="s">
        <v>1</v>
      </c>
      <c r="D16" s="57" t="s">
        <v>2</v>
      </c>
      <c r="I16" s="60"/>
    </row>
    <row r="17" spans="2:13" x14ac:dyDescent="0.2">
      <c r="B17" s="59" t="s">
        <v>4</v>
      </c>
      <c r="C17" s="44">
        <f>C13/1000</f>
        <v>2.5399999999999999E-2</v>
      </c>
      <c r="D17" s="44">
        <f>D13/1000</f>
        <v>0.03</v>
      </c>
      <c r="I17" s="60"/>
    </row>
    <row r="18" spans="2:13" x14ac:dyDescent="0.2">
      <c r="B18" s="59" t="s">
        <v>159</v>
      </c>
      <c r="C18" s="44">
        <f>C14/1000</f>
        <v>2.3999999999999998E-3</v>
      </c>
      <c r="D18" s="44">
        <f>D14/1000</f>
        <v>2E-3</v>
      </c>
      <c r="I18" s="60"/>
      <c r="M18" s="61"/>
    </row>
    <row r="19" spans="2:13" x14ac:dyDescent="0.2">
      <c r="B19" s="59" t="s">
        <v>3</v>
      </c>
      <c r="C19" s="44">
        <f>((C17)^4-((C17-2*C18))^4)*3.142/64</f>
        <v>1.1593489847999996E-8</v>
      </c>
      <c r="D19" s="44">
        <f>IF(D5="Round",((D17)^4-((D17-2*D18))^4)*3.142/64,IF(D5="Square",((D17)^4-((D17-2*D18))^4)/12,""))</f>
        <v>1.7331272000000002E-8</v>
      </c>
      <c r="I19" s="60"/>
      <c r="L19" s="60"/>
      <c r="M19" s="61"/>
    </row>
    <row r="20" spans="2:13" x14ac:dyDescent="0.2">
      <c r="B20" s="59" t="s">
        <v>0</v>
      </c>
      <c r="C20" s="46">
        <f>C7*C19</f>
        <v>2318.6979695999994</v>
      </c>
      <c r="D20" s="46">
        <f>D7*D19</f>
        <v>3466.2544000000003</v>
      </c>
      <c r="E20" s="54">
        <f t="shared" ref="E20:E28" si="0">100*D20/C20</f>
        <v>149.49141481320081</v>
      </c>
    </row>
    <row r="21" spans="2:13" x14ac:dyDescent="0.2">
      <c r="B21" s="59" t="s">
        <v>160</v>
      </c>
      <c r="C21" s="47">
        <f>(C13^2-(C13-2*C14)^2)*PI()/4</f>
        <v>173.41591447815662</v>
      </c>
      <c r="D21" s="47">
        <f>(D13^2-(D13-2*D14)^2)*PI()/4</f>
        <v>175.92918860102841</v>
      </c>
      <c r="E21" s="54">
        <f t="shared" si="0"/>
        <v>101.4492753623188</v>
      </c>
      <c r="L21" s="60"/>
    </row>
    <row r="22" spans="2:13" x14ac:dyDescent="0.2">
      <c r="B22" s="59" t="s">
        <v>161</v>
      </c>
      <c r="C22" s="46">
        <f t="shared" ref="C22:D24" si="1">C$21*C8/1000000</f>
        <v>52891.853915837768</v>
      </c>
      <c r="D22" s="46">
        <f t="shared" si="1"/>
        <v>53658.402523313671</v>
      </c>
      <c r="E22" s="54">
        <f t="shared" si="0"/>
        <v>101.44927536231882</v>
      </c>
    </row>
    <row r="23" spans="2:13" x14ac:dyDescent="0.2">
      <c r="B23" s="59" t="s">
        <v>5</v>
      </c>
      <c r="C23" s="46">
        <f t="shared" si="1"/>
        <v>63296.808784527166</v>
      </c>
      <c r="D23" s="46">
        <f t="shared" si="1"/>
        <v>64214.153839375373</v>
      </c>
      <c r="E23" s="54">
        <f t="shared" si="0"/>
        <v>101.44927536231883</v>
      </c>
      <c r="L23" s="60"/>
    </row>
    <row r="24" spans="2:13" x14ac:dyDescent="0.2">
      <c r="B24" s="59" t="s">
        <v>162</v>
      </c>
      <c r="C24" s="46">
        <f t="shared" si="1"/>
        <v>31214.864606068193</v>
      </c>
      <c r="D24" s="46">
        <f t="shared" si="1"/>
        <v>31667.253948185116</v>
      </c>
      <c r="E24" s="54">
        <f t="shared" si="0"/>
        <v>101.44927536231883</v>
      </c>
      <c r="L24" s="60"/>
    </row>
    <row r="25" spans="2:13" x14ac:dyDescent="0.2">
      <c r="B25" s="59" t="s">
        <v>6</v>
      </c>
      <c r="C25" s="46">
        <f>C$21*C11/1000000</f>
        <v>52024.774343446981</v>
      </c>
      <c r="D25" s="46">
        <f>D$21*D11/1000000</f>
        <v>52778.756580308524</v>
      </c>
      <c r="E25" s="54">
        <f t="shared" si="0"/>
        <v>101.44927536231883</v>
      </c>
      <c r="L25" s="60"/>
    </row>
    <row r="26" spans="2:13" x14ac:dyDescent="0.2">
      <c r="B26" s="59" t="s">
        <v>163</v>
      </c>
      <c r="C26" s="46">
        <f>4*C9*C19/(0.5*C17*1)</f>
        <v>1332.7948959118107</v>
      </c>
      <c r="D26" s="46">
        <f>4*D9*D19/(0.5*D17*1)</f>
        <v>1686.9104746666669</v>
      </c>
      <c r="E26" s="54">
        <f t="shared" si="0"/>
        <v>126.5693978751767</v>
      </c>
      <c r="G26" s="60"/>
    </row>
    <row r="27" spans="2:13" x14ac:dyDescent="0.2">
      <c r="B27" s="59" t="s">
        <v>164</v>
      </c>
      <c r="C27" s="46">
        <f>C26*1^3/(48*C7*C19)</f>
        <v>1.1975065616797901E-2</v>
      </c>
      <c r="D27" s="46">
        <f>C26*1^3/(48*D7*D19)</f>
        <v>8.0105373487577985E-3</v>
      </c>
      <c r="E27" s="54">
        <f t="shared" si="0"/>
        <v>66.893473531544572</v>
      </c>
    </row>
    <row r="28" spans="2:13" x14ac:dyDescent="0.2">
      <c r="B28" s="59" t="s">
        <v>165</v>
      </c>
      <c r="C28" s="46">
        <f>0.5*C26*(C26*1^3/(48*C7*C19))</f>
        <v>7.9801531661386313</v>
      </c>
      <c r="D28" s="46">
        <f>0.5*D26*(D26*1^3/(48*D7*D19))</f>
        <v>8.5516989340740768</v>
      </c>
      <c r="E28" s="54">
        <f t="shared" si="0"/>
        <v>107.16209020098295</v>
      </c>
    </row>
    <row r="30" spans="2:13" x14ac:dyDescent="0.2">
      <c r="B30" s="270" t="s">
        <v>565</v>
      </c>
      <c r="D30" s="60"/>
    </row>
    <row r="31" spans="2:13" x14ac:dyDescent="0.2">
      <c r="D31" s="60"/>
    </row>
  </sheetData>
  <sheetProtection password="E10F" sheet="1"/>
  <phoneticPr fontId="2" type="noConversion"/>
  <conditionalFormatting sqref="E28 E20:E26">
    <cfRule type="cellIs" dxfId="245" priority="2" stopIfTrue="1" operator="greaterThanOrEqual">
      <formula>100</formula>
    </cfRule>
    <cfRule type="cellIs" dxfId="244" priority="3" stopIfTrue="1" operator="lessThan">
      <formula>100</formula>
    </cfRule>
  </conditionalFormatting>
  <conditionalFormatting sqref="E27">
    <cfRule type="cellIs" dxfId="243" priority="4" stopIfTrue="1" operator="greaterThanOrEqual">
      <formula>100.01</formula>
    </cfRule>
    <cfRule type="cellIs" dxfId="242" priority="5" stopIfTrue="1" operator="lessThan">
      <formula>100.01</formula>
    </cfRule>
  </conditionalFormatting>
  <conditionalFormatting sqref="D14">
    <cfRule type="cellIs" dxfId="241" priority="1" stopIfTrue="1" operator="lessThan">
      <formula>2</formula>
    </cfRule>
  </conditionalFormatting>
  <dataValidations count="3">
    <dataValidation type="list" allowBlank="1" showInputMessage="1" showErrorMessage="1" promptTitle="Select Material" sqref="C12:D12 C4" xr:uid="{00000000-0002-0000-0600-000000000000}">
      <formula1>Materials</formula1>
    </dataValidation>
    <dataValidation type="list" allowBlank="1" showInputMessage="1" showErrorMessage="1" sqref="D5" xr:uid="{00000000-0002-0000-0600-000001000000}">
      <formula1>"Round"</formula1>
    </dataValidation>
    <dataValidation type="list" allowBlank="1" showInputMessage="1" showErrorMessage="1" promptTitle="Select Material" sqref="D4" xr:uid="{00000000-0002-0000-0600-000002000000}">
      <formula1>"Steel"</formula1>
    </dataValidation>
  </dataValidations>
  <hyperlinks>
    <hyperlink ref="B30" location="'Cover Sheet'!A1" display="BACK to COVER SHEET" xr:uid="{00000000-0004-0000-0600-000000000000}"/>
  </hyperlinks>
  <pageMargins left="0.75" right="0.75" top="1" bottom="1" header="0.5" footer="0.5"/>
  <pageSetup paperSize="9" orientation="portrait" horizontalDpi="4294967294"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1:N30"/>
  <sheetViews>
    <sheetView showGridLines="0" topLeftCell="A7" workbookViewId="0">
      <selection activeCell="D14" sqref="D14"/>
    </sheetView>
  </sheetViews>
  <sheetFormatPr baseColWidth="10" defaultColWidth="9.140625" defaultRowHeight="12.75" x14ac:dyDescent="0.2"/>
  <cols>
    <col min="1" max="1" width="5.5703125" style="56" customWidth="1"/>
    <col min="2" max="2" width="46.140625" style="56" customWidth="1"/>
    <col min="3" max="3" width="11.42578125" style="56" customWidth="1"/>
    <col min="4" max="4" width="11.7109375" style="56" customWidth="1"/>
    <col min="5" max="5" width="5.85546875" style="56" customWidth="1"/>
    <col min="6" max="6" width="8.7109375" style="56" customWidth="1"/>
    <col min="7" max="7" width="9.140625" style="56"/>
    <col min="8" max="8" width="12.42578125" style="56" bestFit="1" customWidth="1"/>
    <col min="9" max="16384" width="9.140625" style="56"/>
  </cols>
  <sheetData>
    <row r="1" spans="2:9" ht="15.75" x14ac:dyDescent="0.25">
      <c r="B1" s="55" t="s">
        <v>36</v>
      </c>
    </row>
    <row r="3" spans="2:9" x14ac:dyDescent="0.2">
      <c r="B3" s="57" t="s">
        <v>18</v>
      </c>
      <c r="C3" s="57" t="s">
        <v>1</v>
      </c>
      <c r="D3" s="57" t="s">
        <v>2</v>
      </c>
    </row>
    <row r="4" spans="2:9" x14ac:dyDescent="0.2">
      <c r="B4" s="58" t="s">
        <v>30</v>
      </c>
      <c r="C4" s="44" t="s">
        <v>7</v>
      </c>
      <c r="D4" s="22" t="s">
        <v>7</v>
      </c>
    </row>
    <row r="5" spans="2:9" x14ac:dyDescent="0.2">
      <c r="B5" s="58" t="s">
        <v>43</v>
      </c>
      <c r="C5" s="44" t="s">
        <v>44</v>
      </c>
      <c r="D5" s="3" t="s">
        <v>44</v>
      </c>
    </row>
    <row r="6" spans="2:9" x14ac:dyDescent="0.2">
      <c r="B6" s="59" t="s">
        <v>19</v>
      </c>
      <c r="C6" s="46" t="str">
        <f>HLOOKUP(C4,MaterialData!$C$3:$O$4,2,FALSE)</f>
        <v>Steel</v>
      </c>
      <c r="D6" s="46" t="str">
        <f>HLOOKUP(D4,MaterialData!$C$3:$O$4,2,FALSE)</f>
        <v>Steel</v>
      </c>
    </row>
    <row r="7" spans="2:9" x14ac:dyDescent="0.2">
      <c r="B7" s="59" t="s">
        <v>20</v>
      </c>
      <c r="C7" s="46">
        <f>INDEX(Innertable,MATCH($B7,MaterialData!$B$5:$B$10,0),MATCH(C$6,MaterialData!$C$4:$O$4,0))</f>
        <v>200000000000</v>
      </c>
      <c r="D7" s="46">
        <f>INDEX(Innertable,MATCH($B7,MaterialData!$B$5:$B$10,0),MATCH(D$6,MaterialData!$C$4:$O$4,0))</f>
        <v>200000000000</v>
      </c>
      <c r="I7" s="60"/>
    </row>
    <row r="8" spans="2:9" x14ac:dyDescent="0.2">
      <c r="B8" s="59" t="s">
        <v>10</v>
      </c>
      <c r="C8" s="46">
        <f>INDEX(Innertable,MATCH($B8,MaterialData!$B$5:$B$10,0),MATCH(C$6,MaterialData!$C$4:$O$4,0))</f>
        <v>305000000</v>
      </c>
      <c r="D8" s="46">
        <f>INDEX(Innertable,MATCH($B8,MaterialData!$B$5:$B$10,0),MATCH(D$6,MaterialData!$C$4:$O$4,0))</f>
        <v>305000000</v>
      </c>
      <c r="I8" s="60"/>
    </row>
    <row r="9" spans="2:9" x14ac:dyDescent="0.2">
      <c r="B9" s="59" t="s">
        <v>11</v>
      </c>
      <c r="C9" s="46">
        <f>INDEX(Innertable,MATCH($B9,MaterialData!$B$5:$B$10,0),MATCH(C$6,MaterialData!$C$4:$O$4,0))</f>
        <v>365000000</v>
      </c>
      <c r="D9" s="46">
        <f>INDEX(Innertable,MATCH($B9,MaterialData!$B$5:$B$10,0),MATCH(D$6,MaterialData!$C$4:$O$4,0))</f>
        <v>365000000</v>
      </c>
      <c r="I9" s="60"/>
    </row>
    <row r="10" spans="2:9" x14ac:dyDescent="0.2">
      <c r="B10" s="59" t="s">
        <v>9</v>
      </c>
      <c r="C10" s="46">
        <f>INDEX(Innertable,MATCH($B10,MaterialData!$B$5:$B$10,0),MATCH(C$6,MaterialData!$C$4:$O$4,0))</f>
        <v>180000000</v>
      </c>
      <c r="D10" s="46">
        <f>INDEX(Innertable,MATCH($B10,MaterialData!$B$5:$B$10,0),MATCH(D$6,MaterialData!$C$4:$O$4,0))</f>
        <v>180000000</v>
      </c>
      <c r="I10" s="60"/>
    </row>
    <row r="11" spans="2:9" x14ac:dyDescent="0.2">
      <c r="B11" s="59" t="s">
        <v>8</v>
      </c>
      <c r="C11" s="46">
        <f>INDEX(Innertable,MATCH($B11,MaterialData!$B$5:$B$10,0),MATCH(C$6,MaterialData!$C$4:$O$4,0))</f>
        <v>300000000</v>
      </c>
      <c r="D11" s="46">
        <f>INDEX(Innertable,MATCH($B11,MaterialData!$B$5:$B$10,0),MATCH(D$6,MaterialData!$C$4:$O$4,0))</f>
        <v>300000000</v>
      </c>
      <c r="I11" s="60"/>
    </row>
    <row r="12" spans="2:9" x14ac:dyDescent="0.2">
      <c r="I12" s="60"/>
    </row>
    <row r="13" spans="2:9" x14ac:dyDescent="0.2">
      <c r="B13" s="59" t="s">
        <v>166</v>
      </c>
      <c r="C13" s="44">
        <f>IF(AND(D13&gt;=25,D13&lt;25.4,D14&gt;=2.5),25,25.4)</f>
        <v>25.4</v>
      </c>
      <c r="D13" s="3">
        <v>30</v>
      </c>
      <c r="I13" s="60"/>
    </row>
    <row r="14" spans="2:9" x14ac:dyDescent="0.2">
      <c r="B14" s="59" t="s">
        <v>167</v>
      </c>
      <c r="C14" s="44">
        <f>IF(AND(D13&gt;=25,D13&lt;25.4,D14&gt;=2.5),2.5,2.4)</f>
        <v>2.4</v>
      </c>
      <c r="D14" s="3">
        <v>2</v>
      </c>
      <c r="I14" s="60"/>
    </row>
    <row r="15" spans="2:9" x14ac:dyDescent="0.2">
      <c r="I15" s="60"/>
    </row>
    <row r="16" spans="2:9" x14ac:dyDescent="0.2">
      <c r="B16" s="59"/>
      <c r="C16" s="57" t="s">
        <v>1</v>
      </c>
      <c r="D16" s="57" t="s">
        <v>2</v>
      </c>
      <c r="I16" s="60"/>
    </row>
    <row r="17" spans="2:14" x14ac:dyDescent="0.2">
      <c r="B17" s="59" t="s">
        <v>4</v>
      </c>
      <c r="C17" s="44">
        <f>C13/1000</f>
        <v>2.5399999999999999E-2</v>
      </c>
      <c r="D17" s="44">
        <f>D13/1000</f>
        <v>0.03</v>
      </c>
      <c r="I17" s="60"/>
    </row>
    <row r="18" spans="2:14" x14ac:dyDescent="0.2">
      <c r="B18" s="59" t="s">
        <v>159</v>
      </c>
      <c r="C18" s="44">
        <f>C14/1000</f>
        <v>2.3999999999999998E-3</v>
      </c>
      <c r="D18" s="44">
        <f>D14/1000</f>
        <v>2E-3</v>
      </c>
      <c r="I18" s="60"/>
      <c r="M18" s="61"/>
    </row>
    <row r="19" spans="2:14" x14ac:dyDescent="0.2">
      <c r="B19" s="59" t="s">
        <v>3</v>
      </c>
      <c r="C19" s="44">
        <f>((C17)^4-((C17-2*C18))^4)*3.142/64</f>
        <v>1.1593489847999996E-8</v>
      </c>
      <c r="D19" s="44">
        <f>IF(D5="Round",((D17)^4-((D17-2*D18))^4)*3.142/64,IF(D5="Square",((D17)^4-((D17-2*D18))^4)/12,""))</f>
        <v>1.7331272000000002E-8</v>
      </c>
      <c r="I19" s="60"/>
      <c r="L19" s="60"/>
      <c r="M19" s="61"/>
    </row>
    <row r="20" spans="2:14" x14ac:dyDescent="0.2">
      <c r="B20" s="59" t="s">
        <v>0</v>
      </c>
      <c r="C20" s="46">
        <f>C7*C19</f>
        <v>2318.6979695999994</v>
      </c>
      <c r="D20" s="46">
        <f>D7*D19</f>
        <v>3466.2544000000003</v>
      </c>
      <c r="E20" s="62">
        <f>100*$D$20/$C$20</f>
        <v>149.49141481320081</v>
      </c>
    </row>
    <row r="21" spans="2:14" x14ac:dyDescent="0.2">
      <c r="B21" s="59" t="s">
        <v>160</v>
      </c>
      <c r="C21" s="47">
        <f>(C13^2-(C13-2*C14)^2)*PI()/4</f>
        <v>173.41591447815662</v>
      </c>
      <c r="D21" s="47">
        <f>IF(D5="Round",(D13^2-(D13-2*D14)^2)*PI()/4,IF(D5="Square",D13^2-(D13-2*D14)^2,""))</f>
        <v>175.92918860102841</v>
      </c>
      <c r="E21" s="62">
        <f>IF(D4="steel",100*$D$21/$C$21,"NA")</f>
        <v>101.4492753623188</v>
      </c>
      <c r="L21" s="60"/>
    </row>
    <row r="22" spans="2:14" x14ac:dyDescent="0.2">
      <c r="B22" s="59" t="s">
        <v>161</v>
      </c>
      <c r="C22" s="46">
        <f t="shared" ref="C22:D25" si="0">C$21*C8/1000000</f>
        <v>52891.853915837768</v>
      </c>
      <c r="D22" s="46">
        <f t="shared" si="0"/>
        <v>53658.402523313671</v>
      </c>
      <c r="E22" s="62">
        <f>100*$D$22/$C$22</f>
        <v>101.44927536231882</v>
      </c>
    </row>
    <row r="23" spans="2:14" x14ac:dyDescent="0.2">
      <c r="B23" s="59" t="s">
        <v>5</v>
      </c>
      <c r="C23" s="46">
        <f t="shared" si="0"/>
        <v>63296.808784527166</v>
      </c>
      <c r="D23" s="46">
        <f t="shared" si="0"/>
        <v>64214.153839375373</v>
      </c>
      <c r="E23" s="62">
        <f>100*$D$23/$C$23</f>
        <v>101.44927536231883</v>
      </c>
      <c r="L23" s="60"/>
    </row>
    <row r="24" spans="2:14" x14ac:dyDescent="0.2">
      <c r="B24" s="59" t="s">
        <v>162</v>
      </c>
      <c r="C24" s="46">
        <f t="shared" si="0"/>
        <v>31214.864606068193</v>
      </c>
      <c r="D24" s="46">
        <f t="shared" si="0"/>
        <v>31667.253948185116</v>
      </c>
      <c r="E24" s="62">
        <f>100*$D$24/$C$24</f>
        <v>101.44927536231883</v>
      </c>
      <c r="L24" s="60"/>
    </row>
    <row r="25" spans="2:14" x14ac:dyDescent="0.2">
      <c r="B25" s="59" t="s">
        <v>6</v>
      </c>
      <c r="C25" s="46">
        <f t="shared" si="0"/>
        <v>52024.774343446981</v>
      </c>
      <c r="D25" s="46">
        <f t="shared" si="0"/>
        <v>52778.756580308524</v>
      </c>
      <c r="E25" s="62">
        <f>100*$D$25/$C$25</f>
        <v>101.44927536231883</v>
      </c>
      <c r="L25" s="60"/>
    </row>
    <row r="26" spans="2:14" x14ac:dyDescent="0.2">
      <c r="B26" s="59" t="s">
        <v>163</v>
      </c>
      <c r="C26" s="46">
        <f>4*C9*C19/(0.5*C17*1)</f>
        <v>1332.7948959118107</v>
      </c>
      <c r="D26" s="46">
        <f>4*D9*D19/(0.5*D17*1)</f>
        <v>1686.9104746666669</v>
      </c>
      <c r="E26" s="62">
        <f>100*$D$26/$C$26</f>
        <v>126.5693978751767</v>
      </c>
    </row>
    <row r="27" spans="2:14" x14ac:dyDescent="0.2">
      <c r="B27" s="59" t="s">
        <v>164</v>
      </c>
      <c r="C27" s="46">
        <f>C26*1^3/(48*C7*C19)</f>
        <v>1.1975065616797901E-2</v>
      </c>
      <c r="D27" s="46">
        <f>C26*1^3/(48*D7*D19)</f>
        <v>8.0105373487577985E-3</v>
      </c>
      <c r="E27" s="62">
        <f>100*$D$27/$C$27</f>
        <v>66.893473531544572</v>
      </c>
    </row>
    <row r="28" spans="2:14" x14ac:dyDescent="0.2">
      <c r="B28" s="59" t="s">
        <v>165</v>
      </c>
      <c r="C28" s="46">
        <f>0.5*C26*(C26*1^3/(48*C7*C19))</f>
        <v>7.9801531661386313</v>
      </c>
      <c r="D28" s="46">
        <f>0.5*D26*(D26*1^3/(48*D7*D19))</f>
        <v>8.5516989340740768</v>
      </c>
      <c r="E28" s="62">
        <f>100*$D$28/$C$28</f>
        <v>107.16209020098295</v>
      </c>
    </row>
    <row r="29" spans="2:14" x14ac:dyDescent="0.2">
      <c r="E29" s="63"/>
      <c r="F29" s="63"/>
      <c r="G29" s="63"/>
      <c r="H29" s="63"/>
      <c r="I29" s="63"/>
      <c r="J29" s="63"/>
      <c r="K29" s="63"/>
      <c r="L29" s="63"/>
      <c r="M29" s="63"/>
      <c r="N29" s="63"/>
    </row>
    <row r="30" spans="2:14" x14ac:dyDescent="0.2">
      <c r="B30" s="270" t="s">
        <v>565</v>
      </c>
      <c r="C30" s="60"/>
    </row>
  </sheetData>
  <sheetProtection password="E10F" sheet="1"/>
  <phoneticPr fontId="2" type="noConversion"/>
  <conditionalFormatting sqref="E28 E20:E26">
    <cfRule type="cellIs" dxfId="240" priority="3" stopIfTrue="1" operator="greaterThanOrEqual">
      <formula>100</formula>
    </cfRule>
    <cfRule type="cellIs" dxfId="239" priority="4" stopIfTrue="1" operator="lessThan">
      <formula>100</formula>
    </cfRule>
  </conditionalFormatting>
  <conditionalFormatting sqref="E27">
    <cfRule type="cellIs" dxfId="238" priority="5" stopIfTrue="1" operator="greaterThanOrEqual">
      <formula>100.01</formula>
    </cfRule>
    <cfRule type="cellIs" dxfId="237" priority="6" stopIfTrue="1" operator="lessThan">
      <formula>100.01</formula>
    </cfRule>
  </conditionalFormatting>
  <conditionalFormatting sqref="D14">
    <cfRule type="cellIs" dxfId="236" priority="1" stopIfTrue="1" operator="lessThan">
      <formula>2</formula>
    </cfRule>
    <cfRule type="cellIs" dxfId="235" priority="2" stopIfTrue="1" operator="lessThan">
      <formula>1.2</formula>
    </cfRule>
  </conditionalFormatting>
  <dataValidations count="3">
    <dataValidation type="list" allowBlank="1" showInputMessage="1" showErrorMessage="1" promptTitle="Select Material" sqref="C12:D12 C4" xr:uid="{00000000-0002-0000-0700-000000000000}">
      <formula1>Materials</formula1>
    </dataValidation>
    <dataValidation type="list" allowBlank="1" showInputMessage="1" showErrorMessage="1" sqref="D5" xr:uid="{00000000-0002-0000-0700-000001000000}">
      <formula1>Tube_Type</formula1>
    </dataValidation>
    <dataValidation type="list" allowBlank="1" showInputMessage="1" showErrorMessage="1" promptTitle="Select Material" sqref="D4" xr:uid="{00000000-0002-0000-0700-000002000000}">
      <formula1>Metallic_Mats</formula1>
    </dataValidation>
  </dataValidations>
  <hyperlinks>
    <hyperlink ref="B30" location="'Cover Sheet'!A1" display="BACK to COVER SHEET" xr:uid="{00000000-0004-0000-0700-000000000000}"/>
  </hyperlinks>
  <pageMargins left="0.75" right="0.75" top="1" bottom="1" header="0.5" footer="0.5"/>
  <pageSetup paperSize="9" orientation="portrait" horizontalDpi="4294967294"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B1:M30"/>
  <sheetViews>
    <sheetView showGridLines="0" topLeftCell="A4" workbookViewId="0">
      <selection activeCell="D15" sqref="D15"/>
    </sheetView>
  </sheetViews>
  <sheetFormatPr baseColWidth="10" defaultColWidth="9.140625" defaultRowHeight="12.75" x14ac:dyDescent="0.2"/>
  <cols>
    <col min="1" max="1" width="5.140625" style="56" customWidth="1"/>
    <col min="2" max="2" width="47" style="56" customWidth="1"/>
    <col min="3" max="3" width="11.42578125" style="56" customWidth="1"/>
    <col min="4" max="4" width="11.7109375" style="56" customWidth="1"/>
    <col min="5" max="5" width="5.85546875" style="56" customWidth="1"/>
    <col min="6" max="6" width="8.7109375" style="56" customWidth="1"/>
    <col min="7" max="7" width="9.140625" style="56"/>
    <col min="8" max="8" width="12.42578125" style="56" bestFit="1" customWidth="1"/>
    <col min="9" max="16384" width="9.140625" style="56"/>
  </cols>
  <sheetData>
    <row r="1" spans="2:9" ht="15.75" x14ac:dyDescent="0.25">
      <c r="B1" s="55" t="s">
        <v>150</v>
      </c>
    </row>
    <row r="3" spans="2:9" x14ac:dyDescent="0.2">
      <c r="B3" s="57" t="s">
        <v>18</v>
      </c>
      <c r="C3" s="57" t="s">
        <v>1</v>
      </c>
      <c r="D3" s="57" t="s">
        <v>2</v>
      </c>
    </row>
    <row r="4" spans="2:9" x14ac:dyDescent="0.2">
      <c r="B4" s="58" t="s">
        <v>30</v>
      </c>
      <c r="C4" s="44" t="s">
        <v>7</v>
      </c>
      <c r="D4" s="44" t="s">
        <v>7</v>
      </c>
    </row>
    <row r="5" spans="2:9" x14ac:dyDescent="0.2">
      <c r="B5" s="58" t="s">
        <v>43</v>
      </c>
      <c r="C5" s="45" t="s">
        <v>44</v>
      </c>
      <c r="D5" s="22" t="s">
        <v>44</v>
      </c>
    </row>
    <row r="6" spans="2:9" x14ac:dyDescent="0.2">
      <c r="B6" s="59" t="s">
        <v>19</v>
      </c>
      <c r="C6" s="46" t="str">
        <f>HLOOKUP(C4,MaterialData!$C$3:$O$4,2,FALSE)</f>
        <v>Steel</v>
      </c>
      <c r="D6" s="46" t="str">
        <f>HLOOKUP(D4,MaterialData!$C$3:$O$4,2,FALSE)</f>
        <v>Steel</v>
      </c>
    </row>
    <row r="7" spans="2:9" x14ac:dyDescent="0.2">
      <c r="B7" s="59" t="s">
        <v>20</v>
      </c>
      <c r="C7" s="46">
        <f>INDEX(Innertable,MATCH($B7,MaterialData!$B$5:$B$10,0),MATCH(C$6,MaterialData!$C$4:$O$4,0))</f>
        <v>200000000000</v>
      </c>
      <c r="D7" s="46">
        <f>INDEX(Innertable,MATCH($B7,MaterialData!$B$5:$B$10,0),MATCH(D$6,MaterialData!$C$4:$O$4,0))</f>
        <v>200000000000</v>
      </c>
      <c r="I7" s="60"/>
    </row>
    <row r="8" spans="2:9" x14ac:dyDescent="0.2">
      <c r="B8" s="59" t="s">
        <v>10</v>
      </c>
      <c r="C8" s="46">
        <f>INDEX(Innertable,MATCH($B8,MaterialData!$B$5:$B$10,0),MATCH(C$6,MaterialData!$C$4:$O$4,0))</f>
        <v>305000000</v>
      </c>
      <c r="D8" s="46">
        <f>INDEX(Innertable,MATCH($B8,MaterialData!$B$5:$B$10,0),MATCH(D$6,MaterialData!$C$4:$O$4,0))</f>
        <v>305000000</v>
      </c>
      <c r="I8" s="60"/>
    </row>
    <row r="9" spans="2:9" x14ac:dyDescent="0.2">
      <c r="B9" s="59" t="s">
        <v>11</v>
      </c>
      <c r="C9" s="46">
        <f>INDEX(Innertable,MATCH($B9,MaterialData!$B$5:$B$10,0),MATCH(C$6,MaterialData!$C$4:$O$4,0))</f>
        <v>365000000</v>
      </c>
      <c r="D9" s="46">
        <f>INDEX(Innertable,MATCH($B9,MaterialData!$B$5:$B$10,0),MATCH(D$6,MaterialData!$C$4:$O$4,0))</f>
        <v>365000000</v>
      </c>
      <c r="I9" s="60"/>
    </row>
    <row r="10" spans="2:9" x14ac:dyDescent="0.2">
      <c r="B10" s="59" t="s">
        <v>9</v>
      </c>
      <c r="C10" s="46">
        <f>INDEX(Innertable,MATCH($B10,MaterialData!$B$5:$B$10,0),MATCH(C$6,MaterialData!$C$4:$O$4,0))</f>
        <v>180000000</v>
      </c>
      <c r="D10" s="46">
        <f>INDEX(Innertable,MATCH($B10,MaterialData!$B$5:$B$10,0),MATCH(D$6,MaterialData!$C$4:$O$4,0))</f>
        <v>180000000</v>
      </c>
      <c r="I10" s="60"/>
    </row>
    <row r="11" spans="2:9" x14ac:dyDescent="0.2">
      <c r="B11" s="59" t="s">
        <v>8</v>
      </c>
      <c r="C11" s="46">
        <f>INDEX(Innertable,MATCH($B11,MaterialData!$B$5:$B$10,0),MATCH(C$6,MaterialData!$C$4:$O$4,0))</f>
        <v>300000000</v>
      </c>
      <c r="D11" s="46">
        <f>INDEX(Innertable,MATCH($B11,MaterialData!$B$5:$B$10,0),MATCH(D$6,MaterialData!$C$4:$O$4,0))</f>
        <v>300000000</v>
      </c>
      <c r="I11" s="60"/>
    </row>
    <row r="12" spans="2:9" x14ac:dyDescent="0.2">
      <c r="I12" s="60"/>
    </row>
    <row r="13" spans="2:9" x14ac:dyDescent="0.2">
      <c r="B13" s="59" t="s">
        <v>166</v>
      </c>
      <c r="C13" s="474" t="s">
        <v>588</v>
      </c>
      <c r="D13" s="475" t="s">
        <v>646</v>
      </c>
      <c r="I13" s="60"/>
    </row>
    <row r="14" spans="2:9" x14ac:dyDescent="0.2">
      <c r="B14" s="59" t="s">
        <v>167</v>
      </c>
      <c r="C14" s="44">
        <v>1.6</v>
      </c>
      <c r="D14" s="22">
        <v>1.5</v>
      </c>
      <c r="I14" s="60"/>
    </row>
    <row r="15" spans="2:9" x14ac:dyDescent="0.2">
      <c r="I15" s="60"/>
    </row>
    <row r="16" spans="2:9" x14ac:dyDescent="0.2">
      <c r="B16" s="59"/>
      <c r="C16" s="57" t="s">
        <v>1</v>
      </c>
      <c r="D16" s="57" t="s">
        <v>2</v>
      </c>
      <c r="I16" s="60"/>
    </row>
    <row r="17" spans="2:13" x14ac:dyDescent="0.2">
      <c r="B17" s="59" t="s">
        <v>4</v>
      </c>
      <c r="C17" s="44">
        <f>C13/1000</f>
        <v>2.5399999999999999E-2</v>
      </c>
      <c r="D17" s="44">
        <f>D13/1000</f>
        <v>0.03</v>
      </c>
      <c r="I17" s="60"/>
    </row>
    <row r="18" spans="2:13" x14ac:dyDescent="0.2">
      <c r="B18" s="59" t="s">
        <v>159</v>
      </c>
      <c r="C18" s="44">
        <f>C14/1000</f>
        <v>1.6000000000000001E-3</v>
      </c>
      <c r="D18" s="44">
        <f>D14/1000</f>
        <v>1.5E-3</v>
      </c>
      <c r="I18" s="60"/>
      <c r="M18" s="61"/>
    </row>
    <row r="19" spans="2:13" x14ac:dyDescent="0.2">
      <c r="B19" s="59" t="s">
        <v>3</v>
      </c>
      <c r="C19" s="46">
        <f>IF(C5="Round",((C17)^4-((C17-2*C18))^4)*3.142/64,IF(C5="Square",((C17)^4-((C17-2*C18))^4)/12,""))</f>
        <v>8.5099184800000022E-9</v>
      </c>
      <c r="D19" s="46">
        <f>IF(D5="Round",((D17)^4-((D17-2*D18))^4)*3.142/64,IF(D5="Square",((D17)^4-((D17-2*D18))^4)/12,""))</f>
        <v>1.3675505906250005E-8</v>
      </c>
      <c r="I19" s="60"/>
      <c r="L19" s="60"/>
      <c r="M19" s="61"/>
    </row>
    <row r="20" spans="2:13" x14ac:dyDescent="0.2">
      <c r="B20" s="59" t="s">
        <v>0</v>
      </c>
      <c r="C20" s="46">
        <f>C7*C19</f>
        <v>1701.9836960000005</v>
      </c>
      <c r="D20" s="46">
        <f>D7*D19</f>
        <v>2735.101181250001</v>
      </c>
      <c r="E20" s="54">
        <f t="shared" ref="E20:E28" si="0">100*D20/C20</f>
        <v>160.70078624595709</v>
      </c>
    </row>
    <row r="21" spans="2:13" x14ac:dyDescent="0.2">
      <c r="B21" s="59" t="s">
        <v>160</v>
      </c>
      <c r="C21" s="47">
        <f>IF(C5="Round",(C13^2-(C13-2*C14)^2)*PI()/4,IF(C5="Square",C13^2-(C13-2*C14)^2,""))</f>
        <v>119.63184824869931</v>
      </c>
      <c r="D21" s="47">
        <f>IF(D5="Round",(D13^2-(D13-2*D14)^2)*PI()/4,IF(D5="Square",D13^2-(D13-2*D14)^2,""))</f>
        <v>134.30308594096365</v>
      </c>
      <c r="E21" s="54">
        <f t="shared" si="0"/>
        <v>112.26365546218487</v>
      </c>
      <c r="L21" s="60"/>
    </row>
    <row r="22" spans="2:13" x14ac:dyDescent="0.2">
      <c r="B22" s="59" t="s">
        <v>161</v>
      </c>
      <c r="C22" s="46">
        <f t="shared" ref="C22:D24" si="1">C$21*C8/1000000</f>
        <v>36487.713715853293</v>
      </c>
      <c r="D22" s="46">
        <f t="shared" si="1"/>
        <v>40962.441211993915</v>
      </c>
      <c r="E22" s="54">
        <f t="shared" si="0"/>
        <v>112.26365546218487</v>
      </c>
    </row>
    <row r="23" spans="2:13" x14ac:dyDescent="0.2">
      <c r="B23" s="59" t="s">
        <v>5</v>
      </c>
      <c r="C23" s="46">
        <f t="shared" si="1"/>
        <v>43665.624610775245</v>
      </c>
      <c r="D23" s="46">
        <f t="shared" si="1"/>
        <v>49020.62636845174</v>
      </c>
      <c r="E23" s="54">
        <f t="shared" si="0"/>
        <v>112.26365546218491</v>
      </c>
      <c r="L23" s="60"/>
    </row>
    <row r="24" spans="2:13" x14ac:dyDescent="0.2">
      <c r="B24" s="59" t="s">
        <v>162</v>
      </c>
      <c r="C24" s="46">
        <f t="shared" si="1"/>
        <v>21533.732684765877</v>
      </c>
      <c r="D24" s="46">
        <f t="shared" si="1"/>
        <v>24174.555469373459</v>
      </c>
      <c r="E24" s="54">
        <f t="shared" si="0"/>
        <v>112.26365546218489</v>
      </c>
      <c r="L24" s="60"/>
    </row>
    <row r="25" spans="2:13" x14ac:dyDescent="0.2">
      <c r="B25" s="59" t="s">
        <v>6</v>
      </c>
      <c r="C25" s="46">
        <f>C$21*C11/1000000</f>
        <v>35889.554474609795</v>
      </c>
      <c r="D25" s="46">
        <f>D$21*D11/1000000</f>
        <v>40290.925782289094</v>
      </c>
      <c r="E25" s="54">
        <f t="shared" si="0"/>
        <v>112.26365546218487</v>
      </c>
      <c r="L25" s="60"/>
    </row>
    <row r="26" spans="2:13" x14ac:dyDescent="0.2">
      <c r="B26" s="59" t="s">
        <v>163</v>
      </c>
      <c r="C26" s="46">
        <f>4*C9*C19/(0.5*C17*1)</f>
        <v>978.30558903937037</v>
      </c>
      <c r="D26" s="46">
        <f>4*D9*D19/(0.5*D17*1)</f>
        <v>1331.0825748750005</v>
      </c>
      <c r="E26" s="54">
        <f t="shared" si="0"/>
        <v>136.05999902157703</v>
      </c>
    </row>
    <row r="27" spans="2:13" x14ac:dyDescent="0.2">
      <c r="B27" s="59" t="s">
        <v>164</v>
      </c>
      <c r="C27" s="46">
        <f>C26*1^3/(48*C7*C19)</f>
        <v>1.1975065616797899E-2</v>
      </c>
      <c r="D27" s="46">
        <f>C26*1^3/(48*D7*D19)</f>
        <v>7.4517778640296895E-3</v>
      </c>
      <c r="E27" s="54">
        <f t="shared" si="0"/>
        <v>62.227449122089027</v>
      </c>
    </row>
    <row r="28" spans="2:13" x14ac:dyDescent="0.2">
      <c r="B28" s="59" t="s">
        <v>165</v>
      </c>
      <c r="C28" s="46">
        <f>0.5*C26*(C26*1^3/(48*C7*C19))</f>
        <v>5.8576368110132897</v>
      </c>
      <c r="D28" s="46">
        <f>0.5*D26*(D26*1^3/(48*D7*D19))</f>
        <v>6.747849164296877</v>
      </c>
      <c r="E28" s="54">
        <f t="shared" si="0"/>
        <v>115.19746583826853</v>
      </c>
    </row>
    <row r="30" spans="2:13" x14ac:dyDescent="0.2">
      <c r="B30" s="298" t="s">
        <v>565</v>
      </c>
    </row>
  </sheetData>
  <sheetProtection password="E10F" sheet="1"/>
  <phoneticPr fontId="2" type="noConversion"/>
  <conditionalFormatting sqref="E28 E20:E26">
    <cfRule type="cellIs" dxfId="234" priority="2" stopIfTrue="1" operator="greaterThanOrEqual">
      <formula>100</formula>
    </cfRule>
    <cfRule type="cellIs" dxfId="233" priority="3" stopIfTrue="1" operator="lessThan">
      <formula>100</formula>
    </cfRule>
  </conditionalFormatting>
  <conditionalFormatting sqref="E27">
    <cfRule type="cellIs" dxfId="232" priority="4" stopIfTrue="1" operator="greaterThanOrEqual">
      <formula>100.01</formula>
    </cfRule>
    <cfRule type="cellIs" dxfId="231" priority="5" stopIfTrue="1" operator="lessThan">
      <formula>100.01</formula>
    </cfRule>
  </conditionalFormatting>
  <conditionalFormatting sqref="D14">
    <cfRule type="cellIs" dxfId="230" priority="1" stopIfTrue="1" operator="lessThan">
      <formula>1.2</formula>
    </cfRule>
  </conditionalFormatting>
  <dataValidations count="3">
    <dataValidation type="list" allowBlank="1" showInputMessage="1" showErrorMessage="1" promptTitle="Select Material" sqref="C12:D12 C4:D4" xr:uid="{00000000-0002-0000-0800-000000000000}">
      <formula1>Materials</formula1>
    </dataValidation>
    <dataValidation allowBlank="1" showInputMessage="1" showErrorMessage="1" promptTitle="Select Material" sqref="C5" xr:uid="{00000000-0002-0000-0800-000001000000}"/>
    <dataValidation type="list" allowBlank="1" showInputMessage="1" showErrorMessage="1" promptTitle="Select Material" sqref="D5" xr:uid="{00000000-0002-0000-0800-000002000000}">
      <formula1>Tube_Type</formula1>
    </dataValidation>
  </dataValidations>
  <hyperlinks>
    <hyperlink ref="B30" location="'Cover Sheet'!A1" display="BACK to COVER SHEET" xr:uid="{00000000-0004-0000-0800-000000000000}"/>
  </hyperlinks>
  <pageMargins left="0.75" right="0.75" top="1" bottom="1" header="0.5" footer="0.5"/>
  <pageSetup paperSize="9" orientation="portrait" horizontalDpi="4294967294" verticalDpi="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B1:P189"/>
  <sheetViews>
    <sheetView showGridLines="0" tabSelected="1" view="pageBreakPreview" topLeftCell="A7" zoomScaleNormal="100" zoomScaleSheetLayoutView="100" workbookViewId="0">
      <selection activeCell="E15" sqref="E15"/>
    </sheetView>
  </sheetViews>
  <sheetFormatPr baseColWidth="10" defaultColWidth="9.140625" defaultRowHeight="12.75" x14ac:dyDescent="0.2"/>
  <cols>
    <col min="1" max="1" width="3.42578125" style="56" customWidth="1"/>
    <col min="2" max="2" width="45.5703125" style="56" customWidth="1"/>
    <col min="3" max="3" width="11.42578125" style="56" customWidth="1"/>
    <col min="4" max="4" width="3.5703125" style="105" customWidth="1"/>
    <col min="5" max="5" width="11.7109375" style="56" customWidth="1"/>
    <col min="6" max="6" width="15.28515625" style="56" customWidth="1"/>
    <col min="7" max="7" width="11.7109375" style="56" customWidth="1"/>
    <col min="8" max="8" width="6.7109375" style="56" customWidth="1"/>
    <col min="9" max="9" width="11.140625" style="56" bestFit="1" customWidth="1"/>
    <col min="10" max="10" width="12.42578125" style="56" bestFit="1" customWidth="1"/>
    <col min="11" max="12" width="9.140625" style="56"/>
    <col min="13" max="13" width="3" style="56" customWidth="1"/>
    <col min="14" max="16384" width="9.140625" style="56"/>
  </cols>
  <sheetData>
    <row r="1" spans="2:12" ht="15.75" x14ac:dyDescent="0.25">
      <c r="B1" s="55" t="s">
        <v>41</v>
      </c>
    </row>
    <row r="2" spans="2:12" x14ac:dyDescent="0.2">
      <c r="C2" s="639" t="s">
        <v>27</v>
      </c>
      <c r="D2" s="639"/>
      <c r="E2" s="639"/>
      <c r="F2" s="640" t="s">
        <v>28</v>
      </c>
      <c r="G2" s="641"/>
    </row>
    <row r="4" spans="2:12" x14ac:dyDescent="0.2">
      <c r="B4" s="57" t="s">
        <v>18</v>
      </c>
      <c r="C4" s="57" t="s">
        <v>1</v>
      </c>
      <c r="D4" s="106"/>
      <c r="E4" s="57" t="s">
        <v>2</v>
      </c>
      <c r="F4" s="57" t="s">
        <v>21</v>
      </c>
      <c r="G4" s="57" t="s">
        <v>22</v>
      </c>
      <c r="I4" s="127"/>
      <c r="J4" s="259" t="s">
        <v>290</v>
      </c>
      <c r="K4" s="259" t="s">
        <v>289</v>
      </c>
    </row>
    <row r="5" spans="2:12" x14ac:dyDescent="0.2">
      <c r="B5" s="58" t="s">
        <v>30</v>
      </c>
      <c r="C5" s="44" t="s">
        <v>7</v>
      </c>
      <c r="E5" s="22" t="s">
        <v>7</v>
      </c>
      <c r="F5" s="117" t="s">
        <v>7</v>
      </c>
      <c r="G5" s="107"/>
      <c r="I5" s="239" t="s">
        <v>247</v>
      </c>
      <c r="J5" s="56">
        <f>F22/1000</f>
        <v>0.25</v>
      </c>
      <c r="K5" s="250">
        <f>J5</f>
        <v>0.25</v>
      </c>
    </row>
    <row r="6" spans="2:12" x14ac:dyDescent="0.2">
      <c r="B6" s="58" t="s">
        <v>46</v>
      </c>
      <c r="C6" s="44" t="s">
        <v>44</v>
      </c>
      <c r="E6" s="22" t="s">
        <v>44</v>
      </c>
      <c r="F6" s="108" t="s">
        <v>23</v>
      </c>
      <c r="G6" s="109"/>
      <c r="I6" s="239" t="s">
        <v>248</v>
      </c>
      <c r="J6" s="56">
        <f>F21/1000</f>
        <v>2E-3</v>
      </c>
      <c r="K6" s="250">
        <f>F20/1000</f>
        <v>2E-3</v>
      </c>
    </row>
    <row r="7" spans="2:12" x14ac:dyDescent="0.2">
      <c r="B7" s="59" t="s">
        <v>19</v>
      </c>
      <c r="C7" s="46" t="str">
        <f>HLOOKUP(C5,MaterialData!$C$3:$O$4,2,FALSE)</f>
        <v>Steel</v>
      </c>
      <c r="D7" s="110"/>
      <c r="E7" s="46" t="str">
        <f>HLOOKUP(E5,MaterialData!$C$3:$O$4,2,FALSE)</f>
        <v>Steel</v>
      </c>
      <c r="F7" s="46" t="str">
        <f>HLOOKUP(F5,MaterialData!$C$3:$O$4,2,FALSE)</f>
        <v>Steel</v>
      </c>
      <c r="G7" s="111"/>
    </row>
    <row r="8" spans="2:12"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109"/>
      <c r="I8" s="239" t="s">
        <v>250</v>
      </c>
      <c r="J8" s="60">
        <f>J5*J6</f>
        <v>5.0000000000000001E-4</v>
      </c>
      <c r="K8" s="239" t="s">
        <v>269</v>
      </c>
      <c r="L8" s="60">
        <f>(J5*J6^3)/12</f>
        <v>1.6666666666666669E-10</v>
      </c>
    </row>
    <row r="9" spans="2:12"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111"/>
      <c r="I9" s="239" t="s">
        <v>251</v>
      </c>
      <c r="J9" s="60">
        <f>K5*K6</f>
        <v>5.0000000000000001E-4</v>
      </c>
      <c r="K9" s="239" t="s">
        <v>270</v>
      </c>
      <c r="L9" s="60">
        <f>(K5*K6^3)/12</f>
        <v>1.6666666666666669E-10</v>
      </c>
    </row>
    <row r="10" spans="2:12"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I10" s="239" t="s">
        <v>432</v>
      </c>
      <c r="J10" s="56">
        <f>J6/2</f>
        <v>1E-3</v>
      </c>
      <c r="K10" s="239" t="s">
        <v>254</v>
      </c>
      <c r="L10" s="60">
        <f>L8+(J8*($J$12-J10)^2)</f>
        <v>5.0166666666666692E-8</v>
      </c>
    </row>
    <row r="11" spans="2:12"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I11" s="239" t="s">
        <v>433</v>
      </c>
      <c r="J11" s="56">
        <f>(F18-0.5*F20)*0.001</f>
        <v>2.1000000000000001E-2</v>
      </c>
      <c r="K11" s="239" t="s">
        <v>255</v>
      </c>
      <c r="L11" s="60">
        <f>L9+(J9*($J$12-J11)^2)</f>
        <v>5.0166666666666673E-8</v>
      </c>
    </row>
    <row r="12" spans="2:12"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I12" s="239" t="s">
        <v>249</v>
      </c>
      <c r="J12" s="252">
        <f>(J8*J10+J9*J11)/(J8+J9)</f>
        <v>1.1000000000000001E-2</v>
      </c>
      <c r="K12" s="239" t="s">
        <v>260</v>
      </c>
      <c r="L12" s="266">
        <f>SUM(L10:L11)</f>
        <v>1.0033333333333337E-7</v>
      </c>
    </row>
    <row r="13" spans="2:12" x14ac:dyDescent="0.2">
      <c r="C13" s="105"/>
      <c r="D13" s="56"/>
      <c r="E13" s="107"/>
      <c r="G13" s="109"/>
    </row>
    <row r="14" spans="2:12" x14ac:dyDescent="0.2">
      <c r="B14" s="59" t="s">
        <v>31</v>
      </c>
      <c r="C14" s="44">
        <v>2</v>
      </c>
      <c r="D14" s="56"/>
      <c r="E14" s="22">
        <v>2</v>
      </c>
      <c r="G14" s="109"/>
      <c r="I14" s="239"/>
      <c r="K14" s="239"/>
      <c r="L14" s="60"/>
    </row>
    <row r="15" spans="2:12" x14ac:dyDescent="0.2">
      <c r="B15" s="59" t="s">
        <v>166</v>
      </c>
      <c r="C15" s="44">
        <v>25.4</v>
      </c>
      <c r="E15" s="22">
        <v>25</v>
      </c>
      <c r="F15" s="105"/>
      <c r="G15" s="109"/>
      <c r="I15" s="239"/>
      <c r="K15" s="239"/>
      <c r="L15" s="60"/>
    </row>
    <row r="16" spans="2:12" x14ac:dyDescent="0.2">
      <c r="B16" s="59" t="s">
        <v>167</v>
      </c>
      <c r="C16" s="265">
        <v>1.2</v>
      </c>
      <c r="E16" s="22">
        <v>1.5</v>
      </c>
      <c r="F16" s="105"/>
      <c r="G16" s="109"/>
    </row>
    <row r="17" spans="2:16" x14ac:dyDescent="0.2">
      <c r="B17" s="105"/>
      <c r="C17" s="105"/>
      <c r="E17" s="109"/>
      <c r="F17" s="105"/>
      <c r="G17" s="109"/>
    </row>
    <row r="18" spans="2:16" x14ac:dyDescent="0.2">
      <c r="B18" s="99" t="s">
        <v>24</v>
      </c>
      <c r="C18" s="105"/>
      <c r="E18" s="109"/>
      <c r="F18" s="241">
        <f>F19+F20+F21</f>
        <v>22</v>
      </c>
      <c r="G18" s="109"/>
      <c r="K18" s="239"/>
      <c r="L18" s="60"/>
    </row>
    <row r="19" spans="2:16" x14ac:dyDescent="0.2">
      <c r="B19" s="99" t="s">
        <v>25</v>
      </c>
      <c r="C19" s="105"/>
      <c r="E19" s="109"/>
      <c r="F19" s="52">
        <v>18</v>
      </c>
      <c r="G19" s="109"/>
      <c r="K19" s="239"/>
      <c r="L19" s="60"/>
    </row>
    <row r="20" spans="2:16" x14ac:dyDescent="0.2">
      <c r="B20" s="99" t="s">
        <v>287</v>
      </c>
      <c r="E20" s="109"/>
      <c r="F20" s="52">
        <v>2</v>
      </c>
      <c r="G20" s="109"/>
      <c r="J20" s="186"/>
      <c r="L20" s="60"/>
    </row>
    <row r="21" spans="2:16" x14ac:dyDescent="0.2">
      <c r="B21" s="264" t="s">
        <v>286</v>
      </c>
      <c r="E21" s="109"/>
      <c r="F21" s="52">
        <v>2</v>
      </c>
      <c r="G21" s="109"/>
      <c r="J21" s="186"/>
      <c r="L21" s="60"/>
    </row>
    <row r="22" spans="2:16" x14ac:dyDescent="0.2">
      <c r="B22" s="99" t="s">
        <v>26</v>
      </c>
      <c r="E22" s="109"/>
      <c r="F22" s="52">
        <v>250</v>
      </c>
      <c r="G22" s="109"/>
      <c r="J22" s="186"/>
      <c r="L22" s="60"/>
    </row>
    <row r="23" spans="2:16" x14ac:dyDescent="0.2">
      <c r="B23" s="105"/>
      <c r="C23" s="105"/>
      <c r="E23" s="113"/>
      <c r="F23" s="105"/>
      <c r="G23" s="109"/>
      <c r="J23" s="186"/>
      <c r="L23" s="60"/>
    </row>
    <row r="24" spans="2:16" x14ac:dyDescent="0.2">
      <c r="B24" s="59" t="s">
        <v>4</v>
      </c>
      <c r="C24" s="44">
        <f>C15/1000</f>
        <v>2.5399999999999999E-2</v>
      </c>
      <c r="E24" s="44">
        <f>IF(F2="Composite only","No tubes",E15/1000)</f>
        <v>2.5000000000000001E-2</v>
      </c>
      <c r="F24" s="105"/>
      <c r="G24" s="109"/>
      <c r="L24" s="60"/>
    </row>
    <row r="25" spans="2:16" x14ac:dyDescent="0.2">
      <c r="B25" s="59" t="s">
        <v>159</v>
      </c>
      <c r="C25" s="44">
        <f>C16/1000</f>
        <v>1.1999999999999999E-3</v>
      </c>
      <c r="E25" s="44">
        <f>IF(F2="Composite only","",E16/1000)</f>
        <v>1.5E-3</v>
      </c>
      <c r="F25" s="105"/>
      <c r="G25" s="113"/>
      <c r="L25" s="60"/>
      <c r="P25" s="61"/>
    </row>
    <row r="26" spans="2:16" x14ac:dyDescent="0.2">
      <c r="B26" s="59" t="s">
        <v>3</v>
      </c>
      <c r="C26" s="46">
        <f>IF(C6="Round",((C24)^4-((C24-2*C25))^4)*3.142/64,((C24)^4-((C24-2*C25))^4)/12)</f>
        <v>6.6959174567999997E-9</v>
      </c>
      <c r="E26" s="46">
        <f>IF(F2="Composite only","",IF(E6="Round",((E24)^4-((E24-2*E25))^4)*3.142/64,IF(E6="Square",((E24)^4-((E24-2*E25))^4)/12,"")))</f>
        <v>7.6767405937500035E-9</v>
      </c>
      <c r="F26" s="115" t="str">
        <f>IF($F$2="Tubing only","Tubing Only",L12)</f>
        <v>Tubing Only</v>
      </c>
      <c r="G26" s="46">
        <f t="shared" ref="G26:G33" si="0">IF($F$2="Tubing only",E26,IF($F$2="Composite only",F26,IF($F$2="Tubes + Composite",E26+F26,"No Type Selected")))</f>
        <v>7.6767405937500035E-9</v>
      </c>
      <c r="L26" s="60"/>
      <c r="O26" s="60"/>
      <c r="P26" s="61"/>
    </row>
    <row r="27" spans="2:16" x14ac:dyDescent="0.2">
      <c r="B27" s="59" t="s">
        <v>0</v>
      </c>
      <c r="C27" s="46">
        <f>C8*C26*C14</f>
        <v>2678.3669827199997</v>
      </c>
      <c r="D27" s="110"/>
      <c r="E27" s="46">
        <f>IF(F2="Composite only","",E8*E26*E14)</f>
        <v>3070.6962375000012</v>
      </c>
      <c r="F27" s="115" t="str">
        <f>IF(F26="Tubing Only","",F26*F8)</f>
        <v/>
      </c>
      <c r="G27" s="46">
        <f t="shared" si="0"/>
        <v>3070.6962375000012</v>
      </c>
      <c r="H27" s="54">
        <f t="shared" ref="H27:H33" si="1">100*G27/C27</f>
        <v>114.64807688084528</v>
      </c>
    </row>
    <row r="28" spans="2:16" x14ac:dyDescent="0.2">
      <c r="B28" s="59" t="s">
        <v>160</v>
      </c>
      <c r="C28" s="47">
        <f>IF(C24="no tubes","",IF(C14=0,"",IF(C6="Round",C14*((C15^2-(C15-2*C16)^2)*PI()/4),IF(C6="Square",C14*(C15^2-(C15-2*C16)^2),""))))</f>
        <v>182.46370132049515</v>
      </c>
      <c r="D28" s="116"/>
      <c r="E28" s="47">
        <f>IF(E24="no tubes","",IF(E14=0,"",IF(E6="Round",E14*((E15^2-(E15-2*E16)^2)*PI()/4),IF(E6="Square",E14*(E15^2-(E15-2*E16)^2),""))))</f>
        <v>221.4822820780804</v>
      </c>
      <c r="F28" s="47" t="str">
        <f>IF(F26="Tubing Only","",(F18-F19)*F22)</f>
        <v/>
      </c>
      <c r="G28" s="47">
        <f t="shared" si="0"/>
        <v>221.4822820780804</v>
      </c>
      <c r="H28" s="54">
        <f>IF(AND(F2="tubing only",E5="steel"),100*G28/C28,"NA")</f>
        <v>121.38429752066116</v>
      </c>
      <c r="I28" s="56" t="str">
        <f>IF(AND(95&lt;H28,H28&lt;100),"For tubes only, provided your actual tube measures &gt;= your nominal OD and wall this is OK","")</f>
        <v/>
      </c>
      <c r="O28" s="60"/>
    </row>
    <row r="29" spans="2:16" x14ac:dyDescent="0.2">
      <c r="B29" s="59" t="s">
        <v>161</v>
      </c>
      <c r="C29" s="46">
        <f>C$28*C9/1000000</f>
        <v>55651.428902751024</v>
      </c>
      <c r="D29" s="110"/>
      <c r="E29" s="46">
        <f>IF(F2="Composite only","",E$28*E9/1000000)</f>
        <v>67552.096033814523</v>
      </c>
      <c r="F29" s="46" t="str">
        <f>IF(F26="Tubing Only","",F28*F9/1000000)</f>
        <v/>
      </c>
      <c r="G29" s="46">
        <f t="shared" si="0"/>
        <v>67552.096033814523</v>
      </c>
      <c r="H29" s="54">
        <f t="shared" si="1"/>
        <v>121.38429752066116</v>
      </c>
      <c r="I29" s="56" t="str">
        <f>IF(AND(95&lt;H29,H29&lt;100),"For tubes only, provided your actual tube measures &gt;= your nominal OD and wall this is OK","")</f>
        <v/>
      </c>
    </row>
    <row r="30" spans="2:16" x14ac:dyDescent="0.2">
      <c r="B30" s="59" t="s">
        <v>5</v>
      </c>
      <c r="C30" s="46">
        <f>C$28*C10/1000000</f>
        <v>66599.250981980731</v>
      </c>
      <c r="D30" s="110"/>
      <c r="E30" s="46">
        <f>IF(F2="Composite only","",E$28*E10/1000000)</f>
        <v>80841.032958499345</v>
      </c>
      <c r="F30" s="46" t="str">
        <f>IF(F26="Tubing Only","",F28*F10/1000000)</f>
        <v/>
      </c>
      <c r="G30" s="46">
        <f t="shared" si="0"/>
        <v>80841.032958499345</v>
      </c>
      <c r="H30" s="54">
        <f t="shared" si="1"/>
        <v>121.38429752066116</v>
      </c>
      <c r="I30" s="56" t="str">
        <f>IF(AND(95&lt;H30,H30&lt;100),"For tubes only, provided your actual tube measures &gt;= your nominal OD and wall this is OK","")</f>
        <v/>
      </c>
      <c r="O30" s="60"/>
    </row>
    <row r="31" spans="2:16" x14ac:dyDescent="0.2">
      <c r="B31" s="59" t="s">
        <v>162</v>
      </c>
      <c r="C31" s="46">
        <f>C$28*C11/1000000</f>
        <v>32843.466237689128</v>
      </c>
      <c r="D31" s="110"/>
      <c r="E31" s="46">
        <f>IF(F2="Composite only","",E$28*E11/1000000)</f>
        <v>39866.810774054473</v>
      </c>
      <c r="F31" s="46" t="str">
        <f>IF(F26="Tubing Only","",F28*F9/1000000)</f>
        <v/>
      </c>
      <c r="G31" s="46">
        <f t="shared" si="0"/>
        <v>39866.810774054473</v>
      </c>
      <c r="H31" s="54">
        <f t="shared" si="1"/>
        <v>121.38429752066116</v>
      </c>
      <c r="I31" s="56" t="str">
        <f>IF(AND(95&lt;H31,H31&lt;100),"For tubes only, provided your actual tube measures &gt;= your nominal OD and wall this is OK","")</f>
        <v/>
      </c>
      <c r="O31" s="60"/>
    </row>
    <row r="32" spans="2:16" x14ac:dyDescent="0.2">
      <c r="B32" s="59" t="s">
        <v>6</v>
      </c>
      <c r="C32" s="46">
        <f>IF(C14=0,"",C$28*C12/1000000)</f>
        <v>54739.110396148542</v>
      </c>
      <c r="D32" s="110"/>
      <c r="E32" s="46">
        <f>IF(F2="Composite only","",E$28*E12/1000000)</f>
        <v>66444.684623424124</v>
      </c>
      <c r="F32" s="46" t="str">
        <f>IF(F26="tubing only","",F28*F10/1000000)</f>
        <v/>
      </c>
      <c r="G32" s="46">
        <f t="shared" si="0"/>
        <v>66444.684623424124</v>
      </c>
      <c r="H32" s="54">
        <f t="shared" si="1"/>
        <v>121.38429752066118</v>
      </c>
      <c r="I32" s="56" t="str">
        <f>IF(AND(95&lt;H32,H32&lt;100),"For tubes only, provided your actual tube measures &gt;= your nominal OD and wall this is OK","")</f>
        <v/>
      </c>
      <c r="O32" s="60"/>
    </row>
    <row r="33" spans="2:12" x14ac:dyDescent="0.2">
      <c r="B33" s="59" t="s">
        <v>163</v>
      </c>
      <c r="C33" s="46">
        <f>C14*4*C10*C26/(0.5*C24*1)</f>
        <v>1539.5337774689763</v>
      </c>
      <c r="E33" s="46">
        <f>IF(F2="Composite only","",E14*4*E10*E26/(0.5*E24*1))</f>
        <v>1793.2866027000007</v>
      </c>
      <c r="F33" s="46" t="str">
        <f>IF(F26="tubing only","",4*F10*F26/(0.001*0.5*F18*1))</f>
        <v/>
      </c>
      <c r="G33" s="46">
        <f t="shared" si="0"/>
        <v>1793.2866027000007</v>
      </c>
      <c r="H33" s="54">
        <f t="shared" si="1"/>
        <v>116.48244611093881</v>
      </c>
    </row>
    <row r="34" spans="2:12" x14ac:dyDescent="0.2">
      <c r="B34" s="59" t="s">
        <v>164</v>
      </c>
      <c r="C34" s="46">
        <f>IF(C14=0,"",C33*1^3/(48*C27))</f>
        <v>1.1975065616797901E-2</v>
      </c>
      <c r="E34" s="46">
        <f>IF($F$2="tubing only",$C$33*1^3/(48*E27),"")</f>
        <v>1.0445064533654312E-2</v>
      </c>
      <c r="F34" s="46" t="str">
        <f>IF($F$2="tubing only","",$C$33*1^3/(48*F27))</f>
        <v/>
      </c>
      <c r="G34" s="46">
        <f>$C$33*1^3/(48*G27)</f>
        <v>1.0445064533654312E-2</v>
      </c>
      <c r="H34" s="54">
        <f>100*G34/C34</f>
        <v>87.223443009803674</v>
      </c>
    </row>
    <row r="35" spans="2:12" x14ac:dyDescent="0.2">
      <c r="B35" s="59" t="s">
        <v>165</v>
      </c>
      <c r="C35" s="46">
        <f>0.5*C33*(C33*1^3/(48*C27))</f>
        <v>9.218009002233865</v>
      </c>
      <c r="D35" s="70"/>
      <c r="E35" s="46">
        <f>IF(E24="no tubes","",0.5*E33*(E33*1^3/(48*E27)))</f>
        <v>10.909160166425004</v>
      </c>
      <c r="F35" s="46" t="str">
        <f>IF(F26="tubing only","",0.5*F33*(F33*1^3/(48*F27)))</f>
        <v/>
      </c>
      <c r="G35" s="46">
        <f>IF($F$2="Tubing only",E35,IF($F$2="Composite only",F35,IF($F$2="Tubes + Composite",E35+F35,"No Type Selected")))</f>
        <v>10.909160166425004</v>
      </c>
      <c r="H35" s="54">
        <f>100*G35/C35</f>
        <v>118.3461652487138</v>
      </c>
    </row>
    <row r="36" spans="2:12" x14ac:dyDescent="0.2">
      <c r="C36" s="60"/>
      <c r="J36" s="298" t="s">
        <v>565</v>
      </c>
      <c r="K36" s="298"/>
    </row>
    <row r="37" spans="2:12" x14ac:dyDescent="0.2">
      <c r="B37" s="127" t="s">
        <v>281</v>
      </c>
      <c r="E37" s="60"/>
    </row>
    <row r="38" spans="2:12" x14ac:dyDescent="0.2">
      <c r="B38" s="24"/>
      <c r="C38" s="25"/>
      <c r="D38" s="25"/>
      <c r="E38" s="25"/>
      <c r="F38" s="25"/>
      <c r="G38" s="25"/>
      <c r="H38" s="25"/>
      <c r="I38" s="25"/>
      <c r="J38" s="25"/>
      <c r="K38" s="25"/>
      <c r="L38" s="26"/>
    </row>
    <row r="39" spans="2:12" x14ac:dyDescent="0.2">
      <c r="B39" s="513" t="s">
        <v>479</v>
      </c>
      <c r="C39" s="31"/>
      <c r="D39" s="31"/>
      <c r="E39" s="31"/>
      <c r="F39" s="31"/>
      <c r="G39" s="31"/>
      <c r="H39" s="31"/>
      <c r="I39" s="31"/>
      <c r="J39" s="31"/>
      <c r="K39" s="31"/>
      <c r="L39" s="32"/>
    </row>
    <row r="40" spans="2:12" x14ac:dyDescent="0.2">
      <c r="B40" s="30"/>
      <c r="C40" s="31"/>
      <c r="D40" s="31"/>
      <c r="E40" s="31"/>
      <c r="F40" s="31"/>
      <c r="G40" s="31"/>
      <c r="H40" s="31"/>
      <c r="I40" s="31"/>
      <c r="J40" s="31"/>
      <c r="K40" s="31"/>
      <c r="L40" s="32"/>
    </row>
    <row r="41" spans="2:12" x14ac:dyDescent="0.2">
      <c r="B41" s="30"/>
      <c r="C41" s="31"/>
      <c r="D41" s="31"/>
      <c r="E41" s="31"/>
      <c r="F41" s="31"/>
      <c r="G41" s="31"/>
      <c r="H41" s="31"/>
      <c r="I41" s="31"/>
      <c r="J41" s="31"/>
      <c r="K41" s="31"/>
      <c r="L41" s="32"/>
    </row>
    <row r="42" spans="2:12" x14ac:dyDescent="0.2">
      <c r="B42" s="30"/>
      <c r="C42" s="31"/>
      <c r="D42" s="31"/>
      <c r="E42" s="31"/>
      <c r="F42" s="31"/>
      <c r="G42" s="31"/>
      <c r="H42" s="31"/>
      <c r="I42" s="31"/>
      <c r="J42" s="31"/>
      <c r="K42" s="31"/>
      <c r="L42" s="32"/>
    </row>
    <row r="43" spans="2:12" x14ac:dyDescent="0.2">
      <c r="B43" s="30"/>
      <c r="C43" s="31"/>
      <c r="D43" s="31"/>
      <c r="E43" s="31"/>
      <c r="F43" s="31"/>
      <c r="G43" s="31"/>
      <c r="H43" s="31"/>
      <c r="I43" s="31"/>
      <c r="J43" s="31"/>
      <c r="K43" s="31"/>
      <c r="L43" s="32"/>
    </row>
    <row r="44" spans="2:12" x14ac:dyDescent="0.2">
      <c r="B44" s="30"/>
      <c r="C44" s="31"/>
      <c r="D44" s="31"/>
      <c r="E44" s="31"/>
      <c r="F44" s="31"/>
      <c r="G44" s="31"/>
      <c r="H44" s="31"/>
      <c r="I44" s="31"/>
      <c r="J44" s="31"/>
      <c r="K44" s="31"/>
      <c r="L44" s="32"/>
    </row>
    <row r="45" spans="2:12" x14ac:dyDescent="0.2">
      <c r="B45" s="30"/>
      <c r="C45" s="31"/>
      <c r="D45" s="31"/>
      <c r="E45" s="31"/>
      <c r="F45" s="31"/>
      <c r="G45" s="31"/>
      <c r="H45" s="31"/>
      <c r="I45" s="31"/>
      <c r="J45" s="31"/>
      <c r="K45" s="31"/>
      <c r="L45" s="32"/>
    </row>
    <row r="46" spans="2:12" x14ac:dyDescent="0.2">
      <c r="B46" s="30"/>
      <c r="C46" s="31"/>
      <c r="D46" s="31"/>
      <c r="E46" s="31"/>
      <c r="F46" s="31"/>
      <c r="G46" s="31"/>
      <c r="H46" s="31"/>
      <c r="I46" s="31"/>
      <c r="J46" s="31"/>
      <c r="K46" s="31"/>
      <c r="L46" s="32"/>
    </row>
    <row r="47" spans="2:12" x14ac:dyDescent="0.2">
      <c r="B47" s="30"/>
      <c r="C47" s="31"/>
      <c r="D47" s="31"/>
      <c r="E47" s="31"/>
      <c r="F47" s="31"/>
      <c r="G47" s="31"/>
      <c r="H47" s="31"/>
      <c r="I47" s="31"/>
      <c r="J47" s="31"/>
      <c r="K47" s="31"/>
      <c r="L47" s="32"/>
    </row>
    <row r="48" spans="2:12" x14ac:dyDescent="0.2">
      <c r="B48" s="30"/>
      <c r="C48" s="31"/>
      <c r="D48" s="31"/>
      <c r="E48" s="31"/>
      <c r="F48" s="31"/>
      <c r="G48" s="31"/>
      <c r="H48" s="31"/>
      <c r="I48" s="31"/>
      <c r="J48" s="31"/>
      <c r="K48" s="31"/>
      <c r="L48" s="32"/>
    </row>
    <row r="49" spans="2:12" x14ac:dyDescent="0.2">
      <c r="B49" s="30"/>
      <c r="C49" s="31"/>
      <c r="D49" s="31"/>
      <c r="E49" s="31"/>
      <c r="F49" s="31"/>
      <c r="G49" s="31"/>
      <c r="H49" s="31"/>
      <c r="I49" s="31"/>
      <c r="J49" s="31"/>
      <c r="K49" s="31"/>
      <c r="L49" s="32"/>
    </row>
    <row r="50" spans="2:12" x14ac:dyDescent="0.2">
      <c r="B50" s="30"/>
      <c r="C50" s="31"/>
      <c r="D50" s="31"/>
      <c r="E50" s="31"/>
      <c r="F50" s="31"/>
      <c r="G50" s="31"/>
      <c r="H50" s="31"/>
      <c r="I50" s="31"/>
      <c r="J50" s="31"/>
      <c r="K50" s="31"/>
      <c r="L50" s="32"/>
    </row>
    <row r="51" spans="2:12" x14ac:dyDescent="0.2">
      <c r="B51" s="30"/>
      <c r="C51" s="31"/>
      <c r="D51" s="31"/>
      <c r="E51" s="31"/>
      <c r="F51" s="31"/>
      <c r="G51" s="31"/>
      <c r="H51" s="31"/>
      <c r="I51" s="31"/>
      <c r="J51" s="31"/>
      <c r="K51" s="31"/>
      <c r="L51" s="32"/>
    </row>
    <row r="52" spans="2:12" x14ac:dyDescent="0.2">
      <c r="B52" s="30"/>
      <c r="C52" s="31"/>
      <c r="D52" s="31"/>
      <c r="E52" s="31"/>
      <c r="F52" s="31"/>
      <c r="G52" s="31"/>
      <c r="H52" s="31"/>
      <c r="I52" s="31"/>
      <c r="J52" s="31"/>
      <c r="K52" s="31"/>
      <c r="L52" s="32"/>
    </row>
    <row r="53" spans="2:12" x14ac:dyDescent="0.2">
      <c r="B53" s="30"/>
      <c r="C53" s="31"/>
      <c r="D53" s="31"/>
      <c r="E53" s="31"/>
      <c r="F53" s="31"/>
      <c r="G53" s="31"/>
      <c r="H53" s="31"/>
      <c r="I53" s="31"/>
      <c r="J53" s="31"/>
      <c r="K53" s="31"/>
      <c r="L53" s="32"/>
    </row>
    <row r="54" spans="2:12" x14ac:dyDescent="0.2">
      <c r="B54" s="30"/>
      <c r="C54" s="31"/>
      <c r="D54" s="31"/>
      <c r="E54" s="31"/>
      <c r="F54" s="31"/>
      <c r="G54" s="31"/>
      <c r="H54" s="31"/>
      <c r="I54" s="31"/>
      <c r="J54" s="31"/>
      <c r="K54" s="31"/>
      <c r="L54" s="32"/>
    </row>
    <row r="55" spans="2:12" x14ac:dyDescent="0.2">
      <c r="B55" s="30"/>
      <c r="C55" s="31"/>
      <c r="D55" s="31"/>
      <c r="E55" s="31"/>
      <c r="F55" s="31"/>
      <c r="G55" s="31"/>
      <c r="H55" s="31"/>
      <c r="I55" s="31"/>
      <c r="J55" s="31"/>
      <c r="K55" s="31"/>
      <c r="L55" s="32"/>
    </row>
    <row r="56" spans="2:12" x14ac:dyDescent="0.2">
      <c r="B56" s="30"/>
      <c r="C56" s="31"/>
      <c r="D56" s="31"/>
      <c r="E56" s="31"/>
      <c r="F56" s="31"/>
      <c r="G56" s="31"/>
      <c r="H56" s="31"/>
      <c r="I56" s="31"/>
      <c r="J56" s="31"/>
      <c r="K56" s="31"/>
      <c r="L56" s="32"/>
    </row>
    <row r="57" spans="2:12" x14ac:dyDescent="0.2">
      <c r="B57" s="30"/>
      <c r="C57" s="31"/>
      <c r="D57" s="31"/>
      <c r="E57" s="31"/>
      <c r="F57" s="31"/>
      <c r="G57" s="31"/>
      <c r="H57" s="31"/>
      <c r="I57" s="31"/>
      <c r="J57" s="31"/>
      <c r="K57" s="31"/>
      <c r="L57" s="32"/>
    </row>
    <row r="58" spans="2:12" x14ac:dyDescent="0.2">
      <c r="B58" s="30"/>
      <c r="C58" s="31"/>
      <c r="D58" s="31"/>
      <c r="E58" s="31"/>
      <c r="F58" s="31"/>
      <c r="G58" s="31"/>
      <c r="H58" s="31"/>
      <c r="I58" s="31"/>
      <c r="J58" s="31"/>
      <c r="K58" s="31"/>
      <c r="L58" s="32"/>
    </row>
    <row r="59" spans="2:12" x14ac:dyDescent="0.2">
      <c r="B59" s="30"/>
      <c r="C59" s="31"/>
      <c r="D59" s="31"/>
      <c r="E59" s="31"/>
      <c r="F59" s="31"/>
      <c r="G59" s="31"/>
      <c r="H59" s="31"/>
      <c r="I59" s="31"/>
      <c r="J59" s="31"/>
      <c r="K59" s="31"/>
      <c r="L59" s="32"/>
    </row>
    <row r="60" spans="2:12" x14ac:dyDescent="0.2">
      <c r="B60" s="30"/>
      <c r="C60" s="31"/>
      <c r="D60" s="31"/>
      <c r="E60" s="31"/>
      <c r="F60" s="31"/>
      <c r="G60" s="31"/>
      <c r="H60" s="31"/>
      <c r="I60" s="31"/>
      <c r="J60" s="31"/>
      <c r="K60" s="31"/>
      <c r="L60" s="32"/>
    </row>
    <row r="61" spans="2:12" x14ac:dyDescent="0.2">
      <c r="B61" s="30"/>
      <c r="C61" s="31"/>
      <c r="D61" s="31"/>
      <c r="E61" s="31"/>
      <c r="F61" s="31"/>
      <c r="G61" s="31"/>
      <c r="H61" s="31"/>
      <c r="I61" s="31"/>
      <c r="J61" s="31"/>
      <c r="K61" s="31"/>
      <c r="L61" s="32"/>
    </row>
    <row r="62" spans="2:12" x14ac:dyDescent="0.2">
      <c r="B62" s="30"/>
      <c r="C62" s="31"/>
      <c r="D62" s="31"/>
      <c r="E62" s="31"/>
      <c r="F62" s="31"/>
      <c r="G62" s="31"/>
      <c r="H62" s="31"/>
      <c r="I62" s="31"/>
      <c r="J62" s="31"/>
      <c r="K62" s="31"/>
      <c r="L62" s="32"/>
    </row>
    <row r="63" spans="2:12" x14ac:dyDescent="0.2">
      <c r="B63" s="30"/>
      <c r="C63" s="31"/>
      <c r="D63" s="31"/>
      <c r="E63" s="31"/>
      <c r="F63" s="31"/>
      <c r="G63" s="31"/>
      <c r="H63" s="31"/>
      <c r="I63" s="31"/>
      <c r="J63" s="31"/>
      <c r="K63" s="31"/>
      <c r="L63" s="32"/>
    </row>
    <row r="64" spans="2:12" x14ac:dyDescent="0.2">
      <c r="B64" s="30"/>
      <c r="C64" s="31"/>
      <c r="D64" s="31"/>
      <c r="E64" s="31"/>
      <c r="F64" s="31"/>
      <c r="G64" s="31"/>
      <c r="H64" s="31"/>
      <c r="I64" s="31"/>
      <c r="J64" s="31"/>
      <c r="K64" s="31"/>
      <c r="L64" s="32"/>
    </row>
    <row r="65" spans="2:12" x14ac:dyDescent="0.2">
      <c r="B65" s="30"/>
      <c r="C65" s="31"/>
      <c r="D65" s="31"/>
      <c r="E65" s="31"/>
      <c r="F65" s="31"/>
      <c r="G65" s="31"/>
      <c r="H65" s="31"/>
      <c r="I65" s="31"/>
      <c r="J65" s="31"/>
      <c r="K65" s="31"/>
      <c r="L65" s="32"/>
    </row>
    <row r="66" spans="2:12" x14ac:dyDescent="0.2">
      <c r="B66" s="30"/>
      <c r="C66" s="31"/>
      <c r="D66" s="31"/>
      <c r="E66" s="31"/>
      <c r="F66" s="31"/>
      <c r="G66" s="31"/>
      <c r="H66" s="31"/>
      <c r="I66" s="31"/>
      <c r="J66" s="31"/>
      <c r="K66" s="31"/>
      <c r="L66" s="32"/>
    </row>
    <row r="67" spans="2:12" x14ac:dyDescent="0.2">
      <c r="B67" s="30"/>
      <c r="C67" s="31"/>
      <c r="D67" s="31"/>
      <c r="E67" s="31"/>
      <c r="F67" s="31"/>
      <c r="G67" s="31"/>
      <c r="H67" s="31"/>
      <c r="I67" s="31"/>
      <c r="J67" s="31"/>
      <c r="K67" s="31"/>
      <c r="L67" s="32"/>
    </row>
    <row r="68" spans="2:12" x14ac:dyDescent="0.2">
      <c r="B68" s="30"/>
      <c r="C68" s="31"/>
      <c r="D68" s="31"/>
      <c r="E68" s="31"/>
      <c r="F68" s="31"/>
      <c r="G68" s="31"/>
      <c r="H68" s="31"/>
      <c r="I68" s="31"/>
      <c r="J68" s="31"/>
      <c r="K68" s="31"/>
      <c r="L68" s="32"/>
    </row>
    <row r="69" spans="2:12" x14ac:dyDescent="0.2">
      <c r="B69" s="30"/>
      <c r="C69" s="31"/>
      <c r="D69" s="31"/>
      <c r="E69" s="31"/>
      <c r="F69" s="31"/>
      <c r="G69" s="31"/>
      <c r="H69" s="31"/>
      <c r="I69" s="31"/>
      <c r="J69" s="31"/>
      <c r="K69" s="31"/>
      <c r="L69" s="32"/>
    </row>
    <row r="70" spans="2:12" x14ac:dyDescent="0.2">
      <c r="B70" s="30"/>
      <c r="C70" s="31"/>
      <c r="D70" s="31"/>
      <c r="E70" s="31"/>
      <c r="F70" s="31"/>
      <c r="G70" s="31"/>
      <c r="H70" s="31"/>
      <c r="I70" s="31"/>
      <c r="J70" s="31"/>
      <c r="K70" s="31"/>
      <c r="L70" s="32"/>
    </row>
    <row r="71" spans="2:12" x14ac:dyDescent="0.2">
      <c r="B71" s="30"/>
      <c r="C71" s="31"/>
      <c r="D71" s="31"/>
      <c r="E71" s="31"/>
      <c r="F71" s="31"/>
      <c r="G71" s="31"/>
      <c r="H71" s="31"/>
      <c r="I71" s="31"/>
      <c r="J71" s="31"/>
      <c r="K71" s="31"/>
      <c r="L71" s="32"/>
    </row>
    <row r="72" spans="2:12" x14ac:dyDescent="0.2">
      <c r="B72" s="30"/>
      <c r="C72" s="31"/>
      <c r="D72" s="31"/>
      <c r="E72" s="31"/>
      <c r="F72" s="31"/>
      <c r="G72" s="31"/>
      <c r="H72" s="31"/>
      <c r="I72" s="31"/>
      <c r="J72" s="31"/>
      <c r="K72" s="31"/>
      <c r="L72" s="32"/>
    </row>
    <row r="73" spans="2:12" x14ac:dyDescent="0.2">
      <c r="B73" s="30"/>
      <c r="C73" s="31"/>
      <c r="D73" s="31"/>
      <c r="E73" s="31"/>
      <c r="F73" s="31"/>
      <c r="G73" s="31"/>
      <c r="H73" s="31"/>
      <c r="I73" s="31"/>
      <c r="J73" s="31"/>
      <c r="K73" s="31"/>
      <c r="L73" s="32"/>
    </row>
    <row r="74" spans="2:12" x14ac:dyDescent="0.2">
      <c r="B74" s="30"/>
      <c r="C74" s="31"/>
      <c r="D74" s="31"/>
      <c r="E74" s="31"/>
      <c r="F74" s="31"/>
      <c r="G74" s="31"/>
      <c r="H74" s="31"/>
      <c r="I74" s="31"/>
      <c r="J74" s="31"/>
      <c r="K74" s="31"/>
      <c r="L74" s="32"/>
    </row>
    <row r="75" spans="2:12" x14ac:dyDescent="0.2">
      <c r="B75" s="30"/>
      <c r="C75" s="31"/>
      <c r="D75" s="31"/>
      <c r="E75" s="31"/>
      <c r="F75" s="31"/>
      <c r="G75" s="31"/>
      <c r="H75" s="31"/>
      <c r="I75" s="31"/>
      <c r="J75" s="31"/>
      <c r="K75" s="31"/>
      <c r="L75" s="32"/>
    </row>
    <row r="76" spans="2:12" x14ac:dyDescent="0.2">
      <c r="B76" s="30"/>
      <c r="C76" s="31"/>
      <c r="D76" s="31"/>
      <c r="E76" s="31"/>
      <c r="F76" s="31"/>
      <c r="G76" s="31"/>
      <c r="H76" s="31"/>
      <c r="I76" s="31"/>
      <c r="J76" s="31"/>
      <c r="K76" s="31"/>
      <c r="L76" s="32"/>
    </row>
    <row r="77" spans="2:12" x14ac:dyDescent="0.2">
      <c r="B77" s="30"/>
      <c r="C77" s="31"/>
      <c r="D77" s="31"/>
      <c r="E77" s="31"/>
      <c r="F77" s="31"/>
      <c r="G77" s="31"/>
      <c r="H77" s="31"/>
      <c r="I77" s="31"/>
      <c r="J77" s="31"/>
      <c r="K77" s="31"/>
      <c r="L77" s="32"/>
    </row>
    <row r="78" spans="2:12" x14ac:dyDescent="0.2">
      <c r="B78" s="30"/>
      <c r="C78" s="31"/>
      <c r="D78" s="31"/>
      <c r="E78" s="31"/>
      <c r="F78" s="31"/>
      <c r="G78" s="31"/>
      <c r="H78" s="31"/>
      <c r="I78" s="31"/>
      <c r="J78" s="31"/>
      <c r="K78" s="31"/>
      <c r="L78" s="32"/>
    </row>
    <row r="79" spans="2:12" x14ac:dyDescent="0.2">
      <c r="B79" s="30"/>
      <c r="C79" s="31"/>
      <c r="D79" s="31"/>
      <c r="E79" s="31"/>
      <c r="F79" s="31"/>
      <c r="G79" s="31"/>
      <c r="H79" s="31"/>
      <c r="I79" s="31"/>
      <c r="J79" s="31"/>
      <c r="K79" s="31"/>
      <c r="L79" s="32"/>
    </row>
    <row r="80" spans="2:12" x14ac:dyDescent="0.2">
      <c r="B80" s="30"/>
      <c r="C80" s="31"/>
      <c r="D80" s="31"/>
      <c r="E80" s="31"/>
      <c r="F80" s="31"/>
      <c r="G80" s="31"/>
      <c r="H80" s="31"/>
      <c r="I80" s="31"/>
      <c r="J80" s="31"/>
      <c r="K80" s="31"/>
      <c r="L80" s="32"/>
    </row>
    <row r="81" spans="2:12" x14ac:dyDescent="0.2">
      <c r="B81" s="30"/>
      <c r="C81" s="31"/>
      <c r="D81" s="31"/>
      <c r="E81" s="31"/>
      <c r="F81" s="31"/>
      <c r="G81" s="31"/>
      <c r="H81" s="31"/>
      <c r="I81" s="31"/>
      <c r="J81" s="31"/>
      <c r="K81" s="31"/>
      <c r="L81" s="32"/>
    </row>
    <row r="82" spans="2:12" x14ac:dyDescent="0.2">
      <c r="B82" s="30"/>
      <c r="C82" s="31"/>
      <c r="D82" s="31"/>
      <c r="E82" s="31"/>
      <c r="F82" s="31"/>
      <c r="G82" s="31"/>
      <c r="H82" s="31"/>
      <c r="I82" s="31"/>
      <c r="J82" s="31"/>
      <c r="K82" s="31"/>
      <c r="L82" s="32"/>
    </row>
    <row r="83" spans="2:12" x14ac:dyDescent="0.2">
      <c r="B83" s="30"/>
      <c r="C83" s="31"/>
      <c r="D83" s="31"/>
      <c r="E83" s="31"/>
      <c r="F83" s="31"/>
      <c r="G83" s="31"/>
      <c r="H83" s="31"/>
      <c r="I83" s="31"/>
      <c r="J83" s="31"/>
      <c r="K83" s="31"/>
      <c r="L83" s="32"/>
    </row>
    <row r="84" spans="2:12" x14ac:dyDescent="0.2">
      <c r="B84" s="30"/>
      <c r="C84" s="31"/>
      <c r="D84" s="31"/>
      <c r="E84" s="31"/>
      <c r="F84" s="31"/>
      <c r="G84" s="31"/>
      <c r="H84" s="31"/>
      <c r="I84" s="31"/>
      <c r="J84" s="31"/>
      <c r="K84" s="31"/>
      <c r="L84" s="32"/>
    </row>
    <row r="85" spans="2:12" x14ac:dyDescent="0.2">
      <c r="B85" s="30"/>
      <c r="C85" s="31"/>
      <c r="D85" s="31"/>
      <c r="E85" s="31"/>
      <c r="F85" s="31"/>
      <c r="G85" s="31"/>
      <c r="H85" s="31"/>
      <c r="I85" s="31"/>
      <c r="J85" s="31"/>
      <c r="K85" s="31"/>
      <c r="L85" s="32"/>
    </row>
    <row r="86" spans="2:12" x14ac:dyDescent="0.2">
      <c r="B86" s="30"/>
      <c r="C86" s="31"/>
      <c r="D86" s="31"/>
      <c r="E86" s="31"/>
      <c r="F86" s="31"/>
      <c r="G86" s="31"/>
      <c r="H86" s="31"/>
      <c r="I86" s="31"/>
      <c r="J86" s="31"/>
      <c r="K86" s="31"/>
      <c r="L86" s="32"/>
    </row>
    <row r="87" spans="2:12" x14ac:dyDescent="0.2">
      <c r="B87" s="30"/>
      <c r="C87" s="31"/>
      <c r="D87" s="31"/>
      <c r="E87" s="31"/>
      <c r="F87" s="31"/>
      <c r="G87" s="31"/>
      <c r="H87" s="31"/>
      <c r="I87" s="31"/>
      <c r="J87" s="31"/>
      <c r="K87" s="31"/>
      <c r="L87" s="32"/>
    </row>
    <row r="88" spans="2:12" x14ac:dyDescent="0.2">
      <c r="B88" s="30"/>
      <c r="C88" s="31"/>
      <c r="D88" s="31"/>
      <c r="E88" s="31"/>
      <c r="F88" s="31"/>
      <c r="G88" s="31"/>
      <c r="H88" s="31"/>
      <c r="I88" s="31"/>
      <c r="J88" s="31"/>
      <c r="K88" s="31"/>
      <c r="L88" s="32"/>
    </row>
    <row r="89" spans="2:12" x14ac:dyDescent="0.2">
      <c r="B89" s="30"/>
      <c r="C89" s="31"/>
      <c r="D89" s="31"/>
      <c r="E89" s="31"/>
      <c r="F89" s="31"/>
      <c r="G89" s="31"/>
      <c r="H89" s="31"/>
      <c r="I89" s="31"/>
      <c r="J89" s="31"/>
      <c r="K89" s="31"/>
      <c r="L89" s="32"/>
    </row>
    <row r="90" spans="2:12" x14ac:dyDescent="0.2">
      <c r="B90" s="30"/>
      <c r="C90" s="31"/>
      <c r="D90" s="31"/>
      <c r="E90" s="31"/>
      <c r="F90" s="31"/>
      <c r="G90" s="31"/>
      <c r="H90" s="31"/>
      <c r="I90" s="31"/>
      <c r="J90" s="31"/>
      <c r="K90" s="31"/>
      <c r="L90" s="32"/>
    </row>
    <row r="91" spans="2:12" x14ac:dyDescent="0.2">
      <c r="B91" s="30"/>
      <c r="C91" s="31"/>
      <c r="D91" s="31"/>
      <c r="E91" s="31"/>
      <c r="F91" s="31"/>
      <c r="G91" s="31"/>
      <c r="H91" s="31"/>
      <c r="I91" s="31"/>
      <c r="J91" s="31"/>
      <c r="K91" s="31"/>
      <c r="L91" s="32"/>
    </row>
    <row r="92" spans="2:12" x14ac:dyDescent="0.2">
      <c r="B92" s="30"/>
      <c r="C92" s="31"/>
      <c r="D92" s="31"/>
      <c r="E92" s="31"/>
      <c r="F92" s="31"/>
      <c r="G92" s="31"/>
      <c r="H92" s="31"/>
      <c r="I92" s="31"/>
      <c r="J92" s="31"/>
      <c r="K92" s="31"/>
      <c r="L92" s="32"/>
    </row>
    <row r="93" spans="2:12" x14ac:dyDescent="0.2">
      <c r="B93" s="30"/>
      <c r="C93" s="31"/>
      <c r="D93" s="31"/>
      <c r="E93" s="31"/>
      <c r="F93" s="31"/>
      <c r="G93" s="31"/>
      <c r="H93" s="31"/>
      <c r="I93" s="31"/>
      <c r="J93" s="31"/>
      <c r="K93" s="31"/>
      <c r="L93" s="32"/>
    </row>
    <row r="94" spans="2:12" x14ac:dyDescent="0.2">
      <c r="B94" s="30"/>
      <c r="C94" s="31"/>
      <c r="D94" s="31"/>
      <c r="E94" s="31"/>
      <c r="F94" s="31"/>
      <c r="G94" s="31"/>
      <c r="H94" s="31"/>
      <c r="I94" s="31"/>
      <c r="J94" s="31"/>
      <c r="K94" s="31"/>
      <c r="L94" s="32"/>
    </row>
    <row r="95" spans="2:12" x14ac:dyDescent="0.2">
      <c r="B95" s="30"/>
      <c r="C95" s="31"/>
      <c r="D95" s="31"/>
      <c r="E95" s="31"/>
      <c r="F95" s="31"/>
      <c r="G95" s="31"/>
      <c r="H95" s="31"/>
      <c r="I95" s="31"/>
      <c r="J95" s="31"/>
      <c r="K95" s="31"/>
      <c r="L95" s="32"/>
    </row>
    <row r="96" spans="2:12" x14ac:dyDescent="0.2">
      <c r="B96" s="30"/>
      <c r="C96" s="31"/>
      <c r="D96" s="31"/>
      <c r="E96" s="31"/>
      <c r="F96" s="31"/>
      <c r="G96" s="31"/>
      <c r="H96" s="31"/>
      <c r="I96" s="31"/>
      <c r="J96" s="31"/>
      <c r="K96" s="31"/>
      <c r="L96" s="32"/>
    </row>
    <row r="97" spans="2:12" x14ac:dyDescent="0.2">
      <c r="B97" s="30"/>
      <c r="C97" s="31"/>
      <c r="D97" s="31"/>
      <c r="E97" s="31"/>
      <c r="F97" s="31"/>
      <c r="G97" s="31"/>
      <c r="H97" s="31"/>
      <c r="I97" s="31"/>
      <c r="J97" s="31"/>
      <c r="K97" s="31"/>
      <c r="L97" s="32"/>
    </row>
    <row r="98" spans="2:12" x14ac:dyDescent="0.2">
      <c r="B98" s="30"/>
      <c r="C98" s="31"/>
      <c r="D98" s="31"/>
      <c r="E98" s="31"/>
      <c r="F98" s="31"/>
      <c r="G98" s="31"/>
      <c r="H98" s="31"/>
      <c r="I98" s="31"/>
      <c r="J98" s="31"/>
      <c r="K98" s="31"/>
      <c r="L98" s="32"/>
    </row>
    <row r="99" spans="2:12" x14ac:dyDescent="0.2">
      <c r="B99" s="30"/>
      <c r="C99" s="31"/>
      <c r="D99" s="31"/>
      <c r="E99" s="31"/>
      <c r="F99" s="31"/>
      <c r="G99" s="31"/>
      <c r="H99" s="31"/>
      <c r="I99" s="31"/>
      <c r="J99" s="31"/>
      <c r="K99" s="31"/>
      <c r="L99" s="32"/>
    </row>
    <row r="100" spans="2:12" x14ac:dyDescent="0.2">
      <c r="B100" s="30"/>
      <c r="C100" s="31"/>
      <c r="D100" s="31"/>
      <c r="E100" s="31"/>
      <c r="F100" s="31"/>
      <c r="G100" s="31"/>
      <c r="H100" s="31"/>
      <c r="I100" s="31"/>
      <c r="J100" s="31"/>
      <c r="K100" s="31"/>
      <c r="L100" s="32"/>
    </row>
    <row r="101" spans="2:12" x14ac:dyDescent="0.2">
      <c r="B101" s="30"/>
      <c r="C101" s="31"/>
      <c r="D101" s="31"/>
      <c r="E101" s="31"/>
      <c r="F101" s="31"/>
      <c r="G101" s="31"/>
      <c r="H101" s="31"/>
      <c r="I101" s="31"/>
      <c r="J101" s="31"/>
      <c r="K101" s="31"/>
      <c r="L101" s="32"/>
    </row>
    <row r="102" spans="2:12" x14ac:dyDescent="0.2">
      <c r="B102" s="30"/>
      <c r="C102" s="31"/>
      <c r="D102" s="31"/>
      <c r="E102" s="31"/>
      <c r="F102" s="31"/>
      <c r="G102" s="31"/>
      <c r="H102" s="31"/>
      <c r="I102" s="31"/>
      <c r="J102" s="31"/>
      <c r="K102" s="31"/>
      <c r="L102" s="32"/>
    </row>
    <row r="103" spans="2:12" x14ac:dyDescent="0.2">
      <c r="B103" s="30"/>
      <c r="C103" s="31"/>
      <c r="D103" s="31"/>
      <c r="E103" s="31"/>
      <c r="F103" s="31"/>
      <c r="G103" s="31"/>
      <c r="H103" s="31"/>
      <c r="I103" s="31"/>
      <c r="J103" s="31"/>
      <c r="K103" s="31"/>
      <c r="L103" s="32"/>
    </row>
    <row r="104" spans="2:12" x14ac:dyDescent="0.2">
      <c r="B104" s="30"/>
      <c r="C104" s="31"/>
      <c r="D104" s="31"/>
      <c r="E104" s="31"/>
      <c r="F104" s="31"/>
      <c r="G104" s="31"/>
      <c r="H104" s="31"/>
      <c r="I104" s="31"/>
      <c r="J104" s="31"/>
      <c r="K104" s="31"/>
      <c r="L104" s="32"/>
    </row>
    <row r="105" spans="2:12" x14ac:dyDescent="0.2">
      <c r="B105" s="30"/>
      <c r="C105" s="31"/>
      <c r="D105" s="31"/>
      <c r="E105" s="31"/>
      <c r="F105" s="31"/>
      <c r="G105" s="31"/>
      <c r="H105" s="31"/>
      <c r="I105" s="31"/>
      <c r="J105" s="31"/>
      <c r="K105" s="31"/>
      <c r="L105" s="32"/>
    </row>
    <row r="106" spans="2:12" x14ac:dyDescent="0.2">
      <c r="B106" s="30"/>
      <c r="C106" s="31"/>
      <c r="D106" s="31"/>
      <c r="E106" s="31"/>
      <c r="F106" s="31"/>
      <c r="G106" s="31"/>
      <c r="H106" s="31"/>
      <c r="I106" s="31"/>
      <c r="J106" s="31"/>
      <c r="K106" s="31"/>
      <c r="L106" s="32"/>
    </row>
    <row r="107" spans="2:12" x14ac:dyDescent="0.2">
      <c r="B107" s="30"/>
      <c r="C107" s="31"/>
      <c r="D107" s="31"/>
      <c r="E107" s="31"/>
      <c r="F107" s="31"/>
      <c r="G107" s="31"/>
      <c r="H107" s="31"/>
      <c r="I107" s="31"/>
      <c r="J107" s="31"/>
      <c r="K107" s="31"/>
      <c r="L107" s="32"/>
    </row>
    <row r="108" spans="2:12" x14ac:dyDescent="0.2">
      <c r="B108" s="30"/>
      <c r="C108" s="31"/>
      <c r="D108" s="31"/>
      <c r="E108" s="31"/>
      <c r="F108" s="31"/>
      <c r="G108" s="31"/>
      <c r="H108" s="31"/>
      <c r="I108" s="31"/>
      <c r="J108" s="31"/>
      <c r="K108" s="31"/>
      <c r="L108" s="32"/>
    </row>
    <row r="109" spans="2:12" x14ac:dyDescent="0.2">
      <c r="B109" s="30"/>
      <c r="C109" s="31"/>
      <c r="D109" s="31"/>
      <c r="E109" s="31"/>
      <c r="F109" s="31"/>
      <c r="G109" s="31"/>
      <c r="H109" s="31"/>
      <c r="I109" s="31"/>
      <c r="J109" s="31"/>
      <c r="K109" s="31"/>
      <c r="L109" s="32"/>
    </row>
    <row r="110" spans="2:12" x14ac:dyDescent="0.2">
      <c r="B110" s="30"/>
      <c r="C110" s="31"/>
      <c r="D110" s="31"/>
      <c r="E110" s="31"/>
      <c r="F110" s="31"/>
      <c r="G110" s="31"/>
      <c r="H110" s="31"/>
      <c r="I110" s="31"/>
      <c r="J110" s="31"/>
      <c r="K110" s="31"/>
      <c r="L110" s="32"/>
    </row>
    <row r="111" spans="2:12" x14ac:dyDescent="0.2">
      <c r="B111" s="30"/>
      <c r="C111" s="31"/>
      <c r="D111" s="31"/>
      <c r="E111" s="31"/>
      <c r="F111" s="31"/>
      <c r="G111" s="31"/>
      <c r="H111" s="31"/>
      <c r="I111" s="31"/>
      <c r="J111" s="31"/>
      <c r="K111" s="31"/>
      <c r="L111" s="32"/>
    </row>
    <row r="112" spans="2:12" x14ac:dyDescent="0.2">
      <c r="B112" s="30"/>
      <c r="C112" s="31"/>
      <c r="D112" s="31"/>
      <c r="E112" s="31"/>
      <c r="F112" s="31"/>
      <c r="G112" s="31"/>
      <c r="H112" s="31"/>
      <c r="I112" s="31"/>
      <c r="J112" s="31"/>
      <c r="K112" s="31"/>
      <c r="L112" s="32"/>
    </row>
    <row r="113" spans="2:12" x14ac:dyDescent="0.2">
      <c r="B113" s="30"/>
      <c r="C113" s="31"/>
      <c r="D113" s="31"/>
      <c r="E113" s="31"/>
      <c r="F113" s="31"/>
      <c r="G113" s="31"/>
      <c r="H113" s="31"/>
      <c r="I113" s="31"/>
      <c r="J113" s="31"/>
      <c r="K113" s="31"/>
      <c r="L113" s="32"/>
    </row>
    <row r="114" spans="2:12" x14ac:dyDescent="0.2">
      <c r="B114" s="30"/>
      <c r="C114" s="31"/>
      <c r="D114" s="31"/>
      <c r="E114" s="31"/>
      <c r="F114" s="31"/>
      <c r="G114" s="31"/>
      <c r="H114" s="31"/>
      <c r="I114" s="31"/>
      <c r="J114" s="31"/>
      <c r="K114" s="31"/>
      <c r="L114" s="32"/>
    </row>
    <row r="115" spans="2:12" x14ac:dyDescent="0.2">
      <c r="B115" s="30"/>
      <c r="C115" s="31"/>
      <c r="D115" s="31"/>
      <c r="E115" s="31"/>
      <c r="F115" s="31"/>
      <c r="G115" s="31"/>
      <c r="H115" s="31"/>
      <c r="I115" s="31"/>
      <c r="J115" s="31"/>
      <c r="K115" s="31"/>
      <c r="L115" s="32"/>
    </row>
    <row r="116" spans="2:12" x14ac:dyDescent="0.2">
      <c r="B116" s="30"/>
      <c r="C116" s="31"/>
      <c r="D116" s="31"/>
      <c r="E116" s="31"/>
      <c r="F116" s="31"/>
      <c r="G116" s="31"/>
      <c r="H116" s="31"/>
      <c r="I116" s="31"/>
      <c r="J116" s="31"/>
      <c r="K116" s="31"/>
      <c r="L116" s="32"/>
    </row>
    <row r="117" spans="2:12" x14ac:dyDescent="0.2">
      <c r="B117" s="30"/>
      <c r="C117" s="31"/>
      <c r="D117" s="31"/>
      <c r="E117" s="31"/>
      <c r="F117" s="31"/>
      <c r="G117" s="31"/>
      <c r="H117" s="31"/>
      <c r="I117" s="31"/>
      <c r="J117" s="31"/>
      <c r="K117" s="31"/>
      <c r="L117" s="32"/>
    </row>
    <row r="118" spans="2:12" x14ac:dyDescent="0.2">
      <c r="B118" s="30"/>
      <c r="C118" s="31"/>
      <c r="D118" s="31"/>
      <c r="E118" s="31"/>
      <c r="F118" s="31"/>
      <c r="G118" s="31"/>
      <c r="H118" s="31"/>
      <c r="I118" s="31"/>
      <c r="J118" s="31"/>
      <c r="K118" s="31"/>
      <c r="L118" s="32"/>
    </row>
    <row r="119" spans="2:12" x14ac:dyDescent="0.2">
      <c r="B119" s="30"/>
      <c r="C119" s="31"/>
      <c r="D119" s="31"/>
      <c r="E119" s="31"/>
      <c r="F119" s="31"/>
      <c r="G119" s="31"/>
      <c r="H119" s="31"/>
      <c r="I119" s="31"/>
      <c r="J119" s="31"/>
      <c r="K119" s="31"/>
      <c r="L119" s="32"/>
    </row>
    <row r="120" spans="2:12" x14ac:dyDescent="0.2">
      <c r="B120" s="30"/>
      <c r="C120" s="31"/>
      <c r="D120" s="31"/>
      <c r="E120" s="31"/>
      <c r="F120" s="31"/>
      <c r="G120" s="31"/>
      <c r="H120" s="31"/>
      <c r="I120" s="31"/>
      <c r="J120" s="31"/>
      <c r="K120" s="31"/>
      <c r="L120" s="32"/>
    </row>
    <row r="121" spans="2:12" x14ac:dyDescent="0.2">
      <c r="B121" s="30"/>
      <c r="C121" s="31"/>
      <c r="D121" s="31"/>
      <c r="E121" s="31"/>
      <c r="F121" s="31"/>
      <c r="G121" s="31"/>
      <c r="H121" s="31"/>
      <c r="I121" s="31"/>
      <c r="J121" s="31"/>
      <c r="K121" s="31"/>
      <c r="L121" s="32"/>
    </row>
    <row r="122" spans="2:12" x14ac:dyDescent="0.2">
      <c r="B122" s="30"/>
      <c r="C122" s="31"/>
      <c r="D122" s="31"/>
      <c r="E122" s="31"/>
      <c r="F122" s="31"/>
      <c r="G122" s="31"/>
      <c r="H122" s="31"/>
      <c r="I122" s="31"/>
      <c r="J122" s="31"/>
      <c r="K122" s="31"/>
      <c r="L122" s="32"/>
    </row>
    <row r="123" spans="2:12" x14ac:dyDescent="0.2">
      <c r="B123" s="30"/>
      <c r="C123" s="31"/>
      <c r="D123" s="31"/>
      <c r="E123" s="31"/>
      <c r="F123" s="31"/>
      <c r="G123" s="31"/>
      <c r="H123" s="31"/>
      <c r="I123" s="31"/>
      <c r="J123" s="31"/>
      <c r="K123" s="31"/>
      <c r="L123" s="32"/>
    </row>
    <row r="124" spans="2:12" x14ac:dyDescent="0.2">
      <c r="B124" s="30"/>
      <c r="C124" s="31"/>
      <c r="D124" s="31"/>
      <c r="E124" s="31"/>
      <c r="F124" s="31"/>
      <c r="G124" s="31"/>
      <c r="H124" s="31"/>
      <c r="I124" s="31"/>
      <c r="J124" s="31"/>
      <c r="K124" s="31"/>
      <c r="L124" s="32"/>
    </row>
    <row r="125" spans="2:12" x14ac:dyDescent="0.2">
      <c r="B125" s="30"/>
      <c r="C125" s="31"/>
      <c r="D125" s="31"/>
      <c r="E125" s="31"/>
      <c r="F125" s="31"/>
      <c r="G125" s="31"/>
      <c r="H125" s="31"/>
      <c r="I125" s="31"/>
      <c r="J125" s="31"/>
      <c r="K125" s="31"/>
      <c r="L125" s="32"/>
    </row>
    <row r="126" spans="2:12" x14ac:dyDescent="0.2">
      <c r="B126" s="30"/>
      <c r="C126" s="31"/>
      <c r="D126" s="31"/>
      <c r="E126" s="31"/>
      <c r="F126" s="31"/>
      <c r="G126" s="31"/>
      <c r="H126" s="31"/>
      <c r="I126" s="31"/>
      <c r="J126" s="31"/>
      <c r="K126" s="31"/>
      <c r="L126" s="32"/>
    </row>
    <row r="127" spans="2:12" x14ac:dyDescent="0.2">
      <c r="B127" s="30"/>
      <c r="C127" s="31"/>
      <c r="D127" s="31"/>
      <c r="E127" s="31"/>
      <c r="F127" s="31"/>
      <c r="G127" s="31"/>
      <c r="H127" s="31"/>
      <c r="I127" s="31"/>
      <c r="J127" s="31"/>
      <c r="K127" s="31"/>
      <c r="L127" s="32"/>
    </row>
    <row r="128" spans="2:12" x14ac:dyDescent="0.2">
      <c r="B128" s="30"/>
      <c r="C128" s="31"/>
      <c r="D128" s="31"/>
      <c r="E128" s="31"/>
      <c r="F128" s="31"/>
      <c r="G128" s="31"/>
      <c r="H128" s="31"/>
      <c r="I128" s="31"/>
      <c r="J128" s="31"/>
      <c r="K128" s="31"/>
      <c r="L128" s="32"/>
    </row>
    <row r="129" spans="2:12" x14ac:dyDescent="0.2">
      <c r="B129" s="30"/>
      <c r="C129" s="31"/>
      <c r="D129" s="31"/>
      <c r="E129" s="31"/>
      <c r="F129" s="31"/>
      <c r="G129" s="31"/>
      <c r="H129" s="31"/>
      <c r="I129" s="31"/>
      <c r="J129" s="31"/>
      <c r="K129" s="31"/>
      <c r="L129" s="32"/>
    </row>
    <row r="130" spans="2:12" x14ac:dyDescent="0.2">
      <c r="B130" s="30"/>
      <c r="C130" s="31"/>
      <c r="D130" s="31"/>
      <c r="E130" s="31"/>
      <c r="F130" s="31"/>
      <c r="G130" s="31"/>
      <c r="H130" s="31"/>
      <c r="I130" s="31"/>
      <c r="J130" s="31"/>
      <c r="K130" s="31"/>
      <c r="L130" s="32"/>
    </row>
    <row r="131" spans="2:12" x14ac:dyDescent="0.2">
      <c r="B131" s="30"/>
      <c r="C131" s="31"/>
      <c r="D131" s="31"/>
      <c r="E131" s="31"/>
      <c r="F131" s="31"/>
      <c r="G131" s="31"/>
      <c r="H131" s="31"/>
      <c r="I131" s="31"/>
      <c r="J131" s="31"/>
      <c r="K131" s="31"/>
      <c r="L131" s="32"/>
    </row>
    <row r="132" spans="2:12" x14ac:dyDescent="0.2">
      <c r="B132" s="30"/>
      <c r="C132" s="31"/>
      <c r="D132" s="31"/>
      <c r="E132" s="31"/>
      <c r="F132" s="31"/>
      <c r="G132" s="31"/>
      <c r="H132" s="31"/>
      <c r="I132" s="31"/>
      <c r="J132" s="31"/>
      <c r="K132" s="31"/>
      <c r="L132" s="32"/>
    </row>
    <row r="133" spans="2:12" x14ac:dyDescent="0.2">
      <c r="B133" s="30"/>
      <c r="C133" s="31"/>
      <c r="D133" s="31"/>
      <c r="E133" s="31"/>
      <c r="F133" s="31"/>
      <c r="G133" s="31"/>
      <c r="H133" s="31"/>
      <c r="I133" s="31"/>
      <c r="J133" s="31"/>
      <c r="K133" s="31"/>
      <c r="L133" s="32"/>
    </row>
    <row r="134" spans="2:12" x14ac:dyDescent="0.2">
      <c r="B134" s="30"/>
      <c r="C134" s="31"/>
      <c r="D134" s="31"/>
      <c r="E134" s="31"/>
      <c r="F134" s="31"/>
      <c r="G134" s="31"/>
      <c r="H134" s="31"/>
      <c r="I134" s="31"/>
      <c r="J134" s="31"/>
      <c r="K134" s="31"/>
      <c r="L134" s="32"/>
    </row>
    <row r="135" spans="2:12" x14ac:dyDescent="0.2">
      <c r="B135" s="30"/>
      <c r="C135" s="31"/>
      <c r="D135" s="31"/>
      <c r="E135" s="31"/>
      <c r="F135" s="31"/>
      <c r="G135" s="31"/>
      <c r="H135" s="31"/>
      <c r="I135" s="31"/>
      <c r="J135" s="31"/>
      <c r="K135" s="31"/>
      <c r="L135" s="32"/>
    </row>
    <row r="136" spans="2:12" x14ac:dyDescent="0.2">
      <c r="B136" s="30"/>
      <c r="C136" s="31"/>
      <c r="D136" s="31"/>
      <c r="E136" s="31"/>
      <c r="F136" s="31"/>
      <c r="G136" s="31"/>
      <c r="H136" s="31"/>
      <c r="I136" s="31"/>
      <c r="J136" s="31"/>
      <c r="K136" s="31"/>
      <c r="L136" s="32"/>
    </row>
    <row r="137" spans="2:12" x14ac:dyDescent="0.2">
      <c r="B137" s="30"/>
      <c r="C137" s="31"/>
      <c r="D137" s="31"/>
      <c r="E137" s="31"/>
      <c r="F137" s="31"/>
      <c r="G137" s="31"/>
      <c r="H137" s="31"/>
      <c r="I137" s="31"/>
      <c r="J137" s="31"/>
      <c r="K137" s="31"/>
      <c r="L137" s="32"/>
    </row>
    <row r="138" spans="2:12" x14ac:dyDescent="0.2">
      <c r="B138" s="30"/>
      <c r="C138" s="31"/>
      <c r="D138" s="31"/>
      <c r="E138" s="31"/>
      <c r="F138" s="31"/>
      <c r="G138" s="31"/>
      <c r="H138" s="31"/>
      <c r="I138" s="31"/>
      <c r="J138" s="31"/>
      <c r="K138" s="31"/>
      <c r="L138" s="32"/>
    </row>
    <row r="139" spans="2:12" x14ac:dyDescent="0.2">
      <c r="B139" s="30"/>
      <c r="C139" s="31"/>
      <c r="D139" s="31"/>
      <c r="E139" s="31"/>
      <c r="F139" s="31"/>
      <c r="G139" s="31"/>
      <c r="H139" s="31"/>
      <c r="I139" s="31"/>
      <c r="J139" s="31"/>
      <c r="K139" s="31"/>
      <c r="L139" s="32"/>
    </row>
    <row r="140" spans="2:12" x14ac:dyDescent="0.2">
      <c r="B140" s="30"/>
      <c r="C140" s="31"/>
      <c r="D140" s="31"/>
      <c r="E140" s="31"/>
      <c r="F140" s="31"/>
      <c r="G140" s="31"/>
      <c r="H140" s="31"/>
      <c r="I140" s="31"/>
      <c r="J140" s="31"/>
      <c r="K140" s="31"/>
      <c r="L140" s="32"/>
    </row>
    <row r="141" spans="2:12" x14ac:dyDescent="0.2">
      <c r="B141" s="30"/>
      <c r="C141" s="31"/>
      <c r="D141" s="31"/>
      <c r="E141" s="31"/>
      <c r="F141" s="31"/>
      <c r="G141" s="31"/>
      <c r="H141" s="31"/>
      <c r="I141" s="31"/>
      <c r="J141" s="31"/>
      <c r="K141" s="31"/>
      <c r="L141" s="32"/>
    </row>
    <row r="142" spans="2:12" x14ac:dyDescent="0.2">
      <c r="B142" s="30"/>
      <c r="C142" s="31"/>
      <c r="D142" s="31"/>
      <c r="E142" s="31"/>
      <c r="F142" s="31"/>
      <c r="G142" s="31"/>
      <c r="H142" s="31"/>
      <c r="I142" s="31"/>
      <c r="J142" s="31"/>
      <c r="K142" s="31"/>
      <c r="L142" s="32"/>
    </row>
    <row r="143" spans="2:12" x14ac:dyDescent="0.2">
      <c r="B143" s="30"/>
      <c r="C143" s="31"/>
      <c r="D143" s="31"/>
      <c r="E143" s="31"/>
      <c r="F143" s="31"/>
      <c r="G143" s="31"/>
      <c r="H143" s="31"/>
      <c r="I143" s="31"/>
      <c r="J143" s="31"/>
      <c r="K143" s="31"/>
      <c r="L143" s="32"/>
    </row>
    <row r="144" spans="2:12" x14ac:dyDescent="0.2">
      <c r="B144" s="30"/>
      <c r="C144" s="31"/>
      <c r="D144" s="31"/>
      <c r="E144" s="31"/>
      <c r="F144" s="31"/>
      <c r="G144" s="31"/>
      <c r="H144" s="31"/>
      <c r="I144" s="31"/>
      <c r="J144" s="31"/>
      <c r="K144" s="31"/>
      <c r="L144" s="32"/>
    </row>
    <row r="145" spans="2:12" x14ac:dyDescent="0.2">
      <c r="B145" s="30"/>
      <c r="C145" s="31"/>
      <c r="D145" s="31"/>
      <c r="E145" s="31"/>
      <c r="F145" s="31"/>
      <c r="G145" s="31"/>
      <c r="H145" s="31"/>
      <c r="I145" s="31"/>
      <c r="J145" s="31"/>
      <c r="K145" s="31"/>
      <c r="L145" s="32"/>
    </row>
    <row r="146" spans="2:12" x14ac:dyDescent="0.2">
      <c r="B146" s="30"/>
      <c r="C146" s="31"/>
      <c r="D146" s="31"/>
      <c r="E146" s="31"/>
      <c r="F146" s="31"/>
      <c r="G146" s="31"/>
      <c r="H146" s="31"/>
      <c r="I146" s="31"/>
      <c r="J146" s="31"/>
      <c r="K146" s="31"/>
      <c r="L146" s="32"/>
    </row>
    <row r="147" spans="2:12" x14ac:dyDescent="0.2">
      <c r="B147" s="30"/>
      <c r="C147" s="31"/>
      <c r="D147" s="31"/>
      <c r="E147" s="31"/>
      <c r="F147" s="31"/>
      <c r="G147" s="31"/>
      <c r="H147" s="31"/>
      <c r="I147" s="31"/>
      <c r="J147" s="31"/>
      <c r="K147" s="31"/>
      <c r="L147" s="32"/>
    </row>
    <row r="148" spans="2:12" x14ac:dyDescent="0.2">
      <c r="B148" s="30"/>
      <c r="C148" s="31"/>
      <c r="D148" s="31"/>
      <c r="E148" s="31"/>
      <c r="F148" s="31"/>
      <c r="G148" s="31"/>
      <c r="H148" s="31"/>
      <c r="I148" s="31"/>
      <c r="J148" s="31"/>
      <c r="K148" s="31"/>
      <c r="L148" s="32"/>
    </row>
    <row r="149" spans="2:12" x14ac:dyDescent="0.2">
      <c r="B149" s="30"/>
      <c r="C149" s="31"/>
      <c r="D149" s="31"/>
      <c r="E149" s="31"/>
      <c r="F149" s="31"/>
      <c r="G149" s="31"/>
      <c r="H149" s="31"/>
      <c r="I149" s="31"/>
      <c r="J149" s="31"/>
      <c r="K149" s="31"/>
      <c r="L149" s="32"/>
    </row>
    <row r="150" spans="2:12" x14ac:dyDescent="0.2">
      <c r="B150" s="30"/>
      <c r="C150" s="31"/>
      <c r="D150" s="31"/>
      <c r="E150" s="31"/>
      <c r="F150" s="31"/>
      <c r="G150" s="31"/>
      <c r="H150" s="31"/>
      <c r="I150" s="31"/>
      <c r="J150" s="31"/>
      <c r="K150" s="31"/>
      <c r="L150" s="32"/>
    </row>
    <row r="151" spans="2:12" x14ac:dyDescent="0.2">
      <c r="B151" s="30"/>
      <c r="C151" s="31"/>
      <c r="D151" s="31"/>
      <c r="E151" s="31"/>
      <c r="F151" s="31"/>
      <c r="G151" s="31"/>
      <c r="H151" s="31"/>
      <c r="I151" s="31"/>
      <c r="J151" s="31"/>
      <c r="K151" s="31"/>
      <c r="L151" s="32"/>
    </row>
    <row r="152" spans="2:12" x14ac:dyDescent="0.2">
      <c r="B152" s="30"/>
      <c r="C152" s="31"/>
      <c r="D152" s="31"/>
      <c r="E152" s="31"/>
      <c r="F152" s="31"/>
      <c r="G152" s="31"/>
      <c r="H152" s="31"/>
      <c r="I152" s="31"/>
      <c r="J152" s="31"/>
      <c r="K152" s="31"/>
      <c r="L152" s="32"/>
    </row>
    <row r="153" spans="2:12" x14ac:dyDescent="0.2">
      <c r="B153" s="30"/>
      <c r="C153" s="31"/>
      <c r="D153" s="31"/>
      <c r="E153" s="31"/>
      <c r="F153" s="31"/>
      <c r="G153" s="31"/>
      <c r="H153" s="31"/>
      <c r="I153" s="31"/>
      <c r="J153" s="31"/>
      <c r="K153" s="31"/>
      <c r="L153" s="32"/>
    </row>
    <row r="154" spans="2:12" x14ac:dyDescent="0.2">
      <c r="B154" s="30"/>
      <c r="C154" s="31"/>
      <c r="D154" s="31"/>
      <c r="E154" s="31"/>
      <c r="F154" s="31"/>
      <c r="G154" s="31"/>
      <c r="H154" s="31"/>
      <c r="I154" s="31"/>
      <c r="J154" s="31"/>
      <c r="K154" s="31"/>
      <c r="L154" s="32"/>
    </row>
    <row r="155" spans="2:12" x14ac:dyDescent="0.2">
      <c r="B155" s="30"/>
      <c r="C155" s="31"/>
      <c r="D155" s="31"/>
      <c r="E155" s="31"/>
      <c r="F155" s="31"/>
      <c r="G155" s="31"/>
      <c r="H155" s="31"/>
      <c r="I155" s="31"/>
      <c r="J155" s="31"/>
      <c r="K155" s="31"/>
      <c r="L155" s="32"/>
    </row>
    <row r="156" spans="2:12" x14ac:dyDescent="0.2">
      <c r="B156" s="30"/>
      <c r="C156" s="31"/>
      <c r="D156" s="31"/>
      <c r="E156" s="31"/>
      <c r="F156" s="31"/>
      <c r="G156" s="31"/>
      <c r="H156" s="31"/>
      <c r="I156" s="31"/>
      <c r="J156" s="31"/>
      <c r="K156" s="31"/>
      <c r="L156" s="32"/>
    </row>
    <row r="157" spans="2:12" x14ac:dyDescent="0.2">
      <c r="B157" s="30"/>
      <c r="C157" s="31"/>
      <c r="D157" s="31"/>
      <c r="E157" s="31"/>
      <c r="F157" s="31"/>
      <c r="G157" s="31"/>
      <c r="H157" s="31"/>
      <c r="I157" s="31"/>
      <c r="J157" s="31"/>
      <c r="K157" s="31"/>
      <c r="L157" s="32"/>
    </row>
    <row r="158" spans="2:12" x14ac:dyDescent="0.2">
      <c r="B158" s="30"/>
      <c r="C158" s="31"/>
      <c r="D158" s="31"/>
      <c r="E158" s="31"/>
      <c r="F158" s="31"/>
      <c r="G158" s="31"/>
      <c r="H158" s="31"/>
      <c r="I158" s="31"/>
      <c r="J158" s="31"/>
      <c r="K158" s="31"/>
      <c r="L158" s="32"/>
    </row>
    <row r="159" spans="2:12" x14ac:dyDescent="0.2">
      <c r="B159" s="30"/>
      <c r="C159" s="31"/>
      <c r="D159" s="31"/>
      <c r="E159" s="31"/>
      <c r="F159" s="31"/>
      <c r="G159" s="31"/>
      <c r="H159" s="31"/>
      <c r="I159" s="31"/>
      <c r="J159" s="31"/>
      <c r="K159" s="31"/>
      <c r="L159" s="32"/>
    </row>
    <row r="160" spans="2:12" x14ac:dyDescent="0.2">
      <c r="B160" s="30"/>
      <c r="C160" s="31"/>
      <c r="D160" s="31"/>
      <c r="E160" s="31"/>
      <c r="F160" s="31"/>
      <c r="G160" s="31"/>
      <c r="H160" s="31"/>
      <c r="I160" s="31"/>
      <c r="J160" s="31"/>
      <c r="K160" s="31"/>
      <c r="L160" s="32"/>
    </row>
    <row r="161" spans="2:12" x14ac:dyDescent="0.2">
      <c r="B161" s="30"/>
      <c r="C161" s="31"/>
      <c r="D161" s="31"/>
      <c r="E161" s="31"/>
      <c r="F161" s="31"/>
      <c r="G161" s="31"/>
      <c r="H161" s="31"/>
      <c r="I161" s="31"/>
      <c r="J161" s="31"/>
      <c r="K161" s="31"/>
      <c r="L161" s="32"/>
    </row>
    <row r="162" spans="2:12" x14ac:dyDescent="0.2">
      <c r="B162" s="30"/>
      <c r="C162" s="31"/>
      <c r="D162" s="31"/>
      <c r="E162" s="31"/>
      <c r="F162" s="31"/>
      <c r="G162" s="31"/>
      <c r="H162" s="31"/>
      <c r="I162" s="31"/>
      <c r="J162" s="31"/>
      <c r="K162" s="31"/>
      <c r="L162" s="32"/>
    </row>
    <row r="163" spans="2:12" x14ac:dyDescent="0.2">
      <c r="B163" s="30"/>
      <c r="C163" s="31"/>
      <c r="D163" s="31"/>
      <c r="E163" s="31"/>
      <c r="F163" s="31"/>
      <c r="G163" s="31"/>
      <c r="H163" s="31"/>
      <c r="I163" s="31"/>
      <c r="J163" s="31"/>
      <c r="K163" s="31"/>
      <c r="L163" s="32"/>
    </row>
    <row r="164" spans="2:12" x14ac:dyDescent="0.2">
      <c r="B164" s="30"/>
      <c r="C164" s="31"/>
      <c r="D164" s="31"/>
      <c r="E164" s="31"/>
      <c r="F164" s="31"/>
      <c r="G164" s="31"/>
      <c r="H164" s="31"/>
      <c r="I164" s="31"/>
      <c r="J164" s="31"/>
      <c r="K164" s="31"/>
      <c r="L164" s="32"/>
    </row>
    <row r="165" spans="2:12" x14ac:dyDescent="0.2">
      <c r="B165" s="30"/>
      <c r="C165" s="31"/>
      <c r="D165" s="31"/>
      <c r="E165" s="31"/>
      <c r="F165" s="31"/>
      <c r="G165" s="31"/>
      <c r="H165" s="31"/>
      <c r="I165" s="31"/>
      <c r="J165" s="31"/>
      <c r="K165" s="31"/>
      <c r="L165" s="32"/>
    </row>
    <row r="166" spans="2:12" x14ac:dyDescent="0.2">
      <c r="B166" s="30"/>
      <c r="C166" s="31"/>
      <c r="D166" s="31"/>
      <c r="E166" s="31"/>
      <c r="F166" s="31"/>
      <c r="G166" s="31"/>
      <c r="H166" s="31"/>
      <c r="I166" s="31"/>
      <c r="J166" s="31"/>
      <c r="K166" s="31"/>
      <c r="L166" s="32"/>
    </row>
    <row r="167" spans="2:12" x14ac:dyDescent="0.2">
      <c r="B167" s="30"/>
      <c r="C167" s="31"/>
      <c r="D167" s="31"/>
      <c r="E167" s="31"/>
      <c r="F167" s="31"/>
      <c r="G167" s="31"/>
      <c r="H167" s="31"/>
      <c r="I167" s="31"/>
      <c r="J167" s="31"/>
      <c r="K167" s="31"/>
      <c r="L167" s="32"/>
    </row>
    <row r="168" spans="2:12" x14ac:dyDescent="0.2">
      <c r="B168" s="30"/>
      <c r="C168" s="31"/>
      <c r="D168" s="31"/>
      <c r="E168" s="31"/>
      <c r="F168" s="31"/>
      <c r="G168" s="31"/>
      <c r="H168" s="31"/>
      <c r="I168" s="31"/>
      <c r="J168" s="31"/>
      <c r="K168" s="31"/>
      <c r="L168" s="32"/>
    </row>
    <row r="169" spans="2:12" x14ac:dyDescent="0.2">
      <c r="B169" s="30"/>
      <c r="C169" s="31"/>
      <c r="D169" s="31"/>
      <c r="E169" s="31"/>
      <c r="F169" s="31"/>
      <c r="G169" s="31"/>
      <c r="H169" s="31"/>
      <c r="I169" s="31"/>
      <c r="J169" s="31"/>
      <c r="K169" s="31"/>
      <c r="L169" s="32"/>
    </row>
    <row r="170" spans="2:12" x14ac:dyDescent="0.2">
      <c r="B170" s="30"/>
      <c r="C170" s="31"/>
      <c r="D170" s="31"/>
      <c r="E170" s="31"/>
      <c r="F170" s="31"/>
      <c r="G170" s="31"/>
      <c r="H170" s="31"/>
      <c r="I170" s="31"/>
      <c r="J170" s="31"/>
      <c r="K170" s="31"/>
      <c r="L170" s="32"/>
    </row>
    <row r="171" spans="2:12" x14ac:dyDescent="0.2">
      <c r="B171" s="30"/>
      <c r="C171" s="31"/>
      <c r="D171" s="31"/>
      <c r="E171" s="31"/>
      <c r="F171" s="31"/>
      <c r="G171" s="31"/>
      <c r="H171" s="31"/>
      <c r="I171" s="31"/>
      <c r="J171" s="31"/>
      <c r="K171" s="31"/>
      <c r="L171" s="32"/>
    </row>
    <row r="172" spans="2:12" x14ac:dyDescent="0.2">
      <c r="B172" s="30"/>
      <c r="C172" s="31"/>
      <c r="D172" s="31"/>
      <c r="E172" s="31"/>
      <c r="F172" s="31"/>
      <c r="G172" s="31"/>
      <c r="H172" s="31"/>
      <c r="I172" s="31"/>
      <c r="J172" s="31"/>
      <c r="K172" s="31"/>
      <c r="L172" s="32"/>
    </row>
    <row r="173" spans="2:12" x14ac:dyDescent="0.2">
      <c r="B173" s="30"/>
      <c r="C173" s="31"/>
      <c r="D173" s="31"/>
      <c r="E173" s="31"/>
      <c r="F173" s="31"/>
      <c r="G173" s="31"/>
      <c r="H173" s="31"/>
      <c r="I173" s="31"/>
      <c r="J173" s="31"/>
      <c r="K173" s="31"/>
      <c r="L173" s="32"/>
    </row>
    <row r="174" spans="2:12" x14ac:dyDescent="0.2">
      <c r="B174" s="30"/>
      <c r="C174" s="31"/>
      <c r="D174" s="31"/>
      <c r="E174" s="31"/>
      <c r="F174" s="31"/>
      <c r="G174" s="31"/>
      <c r="H174" s="31"/>
      <c r="I174" s="31"/>
      <c r="J174" s="31"/>
      <c r="K174" s="31"/>
      <c r="L174" s="32"/>
    </row>
    <row r="175" spans="2:12" x14ac:dyDescent="0.2">
      <c r="B175" s="30"/>
      <c r="C175" s="31"/>
      <c r="D175" s="31"/>
      <c r="E175" s="31"/>
      <c r="F175" s="31"/>
      <c r="G175" s="31"/>
      <c r="H175" s="31"/>
      <c r="I175" s="31"/>
      <c r="J175" s="31"/>
      <c r="K175" s="31"/>
      <c r="L175" s="32"/>
    </row>
    <row r="176" spans="2:12" x14ac:dyDescent="0.2">
      <c r="B176" s="30"/>
      <c r="C176" s="31"/>
      <c r="D176" s="31"/>
      <c r="E176" s="31"/>
      <c r="F176" s="31"/>
      <c r="G176" s="31"/>
      <c r="H176" s="31"/>
      <c r="I176" s="31"/>
      <c r="J176" s="31"/>
      <c r="K176" s="31"/>
      <c r="L176" s="32"/>
    </row>
    <row r="177" spans="2:12" x14ac:dyDescent="0.2">
      <c r="B177" s="30"/>
      <c r="C177" s="31"/>
      <c r="D177" s="31"/>
      <c r="E177" s="31"/>
      <c r="F177" s="31"/>
      <c r="G177" s="31"/>
      <c r="H177" s="31"/>
      <c r="I177" s="31"/>
      <c r="J177" s="31"/>
      <c r="K177" s="31"/>
      <c r="L177" s="32"/>
    </row>
    <row r="178" spans="2:12" x14ac:dyDescent="0.2">
      <c r="B178" s="30"/>
      <c r="C178" s="31"/>
      <c r="D178" s="31"/>
      <c r="E178" s="31"/>
      <c r="F178" s="31"/>
      <c r="G178" s="31"/>
      <c r="H178" s="31"/>
      <c r="I178" s="31"/>
      <c r="J178" s="31"/>
      <c r="K178" s="31"/>
      <c r="L178" s="32"/>
    </row>
    <row r="179" spans="2:12" x14ac:dyDescent="0.2">
      <c r="B179" s="30"/>
      <c r="C179" s="31"/>
      <c r="D179" s="31"/>
      <c r="E179" s="31"/>
      <c r="F179" s="31"/>
      <c r="G179" s="31"/>
      <c r="H179" s="31"/>
      <c r="I179" s="31"/>
      <c r="J179" s="31"/>
      <c r="K179" s="31"/>
      <c r="L179" s="32"/>
    </row>
    <row r="180" spans="2:12" x14ac:dyDescent="0.2">
      <c r="B180" s="30"/>
      <c r="C180" s="31"/>
      <c r="D180" s="31"/>
      <c r="E180" s="31"/>
      <c r="F180" s="31"/>
      <c r="G180" s="31"/>
      <c r="H180" s="31"/>
      <c r="I180" s="31"/>
      <c r="J180" s="31"/>
      <c r="K180" s="31"/>
      <c r="L180" s="32"/>
    </row>
    <row r="181" spans="2:12" x14ac:dyDescent="0.2">
      <c r="B181" s="30"/>
      <c r="C181" s="31"/>
      <c r="D181" s="31"/>
      <c r="E181" s="31"/>
      <c r="F181" s="31"/>
      <c r="G181" s="31"/>
      <c r="H181" s="31"/>
      <c r="I181" s="31"/>
      <c r="J181" s="31"/>
      <c r="K181" s="31"/>
      <c r="L181" s="32"/>
    </row>
    <row r="182" spans="2:12" x14ac:dyDescent="0.2">
      <c r="B182" s="30"/>
      <c r="C182" s="31"/>
      <c r="D182" s="31"/>
      <c r="E182" s="31"/>
      <c r="F182" s="31"/>
      <c r="G182" s="31"/>
      <c r="H182" s="31"/>
      <c r="I182" s="31"/>
      <c r="J182" s="31"/>
      <c r="K182" s="31"/>
      <c r="L182" s="32"/>
    </row>
    <row r="183" spans="2:12" x14ac:dyDescent="0.2">
      <c r="B183" s="30"/>
      <c r="C183" s="31"/>
      <c r="D183" s="31"/>
      <c r="E183" s="31"/>
      <c r="F183" s="31"/>
      <c r="G183" s="31"/>
      <c r="H183" s="31"/>
      <c r="I183" s="31"/>
      <c r="J183" s="31"/>
      <c r="K183" s="31"/>
      <c r="L183" s="32"/>
    </row>
    <row r="184" spans="2:12" x14ac:dyDescent="0.2">
      <c r="B184" s="30"/>
      <c r="C184" s="31"/>
      <c r="D184" s="31"/>
      <c r="E184" s="31"/>
      <c r="F184" s="31"/>
      <c r="G184" s="31"/>
      <c r="H184" s="31"/>
      <c r="I184" s="31"/>
      <c r="J184" s="31"/>
      <c r="K184" s="31"/>
      <c r="L184" s="32"/>
    </row>
    <row r="185" spans="2:12" x14ac:dyDescent="0.2">
      <c r="B185" s="30"/>
      <c r="C185" s="31"/>
      <c r="D185" s="31"/>
      <c r="E185" s="31"/>
      <c r="F185" s="31"/>
      <c r="G185" s="31"/>
      <c r="H185" s="31"/>
      <c r="I185" s="31"/>
      <c r="J185" s="31"/>
      <c r="K185" s="31"/>
      <c r="L185" s="32"/>
    </row>
    <row r="186" spans="2:12" x14ac:dyDescent="0.2">
      <c r="B186" s="30"/>
      <c r="C186" s="31"/>
      <c r="D186" s="31"/>
      <c r="E186" s="31"/>
      <c r="F186" s="31"/>
      <c r="G186" s="31"/>
      <c r="H186" s="31"/>
      <c r="I186" s="31"/>
      <c r="J186" s="31"/>
      <c r="K186" s="31"/>
      <c r="L186" s="32"/>
    </row>
    <row r="187" spans="2:12" x14ac:dyDescent="0.2">
      <c r="B187" s="30"/>
      <c r="C187" s="31"/>
      <c r="D187" s="31"/>
      <c r="E187" s="31"/>
      <c r="F187" s="31"/>
      <c r="G187" s="31"/>
      <c r="H187" s="31"/>
      <c r="I187" s="31"/>
      <c r="J187" s="31"/>
      <c r="K187" s="31"/>
      <c r="L187" s="32"/>
    </row>
    <row r="188" spans="2:12" x14ac:dyDescent="0.2">
      <c r="B188" s="30"/>
      <c r="C188" s="31"/>
      <c r="D188" s="31"/>
      <c r="E188" s="31"/>
      <c r="F188" s="31"/>
      <c r="G188" s="31"/>
      <c r="H188" s="31"/>
      <c r="I188" s="31"/>
      <c r="J188" s="31"/>
      <c r="K188" s="31"/>
      <c r="L188" s="32"/>
    </row>
    <row r="189" spans="2:12" x14ac:dyDescent="0.2">
      <c r="B189" s="38"/>
      <c r="C189" s="36"/>
      <c r="D189" s="36"/>
      <c r="E189" s="36"/>
      <c r="F189" s="36"/>
      <c r="G189" s="36"/>
      <c r="H189" s="36"/>
      <c r="I189" s="36"/>
      <c r="J189" s="36"/>
      <c r="K189" s="36"/>
      <c r="L189" s="39"/>
    </row>
  </sheetData>
  <sheetProtection password="E10F" sheet="1"/>
  <mergeCells count="2">
    <mergeCell ref="C2:E2"/>
    <mergeCell ref="F2:G2"/>
  </mergeCells>
  <phoneticPr fontId="2" type="noConversion"/>
  <conditionalFormatting sqref="H27:H33 H35">
    <cfRule type="cellIs" dxfId="229" priority="2" stopIfTrue="1" operator="greaterThanOrEqual">
      <formula>100</formula>
    </cfRule>
    <cfRule type="cellIs" dxfId="228" priority="3" stopIfTrue="1" operator="lessThan">
      <formula>100</formula>
    </cfRule>
  </conditionalFormatting>
  <conditionalFormatting sqref="H34">
    <cfRule type="cellIs" dxfId="227" priority="4" stopIfTrue="1" operator="greaterThanOrEqual">
      <formula>100.01</formula>
    </cfRule>
    <cfRule type="cellIs" dxfId="226" priority="5" stopIfTrue="1" operator="lessThan">
      <formula>100.01</formula>
    </cfRule>
  </conditionalFormatting>
  <conditionalFormatting sqref="E16">
    <cfRule type="cellIs" dxfId="225" priority="1" stopIfTrue="1" operator="lessThan">
      <formula>1.2</formula>
    </cfRule>
  </conditionalFormatting>
  <dataValidations count="5">
    <dataValidation type="list" allowBlank="1" showInputMessage="1" showErrorMessage="1" promptTitle="Select Material" sqref="G13:G14 C5 D5:D6" xr:uid="{00000000-0002-0000-0900-000000000000}">
      <formula1>Materials</formula1>
    </dataValidation>
    <dataValidation type="list" allowBlank="1" showInputMessage="1" showErrorMessage="1" sqref="F2" xr:uid="{00000000-0002-0000-0900-000001000000}">
      <formula1>ConstructionType</formula1>
    </dataValidation>
    <dataValidation allowBlank="1" showInputMessage="1" showErrorMessage="1" promptTitle="Select Material" sqref="C6 F6" xr:uid="{00000000-0002-0000-0900-000002000000}"/>
    <dataValidation type="list" allowBlank="1" showInputMessage="1" showErrorMessage="1" promptTitle="Select Material" sqref="E6" xr:uid="{00000000-0002-0000-0900-000003000000}">
      <formula1>Tube_Type</formula1>
    </dataValidation>
    <dataValidation type="list" allowBlank="1" showInputMessage="1" showErrorMessage="1" promptTitle="Select Material" sqref="F5 E5" xr:uid="{00000000-0002-0000-0900-000004000000}">
      <formula1>Material</formula1>
    </dataValidation>
  </dataValidations>
  <hyperlinks>
    <hyperlink ref="B39" location="'T2.11.5 T2.6 Guidance Notes'!A1" display="Link to Guidance Notes" xr:uid="{00000000-0004-0000-0900-000000000000}"/>
    <hyperlink ref="J36" location="'Cover Sheet'!A1" display="BACK to COVER SHEET" xr:uid="{00000000-0004-0000-0900-000001000000}"/>
    <hyperlink ref="J36:K36" location="'Cover Sheet'!A1" display="BACK to COVER SHEET" xr:uid="{00000000-0004-0000-0900-000002000000}"/>
  </hyperlinks>
  <pageMargins left="0.75" right="0.75" top="1" bottom="1" header="0.5" footer="0.5"/>
  <pageSetup paperSize="9" scale="57" fitToHeight="2" orientation="portrait" horizontalDpi="4294967294" verticalDpi="4294967295"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pageSetUpPr fitToPage="1"/>
  </sheetPr>
  <dimension ref="B1:P189"/>
  <sheetViews>
    <sheetView showGridLines="0" view="pageBreakPreview" topLeftCell="B16" zoomScaleNormal="100" zoomScaleSheetLayoutView="100" workbookViewId="0">
      <selection activeCell="E16" sqref="E16"/>
    </sheetView>
  </sheetViews>
  <sheetFormatPr baseColWidth="10" defaultColWidth="9.140625" defaultRowHeight="12.75" x14ac:dyDescent="0.2"/>
  <cols>
    <col min="1" max="1" width="3.42578125" style="191" customWidth="1"/>
    <col min="2" max="2" width="45.140625" style="191" customWidth="1"/>
    <col min="3" max="3" width="11.42578125" style="191" customWidth="1"/>
    <col min="4" max="4" width="3.5703125" style="192" customWidth="1"/>
    <col min="5" max="5" width="11.7109375" style="191" customWidth="1"/>
    <col min="6" max="6" width="15.28515625" style="191" customWidth="1"/>
    <col min="7" max="7" width="11.7109375" style="191" customWidth="1"/>
    <col min="8" max="8" width="6.5703125" style="191" bestFit="1" customWidth="1"/>
    <col min="9" max="9" width="11.140625" style="191" bestFit="1" customWidth="1"/>
    <col min="10" max="12" width="9.140625" style="191"/>
    <col min="13" max="13" width="3.28515625" style="191" customWidth="1"/>
    <col min="14" max="16384" width="9.140625" style="191"/>
  </cols>
  <sheetData>
    <row r="1" spans="2:12" ht="15.75" x14ac:dyDescent="0.25">
      <c r="B1" s="190" t="s">
        <v>37</v>
      </c>
    </row>
    <row r="2" spans="2:12" x14ac:dyDescent="0.2">
      <c r="C2" s="642" t="s">
        <v>27</v>
      </c>
      <c r="D2" s="643"/>
      <c r="E2" s="644"/>
      <c r="F2" s="645" t="s">
        <v>28</v>
      </c>
      <c r="G2" s="646"/>
    </row>
    <row r="4" spans="2:12" x14ac:dyDescent="0.2">
      <c r="B4" s="193" t="s">
        <v>18</v>
      </c>
      <c r="C4" s="193" t="s">
        <v>1</v>
      </c>
      <c r="D4" s="194"/>
      <c r="E4" s="193" t="s">
        <v>2</v>
      </c>
      <c r="F4" s="195" t="s">
        <v>21</v>
      </c>
      <c r="G4" s="193" t="s">
        <v>22</v>
      </c>
      <c r="I4" s="127"/>
      <c r="J4" s="259" t="s">
        <v>290</v>
      </c>
      <c r="K4" s="259" t="s">
        <v>289</v>
      </c>
      <c r="L4" s="56"/>
    </row>
    <row r="5" spans="2:12" x14ac:dyDescent="0.2">
      <c r="B5" s="196" t="s">
        <v>30</v>
      </c>
      <c r="C5" s="197" t="s">
        <v>7</v>
      </c>
      <c r="E5" s="198" t="s">
        <v>7</v>
      </c>
      <c r="F5" s="199" t="s">
        <v>7</v>
      </c>
      <c r="G5" s="200"/>
      <c r="I5" s="239" t="s">
        <v>247</v>
      </c>
      <c r="J5" s="56">
        <f>F22/1000</f>
        <v>0.1</v>
      </c>
      <c r="K5" s="250">
        <f>J5</f>
        <v>0.1</v>
      </c>
      <c r="L5" s="56"/>
    </row>
    <row r="6" spans="2:12" x14ac:dyDescent="0.2">
      <c r="B6" s="196" t="s">
        <v>46</v>
      </c>
      <c r="C6" s="44" t="s">
        <v>44</v>
      </c>
      <c r="D6" s="105"/>
      <c r="E6" s="22" t="s">
        <v>44</v>
      </c>
      <c r="F6" s="108" t="s">
        <v>23</v>
      </c>
      <c r="G6" s="109"/>
      <c r="H6" s="56"/>
      <c r="I6" s="239" t="s">
        <v>248</v>
      </c>
      <c r="J6" s="56">
        <f>F21/1000</f>
        <v>2E-3</v>
      </c>
      <c r="K6" s="250">
        <f>F20/1000</f>
        <v>2E-3</v>
      </c>
      <c r="L6" s="56"/>
    </row>
    <row r="7" spans="2:12" x14ac:dyDescent="0.2">
      <c r="B7" s="201" t="s">
        <v>19</v>
      </c>
      <c r="C7" s="46" t="str">
        <f>HLOOKUP(C5,MaterialData!$C$3:$O$4,2,FALSE)</f>
        <v>Steel</v>
      </c>
      <c r="D7" s="110"/>
      <c r="E7" s="46" t="str">
        <f>HLOOKUP(E5,MaterialData!$C$3:$O$4,2,FALSE)</f>
        <v>Steel</v>
      </c>
      <c r="F7" s="46" t="str">
        <f>HLOOKUP(F5,MaterialData!$C$3:$O$4,2,FALSE)</f>
        <v>Steel</v>
      </c>
      <c r="G7" s="111"/>
      <c r="H7" s="56"/>
      <c r="I7" s="56"/>
      <c r="J7" s="56"/>
      <c r="K7" s="56"/>
      <c r="L7" s="56"/>
    </row>
    <row r="8" spans="2:12" ht="15.75" x14ac:dyDescent="0.3">
      <c r="B8" s="201"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200"/>
      <c r="H8" s="56"/>
      <c r="I8" s="239" t="s">
        <v>250</v>
      </c>
      <c r="J8" s="60">
        <f>J5*J6</f>
        <v>2.0000000000000001E-4</v>
      </c>
      <c r="K8" s="239" t="s">
        <v>269</v>
      </c>
      <c r="L8" s="60">
        <f>(J5*J6^3)/12</f>
        <v>6.6666666666666682E-11</v>
      </c>
    </row>
    <row r="9" spans="2:12" ht="15.75" x14ac:dyDescent="0.3">
      <c r="B9" s="201"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200"/>
      <c r="H9" s="56"/>
      <c r="I9" s="239" t="s">
        <v>251</v>
      </c>
      <c r="J9" s="60">
        <f>K5*K6</f>
        <v>2.0000000000000001E-4</v>
      </c>
      <c r="K9" s="239" t="s">
        <v>270</v>
      </c>
      <c r="L9" s="60">
        <f>(K5*K6^3)/12</f>
        <v>6.6666666666666682E-11</v>
      </c>
    </row>
    <row r="10" spans="2:12" ht="15.75" x14ac:dyDescent="0.3">
      <c r="B10" s="201"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H10" s="56"/>
      <c r="I10" s="239" t="s">
        <v>477</v>
      </c>
      <c r="J10" s="56">
        <f>J6/2</f>
        <v>1E-3</v>
      </c>
      <c r="K10" s="239" t="s">
        <v>254</v>
      </c>
      <c r="L10" s="60">
        <f>L8+(J8*($J$12-J10)^2)</f>
        <v>2.0066666666666661E-8</v>
      </c>
    </row>
    <row r="11" spans="2:12" ht="15.75" x14ac:dyDescent="0.3">
      <c r="B11" s="201"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H11" s="56"/>
      <c r="I11" s="239" t="s">
        <v>478</v>
      </c>
      <c r="J11" s="56">
        <f>(F18-0.5*F20)*0.001</f>
        <v>2.1000000000000001E-2</v>
      </c>
      <c r="K11" s="239" t="s">
        <v>255</v>
      </c>
      <c r="L11" s="60">
        <f>L9+(J9*($J$12-J11)^2)</f>
        <v>2.0066666666666678E-8</v>
      </c>
    </row>
    <row r="12" spans="2:12" ht="15.75" x14ac:dyDescent="0.3">
      <c r="B12" s="201"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H12" s="56"/>
      <c r="I12" s="239" t="s">
        <v>249</v>
      </c>
      <c r="J12" s="252">
        <f>(J8*J10+J9*J11)/(J8+J9)</f>
        <v>1.0999999999999999E-2</v>
      </c>
      <c r="K12" s="239" t="s">
        <v>260</v>
      </c>
      <c r="L12" s="266">
        <f>SUM(L10:L11)</f>
        <v>4.0133333333333335E-8</v>
      </c>
    </row>
    <row r="13" spans="2:12" x14ac:dyDescent="0.2">
      <c r="C13" s="105"/>
      <c r="D13" s="56"/>
      <c r="E13" s="107"/>
      <c r="F13" s="56"/>
      <c r="G13" s="109"/>
      <c r="H13" s="56"/>
      <c r="L13" s="202"/>
    </row>
    <row r="14" spans="2:12" x14ac:dyDescent="0.2">
      <c r="B14" s="201" t="s">
        <v>31</v>
      </c>
      <c r="C14" s="44">
        <v>1</v>
      </c>
      <c r="D14" s="56"/>
      <c r="E14" s="22">
        <v>2</v>
      </c>
      <c r="F14" s="56"/>
      <c r="G14" s="109"/>
      <c r="H14" s="56"/>
      <c r="L14" s="202"/>
    </row>
    <row r="15" spans="2:12" x14ac:dyDescent="0.2">
      <c r="B15" s="201" t="s">
        <v>166</v>
      </c>
      <c r="C15" s="44">
        <v>25.4</v>
      </c>
      <c r="D15" s="105"/>
      <c r="E15" s="22">
        <v>25</v>
      </c>
      <c r="F15" s="105"/>
      <c r="G15" s="109"/>
      <c r="H15" s="56"/>
      <c r="L15" s="202"/>
    </row>
    <row r="16" spans="2:12" x14ac:dyDescent="0.2">
      <c r="B16" s="201" t="s">
        <v>167</v>
      </c>
      <c r="C16" s="265">
        <v>1.6</v>
      </c>
      <c r="D16" s="105"/>
      <c r="E16" s="22">
        <v>1.5</v>
      </c>
      <c r="F16" s="105"/>
      <c r="G16" s="109"/>
      <c r="H16" s="56"/>
      <c r="L16" s="202"/>
    </row>
    <row r="17" spans="2:16" x14ac:dyDescent="0.2">
      <c r="B17" s="192"/>
      <c r="C17" s="105"/>
      <c r="D17" s="105"/>
      <c r="E17" s="109"/>
      <c r="F17" s="105"/>
      <c r="G17" s="109"/>
      <c r="H17" s="56"/>
      <c r="L17" s="202"/>
    </row>
    <row r="18" spans="2:16" x14ac:dyDescent="0.2">
      <c r="B18" s="203" t="s">
        <v>24</v>
      </c>
      <c r="C18" s="105"/>
      <c r="D18" s="105"/>
      <c r="E18" s="109"/>
      <c r="F18" s="241">
        <f>F19+F20+F21</f>
        <v>22</v>
      </c>
      <c r="G18" s="109"/>
      <c r="H18" s="56"/>
      <c r="L18" s="202"/>
    </row>
    <row r="19" spans="2:16" x14ac:dyDescent="0.2">
      <c r="B19" s="203" t="s">
        <v>25</v>
      </c>
      <c r="C19" s="105"/>
      <c r="D19" s="105"/>
      <c r="E19" s="109"/>
      <c r="F19" s="52">
        <v>18</v>
      </c>
      <c r="G19" s="109"/>
      <c r="H19" s="56"/>
      <c r="J19" s="204"/>
      <c r="K19" s="204"/>
      <c r="L19" s="202"/>
    </row>
    <row r="20" spans="2:16" x14ac:dyDescent="0.2">
      <c r="B20" s="99" t="s">
        <v>287</v>
      </c>
      <c r="C20" s="56"/>
      <c r="D20" s="105"/>
      <c r="E20" s="109"/>
      <c r="F20" s="52">
        <v>2</v>
      </c>
      <c r="G20" s="109"/>
      <c r="H20" s="56"/>
      <c r="J20" s="204"/>
      <c r="K20" s="204"/>
      <c r="L20" s="202"/>
    </row>
    <row r="21" spans="2:16" x14ac:dyDescent="0.2">
      <c r="B21" s="264" t="s">
        <v>286</v>
      </c>
      <c r="C21" s="56"/>
      <c r="D21" s="105"/>
      <c r="E21" s="109"/>
      <c r="F21" s="52">
        <v>2</v>
      </c>
      <c r="G21" s="109"/>
      <c r="H21" s="56"/>
      <c r="J21" s="204"/>
      <c r="K21" s="204"/>
      <c r="L21" s="202"/>
    </row>
    <row r="22" spans="2:16" x14ac:dyDescent="0.2">
      <c r="B22" s="203" t="s">
        <v>291</v>
      </c>
      <c r="C22" s="56"/>
      <c r="D22" s="105"/>
      <c r="E22" s="109"/>
      <c r="F22" s="52">
        <v>100</v>
      </c>
      <c r="G22" s="109"/>
      <c r="H22" s="56"/>
      <c r="J22" s="204"/>
      <c r="K22" s="204"/>
      <c r="L22" s="202"/>
    </row>
    <row r="23" spans="2:16" x14ac:dyDescent="0.2">
      <c r="B23" s="192"/>
      <c r="C23" s="105"/>
      <c r="D23" s="105"/>
      <c r="E23" s="113"/>
      <c r="F23" s="105"/>
      <c r="G23" s="109"/>
      <c r="H23" s="56"/>
      <c r="J23" s="204"/>
      <c r="K23" s="204"/>
      <c r="L23" s="202"/>
    </row>
    <row r="24" spans="2:16" x14ac:dyDescent="0.2">
      <c r="B24" s="201" t="s">
        <v>4</v>
      </c>
      <c r="C24" s="44">
        <f>C15/1000</f>
        <v>2.5399999999999999E-2</v>
      </c>
      <c r="D24" s="105"/>
      <c r="E24" s="44">
        <f>IF(F2="Composite only","No tubes",E15/1000)</f>
        <v>2.5000000000000001E-2</v>
      </c>
      <c r="F24" s="105"/>
      <c r="G24" s="109"/>
      <c r="H24" s="56"/>
      <c r="L24" s="202"/>
    </row>
    <row r="25" spans="2:16" x14ac:dyDescent="0.2">
      <c r="B25" s="201" t="s">
        <v>159</v>
      </c>
      <c r="C25" s="44">
        <f>C16/1000</f>
        <v>1.6000000000000001E-3</v>
      </c>
      <c r="D25" s="105"/>
      <c r="E25" s="44">
        <f>IF(F2="Composite only","",E16/1000)</f>
        <v>1.5E-3</v>
      </c>
      <c r="F25" s="105"/>
      <c r="G25" s="113"/>
      <c r="H25" s="56"/>
      <c r="L25" s="202"/>
      <c r="P25" s="205"/>
    </row>
    <row r="26" spans="2:16" x14ac:dyDescent="0.2">
      <c r="B26" s="201" t="s">
        <v>3</v>
      </c>
      <c r="C26" s="46">
        <f>IF(C6="Round",((C24)^4-((C24-2*C25))^4)*3.142/64,((C24)^4-((C24-2*C25))^4)/12)</f>
        <v>8.5099184800000022E-9</v>
      </c>
      <c r="D26" s="105"/>
      <c r="E26" s="46">
        <f>IF(F2="Composite only","",IF(E6="Round",((E24)^4-((E24-2*E25))^4)*3.142/64,IF(E6="Square",((E24)^4-((E24-2*E25))^4)/12,"")))</f>
        <v>7.6767405937500035E-9</v>
      </c>
      <c r="F26" s="115" t="str">
        <f>IF($F$2="Tubing only","Tubing Only",L12)</f>
        <v>Tubing Only</v>
      </c>
      <c r="G26" s="46">
        <f t="shared" ref="G26:G33" si="0">IF($F$2="Tubing only",E26,IF($F$2="Composite only",F26,IF($F$2="Tubes + Composite",E26+F26,"No Type Selected")))</f>
        <v>7.6767405937500035E-9</v>
      </c>
      <c r="H26" s="56"/>
      <c r="L26" s="202"/>
      <c r="O26" s="202"/>
      <c r="P26" s="205"/>
    </row>
    <row r="27" spans="2:16" x14ac:dyDescent="0.2">
      <c r="B27" s="201" t="s">
        <v>0</v>
      </c>
      <c r="C27" s="46">
        <f>C8*C26*C14</f>
        <v>1701.9836960000005</v>
      </c>
      <c r="D27" s="110"/>
      <c r="E27" s="46">
        <f>IF(F2="Composite only","",E8*E26*E14)</f>
        <v>3070.6962375000012</v>
      </c>
      <c r="F27" s="115" t="str">
        <f>IF(F26="Tubing Only","",F26*F8)</f>
        <v/>
      </c>
      <c r="G27" s="46">
        <f t="shared" si="0"/>
        <v>3070.6962375000012</v>
      </c>
      <c r="H27" s="54">
        <f t="shared" ref="H27:H33" si="1">100*G27/C27</f>
        <v>180.41866351109869</v>
      </c>
    </row>
    <row r="28" spans="2:16" x14ac:dyDescent="0.2">
      <c r="B28" s="201" t="s">
        <v>160</v>
      </c>
      <c r="C28" s="47">
        <f>IF(C24="no tubes","",IF(C14=0,"",IF(C6="Round",C14*((C15^2-(C15-2*C16)^2)*PI()/4),IF(C6="Square",C14*(C15^2-(C15-2*C16)^2),""))))</f>
        <v>119.63184824869931</v>
      </c>
      <c r="D28" s="116"/>
      <c r="E28" s="47">
        <f>IF(E24="no tubes","",IF(E14=0,"",IF(E6="Round",E14*((E15^2-(E15-2*E16)^2)*PI()/4),IF(E6="Square",E14*(E15^2-(E15-2*E16)^2),""))))</f>
        <v>221.4822820780804</v>
      </c>
      <c r="F28" s="47" t="str">
        <f>IF(F26="Tubing Only","",(F18-F19)*F22)</f>
        <v/>
      </c>
      <c r="G28" s="47">
        <f t="shared" si="0"/>
        <v>221.4822820780804</v>
      </c>
      <c r="H28" s="54">
        <f>IF(AND(F2="tubing only",E5="steel"),100*G28/C28,"NA")</f>
        <v>185.13655462184872</v>
      </c>
      <c r="I28" s="191" t="str">
        <f>IF(AND(95&lt;H28,H28&lt;100),"For tubes only, provided your actual tube measures &gt;= your nominal OD and wall this is OK","")</f>
        <v/>
      </c>
      <c r="O28" s="202"/>
    </row>
    <row r="29" spans="2:16" x14ac:dyDescent="0.2">
      <c r="B29" s="201" t="s">
        <v>161</v>
      </c>
      <c r="C29" s="46">
        <f>C$28*C9/1000000</f>
        <v>36487.713715853293</v>
      </c>
      <c r="D29" s="110"/>
      <c r="E29" s="46">
        <f>IF(F2="Composite only","",E$28*E9/1000000)</f>
        <v>67552.096033814523</v>
      </c>
      <c r="F29" s="46" t="str">
        <f>IF(F26="Tubing Only","",F28*F9/1000000)</f>
        <v/>
      </c>
      <c r="G29" s="46">
        <f t="shared" si="0"/>
        <v>67552.096033814523</v>
      </c>
      <c r="H29" s="54">
        <f t="shared" si="1"/>
        <v>185.13655462184872</v>
      </c>
      <c r="I29" s="191" t="str">
        <f>IF(AND(95&lt;H29,H29&lt;100),"For tubes only, provided your actual tube measures &gt;= your nominal OD and wall this is OK","")</f>
        <v/>
      </c>
    </row>
    <row r="30" spans="2:16" x14ac:dyDescent="0.2">
      <c r="B30" s="201" t="s">
        <v>5</v>
      </c>
      <c r="C30" s="46">
        <f>C$28*C10/1000000</f>
        <v>43665.624610775245</v>
      </c>
      <c r="D30" s="110"/>
      <c r="E30" s="46">
        <f>IF(F2="Composite only","",E$28*E10/1000000)</f>
        <v>80841.032958499345</v>
      </c>
      <c r="F30" s="46" t="str">
        <f>IF(F26="Tubing Only","",F28*F10/1000000)</f>
        <v/>
      </c>
      <c r="G30" s="46">
        <f t="shared" si="0"/>
        <v>80841.032958499345</v>
      </c>
      <c r="H30" s="54">
        <f t="shared" si="1"/>
        <v>185.13655462184875</v>
      </c>
      <c r="I30" s="191" t="str">
        <f>IF(AND(95&lt;H30,H30&lt;100),"For tubes only, provided your actual tube measures &gt;= your nominal OD and wall this is OK","")</f>
        <v/>
      </c>
      <c r="O30" s="202"/>
    </row>
    <row r="31" spans="2:16" x14ac:dyDescent="0.2">
      <c r="B31" s="201" t="s">
        <v>162</v>
      </c>
      <c r="C31" s="46">
        <f>C$28*C11/1000000</f>
        <v>21533.732684765877</v>
      </c>
      <c r="D31" s="110"/>
      <c r="E31" s="46">
        <f>IF(F2="Composite only","",E$28*E11/1000000)</f>
        <v>39866.810774054473</v>
      </c>
      <c r="F31" s="46" t="str">
        <f>IF(F26="Tubing Only","",F28*F9/1000000)</f>
        <v/>
      </c>
      <c r="G31" s="46">
        <f t="shared" si="0"/>
        <v>39866.810774054473</v>
      </c>
      <c r="H31" s="54">
        <f t="shared" si="1"/>
        <v>185.13655462184875</v>
      </c>
      <c r="I31" s="191" t="str">
        <f>IF(AND(95&lt;H31,H31&lt;100),"For tubes only, provided your actual tube measures &gt;= your nominal OD and wall this is OK","")</f>
        <v/>
      </c>
      <c r="O31" s="202"/>
    </row>
    <row r="32" spans="2:16" x14ac:dyDescent="0.2">
      <c r="B32" s="201" t="s">
        <v>6</v>
      </c>
      <c r="C32" s="46">
        <f>IF(C14=0,"",C$28*C12/1000000)</f>
        <v>35889.554474609795</v>
      </c>
      <c r="D32" s="110"/>
      <c r="E32" s="46">
        <f>IF(F2="Composite only","",E$28*E12/1000000)</f>
        <v>66444.684623424124</v>
      </c>
      <c r="F32" s="46" t="str">
        <f>IF(F26="tubing only","",F28*F10/1000000)</f>
        <v/>
      </c>
      <c r="G32" s="46">
        <f t="shared" si="0"/>
        <v>66444.684623424124</v>
      </c>
      <c r="H32" s="54">
        <f t="shared" si="1"/>
        <v>185.13655462184875</v>
      </c>
      <c r="I32" s="191" t="str">
        <f>IF(AND(95&lt;H32,H32&lt;100),"For tubes only, provided your actual tube measures &gt;= your nominal OD and wall this is OK","")</f>
        <v/>
      </c>
      <c r="O32" s="202"/>
    </row>
    <row r="33" spans="2:12" x14ac:dyDescent="0.2">
      <c r="B33" s="201" t="s">
        <v>163</v>
      </c>
      <c r="C33" s="46">
        <f>C14*4*C10*C26/(0.5*C24*1)</f>
        <v>978.30558903937037</v>
      </c>
      <c r="D33" s="105"/>
      <c r="E33" s="46">
        <f>IF(F2="Composite only","",E14*4*E10*E26/(0.5*E24*1))</f>
        <v>1793.2866027000007</v>
      </c>
      <c r="F33" s="46" t="str">
        <f>IF(F26="tubing only","",4*F10*F26/(0.001*0.5*F18*1))</f>
        <v/>
      </c>
      <c r="G33" s="46">
        <f t="shared" si="0"/>
        <v>1793.2866027000007</v>
      </c>
      <c r="H33" s="54">
        <f t="shared" si="1"/>
        <v>183.30536212727625</v>
      </c>
    </row>
    <row r="34" spans="2:12" x14ac:dyDescent="0.2">
      <c r="B34" s="201" t="s">
        <v>164</v>
      </c>
      <c r="C34" s="46">
        <f>IF(C14=0,"",C33*1^3/(48*C27))</f>
        <v>1.1975065616797899E-2</v>
      </c>
      <c r="D34" s="105"/>
      <c r="E34" s="46">
        <f>IF($F$2="tubing only",$C$33*1^3/(48*E27),"")</f>
        <v>6.6373763022921622E-3</v>
      </c>
      <c r="F34" s="46" t="str">
        <f>IF($F$2="tubing only","",$C$33*1^3/(48*F27))</f>
        <v/>
      </c>
      <c r="G34" s="46">
        <f>$C$33*1^3/(48*G27)</f>
        <v>6.6373763022921622E-3</v>
      </c>
      <c r="H34" s="54">
        <f>100*G34/C34</f>
        <v>55.426638272291811</v>
      </c>
    </row>
    <row r="35" spans="2:12" x14ac:dyDescent="0.2">
      <c r="B35" s="201" t="s">
        <v>165</v>
      </c>
      <c r="C35" s="46">
        <f>0.5*C33*(C33*1^3/(48*C27))</f>
        <v>5.8576368110132897</v>
      </c>
      <c r="D35" s="70"/>
      <c r="E35" s="46">
        <f>IF(E24="no tubes","",0.5*E33*(E33*1^3/(48*E27)))</f>
        <v>10.909160166425004</v>
      </c>
      <c r="F35" s="46" t="str">
        <f>IF(F26="tubing only","",0.5*F33*(F33*1^3/(48*F27)))</f>
        <v/>
      </c>
      <c r="G35" s="46">
        <f>IF($F$2="Tubing only",E35,IF($F$2="Composite only",F35,IF($F$2="Tubes + Composite",E35+F35,"No Type Selected")))</f>
        <v>10.909160166425004</v>
      </c>
      <c r="H35" s="54">
        <f>100*G35/C35</f>
        <v>186.23824792131268</v>
      </c>
    </row>
    <row r="36" spans="2:12" x14ac:dyDescent="0.2">
      <c r="J36" s="298" t="s">
        <v>565</v>
      </c>
      <c r="K36" s="298"/>
      <c r="L36" s="298"/>
    </row>
    <row r="37" spans="2:12" x14ac:dyDescent="0.2">
      <c r="B37" s="127" t="s">
        <v>281</v>
      </c>
      <c r="C37" s="56"/>
      <c r="D37" s="105"/>
      <c r="E37" s="60"/>
      <c r="F37" s="56"/>
      <c r="G37" s="56"/>
      <c r="H37" s="56"/>
    </row>
    <row r="38" spans="2:12" x14ac:dyDescent="0.2">
      <c r="B38" s="24"/>
      <c r="C38" s="25"/>
      <c r="D38" s="25"/>
      <c r="E38" s="25"/>
      <c r="F38" s="25"/>
      <c r="G38" s="25"/>
      <c r="H38" s="25"/>
      <c r="I38" s="25"/>
      <c r="J38" s="25"/>
      <c r="K38" s="25"/>
      <c r="L38" s="26"/>
    </row>
    <row r="39" spans="2:12" x14ac:dyDescent="0.2">
      <c r="B39" s="513" t="s">
        <v>480</v>
      </c>
      <c r="C39" s="31"/>
      <c r="D39" s="31"/>
      <c r="E39" s="31"/>
      <c r="F39" s="31"/>
      <c r="G39" s="31"/>
      <c r="H39" s="31"/>
      <c r="I39" s="31"/>
      <c r="J39" s="31"/>
      <c r="K39" s="31"/>
      <c r="L39" s="32"/>
    </row>
    <row r="40" spans="2:12" x14ac:dyDescent="0.2">
      <c r="B40" s="30"/>
      <c r="C40" s="31"/>
      <c r="D40" s="31"/>
      <c r="E40" s="31"/>
      <c r="F40" s="31"/>
      <c r="G40" s="31"/>
      <c r="H40" s="31"/>
      <c r="I40" s="31"/>
      <c r="J40" s="31"/>
      <c r="K40" s="31"/>
      <c r="L40" s="32"/>
    </row>
    <row r="41" spans="2:12" x14ac:dyDescent="0.2">
      <c r="B41" s="30"/>
      <c r="C41" s="31"/>
      <c r="D41" s="31"/>
      <c r="E41" s="31"/>
      <c r="F41" s="31"/>
      <c r="G41" s="31"/>
      <c r="H41" s="31"/>
      <c r="I41" s="31"/>
      <c r="J41" s="31"/>
      <c r="K41" s="31"/>
      <c r="L41" s="32"/>
    </row>
    <row r="42" spans="2:12" x14ac:dyDescent="0.2">
      <c r="B42" s="30"/>
      <c r="C42" s="31"/>
      <c r="D42" s="31"/>
      <c r="E42" s="31"/>
      <c r="F42" s="31"/>
      <c r="G42" s="31"/>
      <c r="H42" s="31"/>
      <c r="I42" s="31"/>
      <c r="J42" s="31"/>
      <c r="K42" s="31"/>
      <c r="L42" s="32"/>
    </row>
    <row r="43" spans="2:12" x14ac:dyDescent="0.2">
      <c r="B43" s="30"/>
      <c r="C43" s="31"/>
      <c r="D43" s="31"/>
      <c r="E43" s="31"/>
      <c r="F43" s="31"/>
      <c r="G43" s="31"/>
      <c r="H43" s="31"/>
      <c r="I43" s="31"/>
      <c r="J43" s="31"/>
      <c r="K43" s="31"/>
      <c r="L43" s="32"/>
    </row>
    <row r="44" spans="2:12" x14ac:dyDescent="0.2">
      <c r="B44" s="30"/>
      <c r="C44" s="31"/>
      <c r="D44" s="31"/>
      <c r="E44" s="31"/>
      <c r="F44" s="31"/>
      <c r="G44" s="31"/>
      <c r="H44" s="31"/>
      <c r="I44" s="31"/>
      <c r="J44" s="31"/>
      <c r="K44" s="31"/>
      <c r="L44" s="32"/>
    </row>
    <row r="45" spans="2:12" x14ac:dyDescent="0.2">
      <c r="B45" s="30"/>
      <c r="C45" s="31"/>
      <c r="D45" s="31"/>
      <c r="E45" s="31"/>
      <c r="F45" s="31"/>
      <c r="G45" s="31"/>
      <c r="H45" s="31"/>
      <c r="I45" s="31"/>
      <c r="J45" s="31"/>
      <c r="K45" s="31"/>
      <c r="L45" s="32"/>
    </row>
    <row r="46" spans="2:12" x14ac:dyDescent="0.2">
      <c r="B46" s="30"/>
      <c r="C46" s="31"/>
      <c r="D46" s="31"/>
      <c r="E46" s="31"/>
      <c r="F46" s="31"/>
      <c r="G46" s="31"/>
      <c r="H46" s="31"/>
      <c r="I46" s="31"/>
      <c r="J46" s="31"/>
      <c r="K46" s="31"/>
      <c r="L46" s="32"/>
    </row>
    <row r="47" spans="2:12" x14ac:dyDescent="0.2">
      <c r="B47" s="30"/>
      <c r="C47" s="31"/>
      <c r="D47" s="31"/>
      <c r="E47" s="31"/>
      <c r="F47" s="31"/>
      <c r="G47" s="31"/>
      <c r="H47" s="31"/>
      <c r="I47" s="31"/>
      <c r="J47" s="31"/>
      <c r="K47" s="31"/>
      <c r="L47" s="32"/>
    </row>
    <row r="48" spans="2:12" x14ac:dyDescent="0.2">
      <c r="B48" s="30"/>
      <c r="C48" s="31"/>
      <c r="D48" s="31"/>
      <c r="E48" s="31"/>
      <c r="F48" s="31"/>
      <c r="G48" s="31"/>
      <c r="H48" s="31"/>
      <c r="I48" s="31"/>
      <c r="J48" s="31"/>
      <c r="K48" s="31"/>
      <c r="L48" s="32"/>
    </row>
    <row r="49" spans="2:12" x14ac:dyDescent="0.2">
      <c r="B49" s="30"/>
      <c r="C49" s="31"/>
      <c r="D49" s="31"/>
      <c r="E49" s="31"/>
      <c r="F49" s="31"/>
      <c r="G49" s="31"/>
      <c r="H49" s="31"/>
      <c r="I49" s="31"/>
      <c r="J49" s="31"/>
      <c r="K49" s="31"/>
      <c r="L49" s="32"/>
    </row>
    <row r="50" spans="2:12" x14ac:dyDescent="0.2">
      <c r="B50" s="30"/>
      <c r="C50" s="31"/>
      <c r="D50" s="31"/>
      <c r="E50" s="31"/>
      <c r="F50" s="31"/>
      <c r="G50" s="31"/>
      <c r="H50" s="31"/>
      <c r="I50" s="31"/>
      <c r="J50" s="31"/>
      <c r="K50" s="31"/>
      <c r="L50" s="32"/>
    </row>
    <row r="51" spans="2:12" x14ac:dyDescent="0.2">
      <c r="B51" s="30"/>
      <c r="C51" s="31"/>
      <c r="D51" s="31"/>
      <c r="E51" s="31"/>
      <c r="F51" s="31"/>
      <c r="G51" s="31"/>
      <c r="H51" s="31"/>
      <c r="I51" s="31"/>
      <c r="J51" s="31"/>
      <c r="K51" s="31"/>
      <c r="L51" s="32"/>
    </row>
    <row r="52" spans="2:12" x14ac:dyDescent="0.2">
      <c r="B52" s="30"/>
      <c r="C52" s="31"/>
      <c r="D52" s="31"/>
      <c r="E52" s="31"/>
      <c r="F52" s="31"/>
      <c r="G52" s="31"/>
      <c r="H52" s="31"/>
      <c r="I52" s="31"/>
      <c r="J52" s="31"/>
      <c r="K52" s="31"/>
      <c r="L52" s="32"/>
    </row>
    <row r="53" spans="2:12" x14ac:dyDescent="0.2">
      <c r="B53" s="30"/>
      <c r="C53" s="31"/>
      <c r="D53" s="31"/>
      <c r="E53" s="31"/>
      <c r="F53" s="31"/>
      <c r="G53" s="31"/>
      <c r="H53" s="31"/>
      <c r="I53" s="31"/>
      <c r="J53" s="31"/>
      <c r="K53" s="31"/>
      <c r="L53" s="32"/>
    </row>
    <row r="54" spans="2:12" x14ac:dyDescent="0.2">
      <c r="B54" s="30"/>
      <c r="C54" s="31"/>
      <c r="D54" s="31"/>
      <c r="E54" s="31"/>
      <c r="F54" s="31"/>
      <c r="G54" s="31"/>
      <c r="H54" s="31"/>
      <c r="I54" s="31"/>
      <c r="J54" s="31"/>
      <c r="K54" s="31"/>
      <c r="L54" s="32"/>
    </row>
    <row r="55" spans="2:12" x14ac:dyDescent="0.2">
      <c r="B55" s="30"/>
      <c r="C55" s="31"/>
      <c r="D55" s="31"/>
      <c r="E55" s="31"/>
      <c r="F55" s="31"/>
      <c r="G55" s="31"/>
      <c r="H55" s="31"/>
      <c r="I55" s="31"/>
      <c r="J55" s="31"/>
      <c r="K55" s="31"/>
      <c r="L55" s="32"/>
    </row>
    <row r="56" spans="2:12" x14ac:dyDescent="0.2">
      <c r="B56" s="30"/>
      <c r="C56" s="31"/>
      <c r="D56" s="31"/>
      <c r="E56" s="31"/>
      <c r="F56" s="31"/>
      <c r="G56" s="31"/>
      <c r="H56" s="31"/>
      <c r="I56" s="31"/>
      <c r="J56" s="31"/>
      <c r="K56" s="31"/>
      <c r="L56" s="32"/>
    </row>
    <row r="57" spans="2:12" x14ac:dyDescent="0.2">
      <c r="B57" s="30"/>
      <c r="C57" s="31"/>
      <c r="D57" s="31"/>
      <c r="E57" s="31"/>
      <c r="F57" s="31"/>
      <c r="G57" s="31"/>
      <c r="H57" s="31"/>
      <c r="I57" s="31"/>
      <c r="J57" s="31"/>
      <c r="K57" s="31"/>
      <c r="L57" s="32"/>
    </row>
    <row r="58" spans="2:12" x14ac:dyDescent="0.2">
      <c r="B58" s="30"/>
      <c r="C58" s="31"/>
      <c r="D58" s="31"/>
      <c r="E58" s="31"/>
      <c r="F58" s="31"/>
      <c r="G58" s="31"/>
      <c r="H58" s="31"/>
      <c r="I58" s="31"/>
      <c r="J58" s="31"/>
      <c r="K58" s="31"/>
      <c r="L58" s="32"/>
    </row>
    <row r="59" spans="2:12" x14ac:dyDescent="0.2">
      <c r="B59" s="30"/>
      <c r="C59" s="31"/>
      <c r="D59" s="31"/>
      <c r="E59" s="31"/>
      <c r="F59" s="31"/>
      <c r="G59" s="31"/>
      <c r="H59" s="31"/>
      <c r="I59" s="31"/>
      <c r="J59" s="31"/>
      <c r="K59" s="31"/>
      <c r="L59" s="32"/>
    </row>
    <row r="60" spans="2:12" x14ac:dyDescent="0.2">
      <c r="B60" s="30"/>
      <c r="C60" s="31"/>
      <c r="D60" s="31"/>
      <c r="E60" s="31"/>
      <c r="F60" s="31"/>
      <c r="G60" s="31"/>
      <c r="H60" s="31"/>
      <c r="I60" s="31"/>
      <c r="J60" s="31"/>
      <c r="K60" s="31"/>
      <c r="L60" s="32"/>
    </row>
    <row r="61" spans="2:12" x14ac:dyDescent="0.2">
      <c r="B61" s="30"/>
      <c r="C61" s="31"/>
      <c r="D61" s="31"/>
      <c r="E61" s="31"/>
      <c r="F61" s="31"/>
      <c r="G61" s="31"/>
      <c r="H61" s="31"/>
      <c r="I61" s="31"/>
      <c r="J61" s="31"/>
      <c r="K61" s="31"/>
      <c r="L61" s="32"/>
    </row>
    <row r="62" spans="2:12" x14ac:dyDescent="0.2">
      <c r="B62" s="30"/>
      <c r="C62" s="31"/>
      <c r="D62" s="31"/>
      <c r="E62" s="31"/>
      <c r="F62" s="31"/>
      <c r="G62" s="31"/>
      <c r="H62" s="31"/>
      <c r="I62" s="31"/>
      <c r="J62" s="31"/>
      <c r="K62" s="31"/>
      <c r="L62" s="32"/>
    </row>
    <row r="63" spans="2:12" x14ac:dyDescent="0.2">
      <c r="B63" s="30"/>
      <c r="C63" s="31"/>
      <c r="D63" s="31"/>
      <c r="E63" s="31"/>
      <c r="F63" s="31"/>
      <c r="G63" s="31"/>
      <c r="H63" s="31"/>
      <c r="I63" s="31"/>
      <c r="J63" s="31"/>
      <c r="K63" s="31"/>
      <c r="L63" s="32"/>
    </row>
    <row r="64" spans="2:12" x14ac:dyDescent="0.2">
      <c r="B64" s="30"/>
      <c r="C64" s="31"/>
      <c r="D64" s="31"/>
      <c r="E64" s="31"/>
      <c r="F64" s="31"/>
      <c r="G64" s="31"/>
      <c r="H64" s="31"/>
      <c r="I64" s="31"/>
      <c r="J64" s="31"/>
      <c r="K64" s="31"/>
      <c r="L64" s="32"/>
    </row>
    <row r="65" spans="2:12" x14ac:dyDescent="0.2">
      <c r="B65" s="30"/>
      <c r="C65" s="31"/>
      <c r="D65" s="31"/>
      <c r="E65" s="31"/>
      <c r="F65" s="31"/>
      <c r="G65" s="31"/>
      <c r="H65" s="31"/>
      <c r="I65" s="31"/>
      <c r="J65" s="31"/>
      <c r="K65" s="31"/>
      <c r="L65" s="32"/>
    </row>
    <row r="66" spans="2:12" x14ac:dyDescent="0.2">
      <c r="B66" s="30"/>
      <c r="C66" s="31"/>
      <c r="D66" s="31"/>
      <c r="E66" s="31"/>
      <c r="F66" s="31"/>
      <c r="G66" s="31"/>
      <c r="H66" s="31"/>
      <c r="I66" s="31"/>
      <c r="J66" s="31"/>
      <c r="K66" s="31"/>
      <c r="L66" s="32"/>
    </row>
    <row r="67" spans="2:12" x14ac:dyDescent="0.2">
      <c r="B67" s="30"/>
      <c r="C67" s="31"/>
      <c r="D67" s="31"/>
      <c r="E67" s="31"/>
      <c r="F67" s="31"/>
      <c r="G67" s="31"/>
      <c r="H67" s="31"/>
      <c r="I67" s="31"/>
      <c r="J67" s="31"/>
      <c r="K67" s="31"/>
      <c r="L67" s="32"/>
    </row>
    <row r="68" spans="2:12" x14ac:dyDescent="0.2">
      <c r="B68" s="30"/>
      <c r="C68" s="31"/>
      <c r="D68" s="31"/>
      <c r="E68" s="31"/>
      <c r="F68" s="31"/>
      <c r="G68" s="31"/>
      <c r="H68" s="31"/>
      <c r="I68" s="31"/>
      <c r="J68" s="31"/>
      <c r="K68" s="31"/>
      <c r="L68" s="32"/>
    </row>
    <row r="69" spans="2:12" x14ac:dyDescent="0.2">
      <c r="B69" s="30"/>
      <c r="C69" s="31"/>
      <c r="D69" s="31"/>
      <c r="E69" s="31"/>
      <c r="F69" s="31"/>
      <c r="G69" s="31"/>
      <c r="H69" s="31"/>
      <c r="I69" s="31"/>
      <c r="J69" s="31"/>
      <c r="K69" s="31"/>
      <c r="L69" s="32"/>
    </row>
    <row r="70" spans="2:12" x14ac:dyDescent="0.2">
      <c r="B70" s="30"/>
      <c r="C70" s="31"/>
      <c r="D70" s="31"/>
      <c r="E70" s="31"/>
      <c r="F70" s="31"/>
      <c r="G70" s="31"/>
      <c r="H70" s="31"/>
      <c r="I70" s="31"/>
      <c r="J70" s="31"/>
      <c r="K70" s="31"/>
      <c r="L70" s="32"/>
    </row>
    <row r="71" spans="2:12" x14ac:dyDescent="0.2">
      <c r="B71" s="30"/>
      <c r="C71" s="31"/>
      <c r="D71" s="31"/>
      <c r="E71" s="31"/>
      <c r="F71" s="31"/>
      <c r="G71" s="31"/>
      <c r="H71" s="31"/>
      <c r="I71" s="31"/>
      <c r="J71" s="31"/>
      <c r="K71" s="31"/>
      <c r="L71" s="32"/>
    </row>
    <row r="72" spans="2:12" x14ac:dyDescent="0.2">
      <c r="B72" s="30"/>
      <c r="C72" s="31"/>
      <c r="D72" s="31"/>
      <c r="E72" s="31"/>
      <c r="F72" s="31"/>
      <c r="G72" s="31"/>
      <c r="H72" s="31"/>
      <c r="I72" s="31"/>
      <c r="J72" s="31"/>
      <c r="K72" s="31"/>
      <c r="L72" s="32"/>
    </row>
    <row r="73" spans="2:12" x14ac:dyDescent="0.2">
      <c r="B73" s="30"/>
      <c r="C73" s="31"/>
      <c r="D73" s="31"/>
      <c r="E73" s="31"/>
      <c r="F73" s="31"/>
      <c r="G73" s="31"/>
      <c r="H73" s="31"/>
      <c r="I73" s="31"/>
      <c r="J73" s="31"/>
      <c r="K73" s="31"/>
      <c r="L73" s="32"/>
    </row>
    <row r="74" spans="2:12" x14ac:dyDescent="0.2">
      <c r="B74" s="30"/>
      <c r="C74" s="31"/>
      <c r="D74" s="31"/>
      <c r="E74" s="31"/>
      <c r="F74" s="31"/>
      <c r="G74" s="31"/>
      <c r="H74" s="31"/>
      <c r="I74" s="31"/>
      <c r="J74" s="31"/>
      <c r="K74" s="31"/>
      <c r="L74" s="32"/>
    </row>
    <row r="75" spans="2:12" x14ac:dyDescent="0.2">
      <c r="B75" s="30"/>
      <c r="C75" s="31"/>
      <c r="D75" s="31"/>
      <c r="E75" s="31"/>
      <c r="F75" s="31"/>
      <c r="G75" s="31"/>
      <c r="H75" s="31"/>
      <c r="I75" s="31"/>
      <c r="J75" s="31"/>
      <c r="K75" s="31"/>
      <c r="L75" s="32"/>
    </row>
    <row r="76" spans="2:12" x14ac:dyDescent="0.2">
      <c r="B76" s="30"/>
      <c r="C76" s="31"/>
      <c r="D76" s="31"/>
      <c r="E76" s="31"/>
      <c r="F76" s="31"/>
      <c r="G76" s="31"/>
      <c r="H76" s="31"/>
      <c r="I76" s="31"/>
      <c r="J76" s="31"/>
      <c r="K76" s="31"/>
      <c r="L76" s="32"/>
    </row>
    <row r="77" spans="2:12" x14ac:dyDescent="0.2">
      <c r="B77" s="30"/>
      <c r="C77" s="31"/>
      <c r="D77" s="31"/>
      <c r="E77" s="31"/>
      <c r="F77" s="31"/>
      <c r="G77" s="31"/>
      <c r="H77" s="31"/>
      <c r="I77" s="31"/>
      <c r="J77" s="31"/>
      <c r="K77" s="31"/>
      <c r="L77" s="32"/>
    </row>
    <row r="78" spans="2:12" x14ac:dyDescent="0.2">
      <c r="B78" s="30"/>
      <c r="C78" s="31"/>
      <c r="D78" s="31"/>
      <c r="E78" s="31"/>
      <c r="F78" s="31"/>
      <c r="G78" s="31"/>
      <c r="H78" s="31"/>
      <c r="I78" s="31"/>
      <c r="J78" s="31"/>
      <c r="K78" s="31"/>
      <c r="L78" s="32"/>
    </row>
    <row r="79" spans="2:12" x14ac:dyDescent="0.2">
      <c r="B79" s="30"/>
      <c r="C79" s="31"/>
      <c r="D79" s="31"/>
      <c r="E79" s="31"/>
      <c r="F79" s="31"/>
      <c r="G79" s="31"/>
      <c r="H79" s="31"/>
      <c r="I79" s="31"/>
      <c r="J79" s="31"/>
      <c r="K79" s="31"/>
      <c r="L79" s="32"/>
    </row>
    <row r="80" spans="2:12" x14ac:dyDescent="0.2">
      <c r="B80" s="30"/>
      <c r="C80" s="31"/>
      <c r="D80" s="31"/>
      <c r="E80" s="31"/>
      <c r="F80" s="31"/>
      <c r="G80" s="31"/>
      <c r="H80" s="31"/>
      <c r="I80" s="31"/>
      <c r="J80" s="31"/>
      <c r="K80" s="31"/>
      <c r="L80" s="32"/>
    </row>
    <row r="81" spans="2:12" x14ac:dyDescent="0.2">
      <c r="B81" s="30"/>
      <c r="C81" s="31"/>
      <c r="D81" s="31"/>
      <c r="E81" s="31"/>
      <c r="F81" s="31"/>
      <c r="G81" s="31"/>
      <c r="H81" s="31"/>
      <c r="I81" s="31"/>
      <c r="J81" s="31"/>
      <c r="K81" s="31"/>
      <c r="L81" s="32"/>
    </row>
    <row r="82" spans="2:12" x14ac:dyDescent="0.2">
      <c r="B82" s="30"/>
      <c r="C82" s="31"/>
      <c r="D82" s="31"/>
      <c r="E82" s="31"/>
      <c r="F82" s="31"/>
      <c r="G82" s="31"/>
      <c r="H82" s="31"/>
      <c r="I82" s="31"/>
      <c r="J82" s="31"/>
      <c r="K82" s="31"/>
      <c r="L82" s="32"/>
    </row>
    <row r="83" spans="2:12" x14ac:dyDescent="0.2">
      <c r="B83" s="30"/>
      <c r="C83" s="31"/>
      <c r="D83" s="31"/>
      <c r="E83" s="31"/>
      <c r="F83" s="31"/>
      <c r="G83" s="31"/>
      <c r="H83" s="31"/>
      <c r="I83" s="31"/>
      <c r="J83" s="31"/>
      <c r="K83" s="31"/>
      <c r="L83" s="32"/>
    </row>
    <row r="84" spans="2:12" x14ac:dyDescent="0.2">
      <c r="B84" s="30"/>
      <c r="C84" s="31"/>
      <c r="D84" s="31"/>
      <c r="E84" s="31"/>
      <c r="F84" s="31"/>
      <c r="G84" s="31"/>
      <c r="H84" s="31"/>
      <c r="I84" s="31"/>
      <c r="J84" s="31"/>
      <c r="K84" s="31"/>
      <c r="L84" s="32"/>
    </row>
    <row r="85" spans="2:12" x14ac:dyDescent="0.2">
      <c r="B85" s="30"/>
      <c r="C85" s="31"/>
      <c r="D85" s="31"/>
      <c r="E85" s="31"/>
      <c r="F85" s="31"/>
      <c r="G85" s="31"/>
      <c r="H85" s="31"/>
      <c r="I85" s="31"/>
      <c r="J85" s="31"/>
      <c r="K85" s="31"/>
      <c r="L85" s="32"/>
    </row>
    <row r="86" spans="2:12" x14ac:dyDescent="0.2">
      <c r="B86" s="30"/>
      <c r="C86" s="31"/>
      <c r="D86" s="31"/>
      <c r="E86" s="31"/>
      <c r="F86" s="31"/>
      <c r="G86" s="31"/>
      <c r="H86" s="31"/>
      <c r="I86" s="31"/>
      <c r="J86" s="31"/>
      <c r="K86" s="31"/>
      <c r="L86" s="32"/>
    </row>
    <row r="87" spans="2:12" x14ac:dyDescent="0.2">
      <c r="B87" s="30"/>
      <c r="C87" s="31"/>
      <c r="D87" s="31"/>
      <c r="E87" s="31"/>
      <c r="F87" s="31"/>
      <c r="G87" s="31"/>
      <c r="H87" s="31"/>
      <c r="I87" s="31"/>
      <c r="J87" s="31"/>
      <c r="K87" s="31"/>
      <c r="L87" s="32"/>
    </row>
    <row r="88" spans="2:12" x14ac:dyDescent="0.2">
      <c r="B88" s="30"/>
      <c r="C88" s="31"/>
      <c r="D88" s="31"/>
      <c r="E88" s="31"/>
      <c r="F88" s="31"/>
      <c r="G88" s="31"/>
      <c r="H88" s="31"/>
      <c r="I88" s="31"/>
      <c r="J88" s="31"/>
      <c r="K88" s="31"/>
      <c r="L88" s="32"/>
    </row>
    <row r="89" spans="2:12" x14ac:dyDescent="0.2">
      <c r="B89" s="30"/>
      <c r="C89" s="31"/>
      <c r="D89" s="31"/>
      <c r="E89" s="31"/>
      <c r="F89" s="31"/>
      <c r="G89" s="31"/>
      <c r="H89" s="31"/>
      <c r="I89" s="31"/>
      <c r="J89" s="31"/>
      <c r="K89" s="31"/>
      <c r="L89" s="32"/>
    </row>
    <row r="90" spans="2:12" x14ac:dyDescent="0.2">
      <c r="B90" s="30"/>
      <c r="C90" s="31"/>
      <c r="D90" s="31"/>
      <c r="E90" s="31"/>
      <c r="F90" s="31"/>
      <c r="G90" s="31"/>
      <c r="H90" s="31"/>
      <c r="I90" s="31"/>
      <c r="J90" s="31"/>
      <c r="K90" s="31"/>
      <c r="L90" s="32"/>
    </row>
    <row r="91" spans="2:12" x14ac:dyDescent="0.2">
      <c r="B91" s="30"/>
      <c r="C91" s="31"/>
      <c r="D91" s="31"/>
      <c r="E91" s="31"/>
      <c r="F91" s="31"/>
      <c r="G91" s="31"/>
      <c r="H91" s="31"/>
      <c r="I91" s="31"/>
      <c r="J91" s="31"/>
      <c r="K91" s="31"/>
      <c r="L91" s="32"/>
    </row>
    <row r="92" spans="2:12" x14ac:dyDescent="0.2">
      <c r="B92" s="30"/>
      <c r="C92" s="31"/>
      <c r="D92" s="31"/>
      <c r="E92" s="31"/>
      <c r="F92" s="31"/>
      <c r="G92" s="31"/>
      <c r="H92" s="31"/>
      <c r="I92" s="31"/>
      <c r="J92" s="31"/>
      <c r="K92" s="31"/>
      <c r="L92" s="32"/>
    </row>
    <row r="93" spans="2:12" x14ac:dyDescent="0.2">
      <c r="B93" s="30"/>
      <c r="C93" s="31"/>
      <c r="D93" s="31"/>
      <c r="E93" s="31"/>
      <c r="F93" s="31"/>
      <c r="G93" s="31"/>
      <c r="H93" s="31"/>
      <c r="I93" s="31"/>
      <c r="J93" s="31"/>
      <c r="K93" s="31"/>
      <c r="L93" s="32"/>
    </row>
    <row r="94" spans="2:12" x14ac:dyDescent="0.2">
      <c r="B94" s="30"/>
      <c r="C94" s="31"/>
      <c r="D94" s="31"/>
      <c r="E94" s="31"/>
      <c r="F94" s="31"/>
      <c r="G94" s="31"/>
      <c r="H94" s="31"/>
      <c r="I94" s="31"/>
      <c r="J94" s="31"/>
      <c r="K94" s="31"/>
      <c r="L94" s="32"/>
    </row>
    <row r="95" spans="2:12" x14ac:dyDescent="0.2">
      <c r="B95" s="30"/>
      <c r="C95" s="31"/>
      <c r="D95" s="31"/>
      <c r="E95" s="31"/>
      <c r="F95" s="31"/>
      <c r="G95" s="31"/>
      <c r="H95" s="31"/>
      <c r="I95" s="31"/>
      <c r="J95" s="31"/>
      <c r="K95" s="31"/>
      <c r="L95" s="32"/>
    </row>
    <row r="96" spans="2:12" x14ac:dyDescent="0.2">
      <c r="B96" s="30"/>
      <c r="C96" s="31"/>
      <c r="D96" s="31"/>
      <c r="E96" s="31"/>
      <c r="F96" s="31"/>
      <c r="G96" s="31"/>
      <c r="H96" s="31"/>
      <c r="I96" s="31"/>
      <c r="J96" s="31"/>
      <c r="K96" s="31"/>
      <c r="L96" s="32"/>
    </row>
    <row r="97" spans="2:12" x14ac:dyDescent="0.2">
      <c r="B97" s="30"/>
      <c r="C97" s="31"/>
      <c r="D97" s="31"/>
      <c r="E97" s="31"/>
      <c r="F97" s="31"/>
      <c r="G97" s="31"/>
      <c r="H97" s="31"/>
      <c r="I97" s="31"/>
      <c r="J97" s="31"/>
      <c r="K97" s="31"/>
      <c r="L97" s="32"/>
    </row>
    <row r="98" spans="2:12" x14ac:dyDescent="0.2">
      <c r="B98" s="30"/>
      <c r="C98" s="31"/>
      <c r="D98" s="31"/>
      <c r="E98" s="31"/>
      <c r="F98" s="31"/>
      <c r="G98" s="31"/>
      <c r="H98" s="31"/>
      <c r="I98" s="31"/>
      <c r="J98" s="31"/>
      <c r="K98" s="31"/>
      <c r="L98" s="32"/>
    </row>
    <row r="99" spans="2:12" x14ac:dyDescent="0.2">
      <c r="B99" s="30"/>
      <c r="C99" s="31"/>
      <c r="D99" s="31"/>
      <c r="E99" s="31"/>
      <c r="F99" s="31"/>
      <c r="G99" s="31"/>
      <c r="H99" s="31"/>
      <c r="I99" s="31"/>
      <c r="J99" s="31"/>
      <c r="K99" s="31"/>
      <c r="L99" s="32"/>
    </row>
    <row r="100" spans="2:12" x14ac:dyDescent="0.2">
      <c r="B100" s="30"/>
      <c r="C100" s="31"/>
      <c r="D100" s="31"/>
      <c r="E100" s="31"/>
      <c r="F100" s="31"/>
      <c r="G100" s="31"/>
      <c r="H100" s="31"/>
      <c r="I100" s="31"/>
      <c r="J100" s="31"/>
      <c r="K100" s="31"/>
      <c r="L100" s="32"/>
    </row>
    <row r="101" spans="2:12" x14ac:dyDescent="0.2">
      <c r="B101" s="30"/>
      <c r="C101" s="31"/>
      <c r="D101" s="31"/>
      <c r="E101" s="31"/>
      <c r="F101" s="31"/>
      <c r="G101" s="31"/>
      <c r="H101" s="31"/>
      <c r="I101" s="31"/>
      <c r="J101" s="31"/>
      <c r="K101" s="31"/>
      <c r="L101" s="32"/>
    </row>
    <row r="102" spans="2:12" x14ac:dyDescent="0.2">
      <c r="B102" s="30"/>
      <c r="C102" s="31"/>
      <c r="D102" s="31"/>
      <c r="E102" s="31"/>
      <c r="F102" s="31"/>
      <c r="G102" s="31"/>
      <c r="H102" s="31"/>
      <c r="I102" s="31"/>
      <c r="J102" s="31"/>
      <c r="K102" s="31"/>
      <c r="L102" s="32"/>
    </row>
    <row r="103" spans="2:12" x14ac:dyDescent="0.2">
      <c r="B103" s="30"/>
      <c r="C103" s="31"/>
      <c r="D103" s="31"/>
      <c r="E103" s="31"/>
      <c r="F103" s="31"/>
      <c r="G103" s="31"/>
      <c r="H103" s="31"/>
      <c r="I103" s="31"/>
      <c r="J103" s="31"/>
      <c r="K103" s="31"/>
      <c r="L103" s="32"/>
    </row>
    <row r="104" spans="2:12" x14ac:dyDescent="0.2">
      <c r="B104" s="30"/>
      <c r="C104" s="31"/>
      <c r="D104" s="31"/>
      <c r="E104" s="31"/>
      <c r="F104" s="31"/>
      <c r="G104" s="31"/>
      <c r="H104" s="31"/>
      <c r="I104" s="31"/>
      <c r="J104" s="31"/>
      <c r="K104" s="31"/>
      <c r="L104" s="32"/>
    </row>
    <row r="105" spans="2:12" x14ac:dyDescent="0.2">
      <c r="B105" s="30"/>
      <c r="C105" s="31"/>
      <c r="D105" s="31"/>
      <c r="E105" s="31"/>
      <c r="F105" s="31"/>
      <c r="G105" s="31"/>
      <c r="H105" s="31"/>
      <c r="I105" s="31"/>
      <c r="J105" s="31"/>
      <c r="K105" s="31"/>
      <c r="L105" s="32"/>
    </row>
    <row r="106" spans="2:12" x14ac:dyDescent="0.2">
      <c r="B106" s="30"/>
      <c r="C106" s="31"/>
      <c r="D106" s="31"/>
      <c r="E106" s="31"/>
      <c r="F106" s="31"/>
      <c r="G106" s="31"/>
      <c r="H106" s="31"/>
      <c r="I106" s="31"/>
      <c r="J106" s="31"/>
      <c r="K106" s="31"/>
      <c r="L106" s="32"/>
    </row>
    <row r="107" spans="2:12" x14ac:dyDescent="0.2">
      <c r="B107" s="30"/>
      <c r="C107" s="31"/>
      <c r="D107" s="31"/>
      <c r="E107" s="31"/>
      <c r="F107" s="31"/>
      <c r="G107" s="31"/>
      <c r="H107" s="31"/>
      <c r="I107" s="31"/>
      <c r="J107" s="31"/>
      <c r="K107" s="31"/>
      <c r="L107" s="32"/>
    </row>
    <row r="108" spans="2:12" x14ac:dyDescent="0.2">
      <c r="B108" s="30"/>
      <c r="C108" s="31"/>
      <c r="D108" s="31"/>
      <c r="E108" s="31"/>
      <c r="F108" s="31"/>
      <c r="G108" s="31"/>
      <c r="H108" s="31"/>
      <c r="I108" s="31"/>
      <c r="J108" s="31"/>
      <c r="K108" s="31"/>
      <c r="L108" s="32"/>
    </row>
    <row r="109" spans="2:12" x14ac:dyDescent="0.2">
      <c r="B109" s="30"/>
      <c r="C109" s="31"/>
      <c r="D109" s="31"/>
      <c r="E109" s="31"/>
      <c r="F109" s="31"/>
      <c r="G109" s="31"/>
      <c r="H109" s="31"/>
      <c r="I109" s="31"/>
      <c r="J109" s="31"/>
      <c r="K109" s="31"/>
      <c r="L109" s="32"/>
    </row>
    <row r="110" spans="2:12" x14ac:dyDescent="0.2">
      <c r="B110" s="30"/>
      <c r="C110" s="31"/>
      <c r="D110" s="31"/>
      <c r="E110" s="31"/>
      <c r="F110" s="31"/>
      <c r="G110" s="31"/>
      <c r="H110" s="31"/>
      <c r="I110" s="31"/>
      <c r="J110" s="31"/>
      <c r="K110" s="31"/>
      <c r="L110" s="32"/>
    </row>
    <row r="111" spans="2:12" x14ac:dyDescent="0.2">
      <c r="B111" s="30"/>
      <c r="C111" s="31"/>
      <c r="D111" s="31"/>
      <c r="E111" s="31"/>
      <c r="F111" s="31"/>
      <c r="G111" s="31"/>
      <c r="H111" s="31"/>
      <c r="I111" s="31"/>
      <c r="J111" s="31"/>
      <c r="K111" s="31"/>
      <c r="L111" s="32"/>
    </row>
    <row r="112" spans="2:12" x14ac:dyDescent="0.2">
      <c r="B112" s="30"/>
      <c r="C112" s="31"/>
      <c r="D112" s="31"/>
      <c r="E112" s="31"/>
      <c r="F112" s="31"/>
      <c r="G112" s="31"/>
      <c r="H112" s="31"/>
      <c r="I112" s="31"/>
      <c r="J112" s="31"/>
      <c r="K112" s="31"/>
      <c r="L112" s="32"/>
    </row>
    <row r="113" spans="2:12" x14ac:dyDescent="0.2">
      <c r="B113" s="30"/>
      <c r="C113" s="31"/>
      <c r="D113" s="31"/>
      <c r="E113" s="31"/>
      <c r="F113" s="31"/>
      <c r="G113" s="31"/>
      <c r="H113" s="31"/>
      <c r="I113" s="31"/>
      <c r="J113" s="31"/>
      <c r="K113" s="31"/>
      <c r="L113" s="32"/>
    </row>
    <row r="114" spans="2:12" x14ac:dyDescent="0.2">
      <c r="B114" s="30"/>
      <c r="C114" s="31"/>
      <c r="D114" s="31"/>
      <c r="E114" s="31"/>
      <c r="F114" s="31"/>
      <c r="G114" s="31"/>
      <c r="H114" s="31"/>
      <c r="I114" s="31"/>
      <c r="J114" s="31"/>
      <c r="K114" s="31"/>
      <c r="L114" s="32"/>
    </row>
    <row r="115" spans="2:12" x14ac:dyDescent="0.2">
      <c r="B115" s="30"/>
      <c r="C115" s="31"/>
      <c r="D115" s="31"/>
      <c r="E115" s="31"/>
      <c r="F115" s="31"/>
      <c r="G115" s="31"/>
      <c r="H115" s="31"/>
      <c r="I115" s="31"/>
      <c r="J115" s="31"/>
      <c r="K115" s="31"/>
      <c r="L115" s="32"/>
    </row>
    <row r="116" spans="2:12" x14ac:dyDescent="0.2">
      <c r="B116" s="30"/>
      <c r="C116" s="31"/>
      <c r="D116" s="31"/>
      <c r="E116" s="31"/>
      <c r="F116" s="31"/>
      <c r="G116" s="31"/>
      <c r="H116" s="31"/>
      <c r="I116" s="31"/>
      <c r="J116" s="31"/>
      <c r="K116" s="31"/>
      <c r="L116" s="32"/>
    </row>
    <row r="117" spans="2:12" x14ac:dyDescent="0.2">
      <c r="B117" s="30"/>
      <c r="C117" s="31"/>
      <c r="D117" s="31"/>
      <c r="E117" s="31"/>
      <c r="F117" s="31"/>
      <c r="G117" s="31"/>
      <c r="H117" s="31"/>
      <c r="I117" s="31"/>
      <c r="J117" s="31"/>
      <c r="K117" s="31"/>
      <c r="L117" s="32"/>
    </row>
    <row r="118" spans="2:12" x14ac:dyDescent="0.2">
      <c r="B118" s="30"/>
      <c r="C118" s="31"/>
      <c r="D118" s="31"/>
      <c r="E118" s="31"/>
      <c r="F118" s="31"/>
      <c r="G118" s="31"/>
      <c r="H118" s="31"/>
      <c r="I118" s="31"/>
      <c r="J118" s="31"/>
      <c r="K118" s="31"/>
      <c r="L118" s="32"/>
    </row>
    <row r="119" spans="2:12" x14ac:dyDescent="0.2">
      <c r="B119" s="30"/>
      <c r="C119" s="31"/>
      <c r="D119" s="31"/>
      <c r="E119" s="31"/>
      <c r="F119" s="31"/>
      <c r="G119" s="31"/>
      <c r="H119" s="31"/>
      <c r="I119" s="31"/>
      <c r="J119" s="31"/>
      <c r="K119" s="31"/>
      <c r="L119" s="32"/>
    </row>
    <row r="120" spans="2:12" x14ac:dyDescent="0.2">
      <c r="B120" s="30"/>
      <c r="C120" s="31"/>
      <c r="D120" s="31"/>
      <c r="E120" s="31"/>
      <c r="F120" s="31"/>
      <c r="G120" s="31"/>
      <c r="H120" s="31"/>
      <c r="I120" s="31"/>
      <c r="J120" s="31"/>
      <c r="K120" s="31"/>
      <c r="L120" s="32"/>
    </row>
    <row r="121" spans="2:12" x14ac:dyDescent="0.2">
      <c r="B121" s="30"/>
      <c r="C121" s="31"/>
      <c r="D121" s="31"/>
      <c r="E121" s="31"/>
      <c r="F121" s="31"/>
      <c r="G121" s="31"/>
      <c r="H121" s="31"/>
      <c r="I121" s="31"/>
      <c r="J121" s="31"/>
      <c r="K121" s="31"/>
      <c r="L121" s="32"/>
    </row>
    <row r="122" spans="2:12" x14ac:dyDescent="0.2">
      <c r="B122" s="30"/>
      <c r="C122" s="31"/>
      <c r="D122" s="31"/>
      <c r="E122" s="31"/>
      <c r="F122" s="31"/>
      <c r="G122" s="31"/>
      <c r="H122" s="31"/>
      <c r="I122" s="31"/>
      <c r="J122" s="31"/>
      <c r="K122" s="31"/>
      <c r="L122" s="32"/>
    </row>
    <row r="123" spans="2:12" x14ac:dyDescent="0.2">
      <c r="B123" s="30"/>
      <c r="C123" s="31"/>
      <c r="D123" s="31"/>
      <c r="E123" s="31"/>
      <c r="F123" s="31"/>
      <c r="G123" s="31"/>
      <c r="H123" s="31"/>
      <c r="I123" s="31"/>
      <c r="J123" s="31"/>
      <c r="K123" s="31"/>
      <c r="L123" s="32"/>
    </row>
    <row r="124" spans="2:12" x14ac:dyDescent="0.2">
      <c r="B124" s="30"/>
      <c r="C124" s="31"/>
      <c r="D124" s="31"/>
      <c r="E124" s="31"/>
      <c r="F124" s="31"/>
      <c r="G124" s="31"/>
      <c r="H124" s="31"/>
      <c r="I124" s="31"/>
      <c r="J124" s="31"/>
      <c r="K124" s="31"/>
      <c r="L124" s="32"/>
    </row>
    <row r="125" spans="2:12" x14ac:dyDescent="0.2">
      <c r="B125" s="30"/>
      <c r="C125" s="31"/>
      <c r="D125" s="31"/>
      <c r="E125" s="31"/>
      <c r="F125" s="31"/>
      <c r="G125" s="31"/>
      <c r="H125" s="31"/>
      <c r="I125" s="31"/>
      <c r="J125" s="31"/>
      <c r="K125" s="31"/>
      <c r="L125" s="32"/>
    </row>
    <row r="126" spans="2:12" x14ac:dyDescent="0.2">
      <c r="B126" s="30"/>
      <c r="C126" s="31"/>
      <c r="D126" s="31"/>
      <c r="E126" s="31"/>
      <c r="F126" s="31"/>
      <c r="G126" s="31"/>
      <c r="H126" s="31"/>
      <c r="I126" s="31"/>
      <c r="J126" s="31"/>
      <c r="K126" s="31"/>
      <c r="L126" s="32"/>
    </row>
    <row r="127" spans="2:12" x14ac:dyDescent="0.2">
      <c r="B127" s="30"/>
      <c r="C127" s="31"/>
      <c r="D127" s="31"/>
      <c r="E127" s="31"/>
      <c r="F127" s="31"/>
      <c r="G127" s="31"/>
      <c r="H127" s="31"/>
      <c r="I127" s="31"/>
      <c r="J127" s="31"/>
      <c r="K127" s="31"/>
      <c r="L127" s="32"/>
    </row>
    <row r="128" spans="2:12" x14ac:dyDescent="0.2">
      <c r="B128" s="30"/>
      <c r="C128" s="31"/>
      <c r="D128" s="31"/>
      <c r="E128" s="31"/>
      <c r="F128" s="31"/>
      <c r="G128" s="31"/>
      <c r="H128" s="31"/>
      <c r="I128" s="31"/>
      <c r="J128" s="31"/>
      <c r="K128" s="31"/>
      <c r="L128" s="32"/>
    </row>
    <row r="129" spans="2:12" x14ac:dyDescent="0.2">
      <c r="B129" s="30"/>
      <c r="C129" s="31"/>
      <c r="D129" s="31"/>
      <c r="E129" s="31"/>
      <c r="F129" s="31"/>
      <c r="G129" s="31"/>
      <c r="H129" s="31"/>
      <c r="I129" s="31"/>
      <c r="J129" s="31"/>
      <c r="K129" s="31"/>
      <c r="L129" s="32"/>
    </row>
    <row r="130" spans="2:12" x14ac:dyDescent="0.2">
      <c r="B130" s="30"/>
      <c r="C130" s="31"/>
      <c r="D130" s="31"/>
      <c r="E130" s="31"/>
      <c r="F130" s="31"/>
      <c r="G130" s="31"/>
      <c r="H130" s="31"/>
      <c r="I130" s="31"/>
      <c r="J130" s="31"/>
      <c r="K130" s="31"/>
      <c r="L130" s="32"/>
    </row>
    <row r="131" spans="2:12" x14ac:dyDescent="0.2">
      <c r="B131" s="30"/>
      <c r="C131" s="31"/>
      <c r="D131" s="31"/>
      <c r="E131" s="31"/>
      <c r="F131" s="31"/>
      <c r="G131" s="31"/>
      <c r="H131" s="31"/>
      <c r="I131" s="31"/>
      <c r="J131" s="31"/>
      <c r="K131" s="31"/>
      <c r="L131" s="32"/>
    </row>
    <row r="132" spans="2:12" x14ac:dyDescent="0.2">
      <c r="B132" s="30"/>
      <c r="C132" s="31"/>
      <c r="D132" s="31"/>
      <c r="E132" s="31"/>
      <c r="F132" s="31"/>
      <c r="G132" s="31"/>
      <c r="H132" s="31"/>
      <c r="I132" s="31"/>
      <c r="J132" s="31"/>
      <c r="K132" s="31"/>
      <c r="L132" s="32"/>
    </row>
    <row r="133" spans="2:12" x14ac:dyDescent="0.2">
      <c r="B133" s="30"/>
      <c r="C133" s="31"/>
      <c r="D133" s="31"/>
      <c r="E133" s="31"/>
      <c r="F133" s="31"/>
      <c r="G133" s="31"/>
      <c r="H133" s="31"/>
      <c r="I133" s="31"/>
      <c r="J133" s="31"/>
      <c r="K133" s="31"/>
      <c r="L133" s="32"/>
    </row>
    <row r="134" spans="2:12" x14ac:dyDescent="0.2">
      <c r="B134" s="30"/>
      <c r="C134" s="31"/>
      <c r="D134" s="31"/>
      <c r="E134" s="31"/>
      <c r="F134" s="31"/>
      <c r="G134" s="31"/>
      <c r="H134" s="31"/>
      <c r="I134" s="31"/>
      <c r="J134" s="31"/>
      <c r="K134" s="31"/>
      <c r="L134" s="32"/>
    </row>
    <row r="135" spans="2:12" x14ac:dyDescent="0.2">
      <c r="B135" s="30"/>
      <c r="C135" s="31"/>
      <c r="D135" s="31"/>
      <c r="E135" s="31"/>
      <c r="F135" s="31"/>
      <c r="G135" s="31"/>
      <c r="H135" s="31"/>
      <c r="I135" s="31"/>
      <c r="J135" s="31"/>
      <c r="K135" s="31"/>
      <c r="L135" s="32"/>
    </row>
    <row r="136" spans="2:12" x14ac:dyDescent="0.2">
      <c r="B136" s="30"/>
      <c r="C136" s="31"/>
      <c r="D136" s="31"/>
      <c r="E136" s="31"/>
      <c r="F136" s="31"/>
      <c r="G136" s="31"/>
      <c r="H136" s="31"/>
      <c r="I136" s="31"/>
      <c r="J136" s="31"/>
      <c r="K136" s="31"/>
      <c r="L136" s="32"/>
    </row>
    <row r="137" spans="2:12" x14ac:dyDescent="0.2">
      <c r="B137" s="30"/>
      <c r="C137" s="31"/>
      <c r="D137" s="31"/>
      <c r="E137" s="31"/>
      <c r="F137" s="31"/>
      <c r="G137" s="31"/>
      <c r="H137" s="31"/>
      <c r="I137" s="31"/>
      <c r="J137" s="31"/>
      <c r="K137" s="31"/>
      <c r="L137" s="32"/>
    </row>
    <row r="138" spans="2:12" x14ac:dyDescent="0.2">
      <c r="B138" s="30"/>
      <c r="C138" s="31"/>
      <c r="D138" s="31"/>
      <c r="E138" s="31"/>
      <c r="F138" s="31"/>
      <c r="G138" s="31"/>
      <c r="H138" s="31"/>
      <c r="I138" s="31"/>
      <c r="J138" s="31"/>
      <c r="K138" s="31"/>
      <c r="L138" s="32"/>
    </row>
    <row r="139" spans="2:12" x14ac:dyDescent="0.2">
      <c r="B139" s="30"/>
      <c r="C139" s="31"/>
      <c r="D139" s="31"/>
      <c r="E139" s="31"/>
      <c r="F139" s="31"/>
      <c r="G139" s="31"/>
      <c r="H139" s="31"/>
      <c r="I139" s="31"/>
      <c r="J139" s="31"/>
      <c r="K139" s="31"/>
      <c r="L139" s="32"/>
    </row>
    <row r="140" spans="2:12" x14ac:dyDescent="0.2">
      <c r="B140" s="30"/>
      <c r="C140" s="31"/>
      <c r="D140" s="31"/>
      <c r="E140" s="31"/>
      <c r="F140" s="31"/>
      <c r="G140" s="31"/>
      <c r="H140" s="31"/>
      <c r="I140" s="31"/>
      <c r="J140" s="31"/>
      <c r="K140" s="31"/>
      <c r="L140" s="32"/>
    </row>
    <row r="141" spans="2:12" x14ac:dyDescent="0.2">
      <c r="B141" s="30"/>
      <c r="C141" s="31"/>
      <c r="D141" s="31"/>
      <c r="E141" s="31"/>
      <c r="F141" s="31"/>
      <c r="G141" s="31"/>
      <c r="H141" s="31"/>
      <c r="I141" s="31"/>
      <c r="J141" s="31"/>
      <c r="K141" s="31"/>
      <c r="L141" s="32"/>
    </row>
    <row r="142" spans="2:12" x14ac:dyDescent="0.2">
      <c r="B142" s="30"/>
      <c r="C142" s="31"/>
      <c r="D142" s="31"/>
      <c r="E142" s="31"/>
      <c r="F142" s="31"/>
      <c r="G142" s="31"/>
      <c r="H142" s="31"/>
      <c r="I142" s="31"/>
      <c r="J142" s="31"/>
      <c r="K142" s="31"/>
      <c r="L142" s="32"/>
    </row>
    <row r="143" spans="2:12" x14ac:dyDescent="0.2">
      <c r="B143" s="30"/>
      <c r="C143" s="31"/>
      <c r="D143" s="31"/>
      <c r="E143" s="31"/>
      <c r="F143" s="31"/>
      <c r="G143" s="31"/>
      <c r="H143" s="31"/>
      <c r="I143" s="31"/>
      <c r="J143" s="31"/>
      <c r="K143" s="31"/>
      <c r="L143" s="32"/>
    </row>
    <row r="144" spans="2:12" x14ac:dyDescent="0.2">
      <c r="B144" s="30"/>
      <c r="C144" s="31"/>
      <c r="D144" s="31"/>
      <c r="E144" s="31"/>
      <c r="F144" s="31"/>
      <c r="G144" s="31"/>
      <c r="H144" s="31"/>
      <c r="I144" s="31"/>
      <c r="J144" s="31"/>
      <c r="K144" s="31"/>
      <c r="L144" s="32"/>
    </row>
    <row r="145" spans="2:12" x14ac:dyDescent="0.2">
      <c r="B145" s="30"/>
      <c r="C145" s="31"/>
      <c r="D145" s="31"/>
      <c r="E145" s="31"/>
      <c r="F145" s="31"/>
      <c r="G145" s="31"/>
      <c r="H145" s="31"/>
      <c r="I145" s="31"/>
      <c r="J145" s="31"/>
      <c r="K145" s="31"/>
      <c r="L145" s="32"/>
    </row>
    <row r="146" spans="2:12" x14ac:dyDescent="0.2">
      <c r="B146" s="30"/>
      <c r="C146" s="31"/>
      <c r="D146" s="31"/>
      <c r="E146" s="31"/>
      <c r="F146" s="31"/>
      <c r="G146" s="31"/>
      <c r="H146" s="31"/>
      <c r="I146" s="31"/>
      <c r="J146" s="31"/>
      <c r="K146" s="31"/>
      <c r="L146" s="32"/>
    </row>
    <row r="147" spans="2:12" x14ac:dyDescent="0.2">
      <c r="B147" s="30"/>
      <c r="C147" s="31"/>
      <c r="D147" s="31"/>
      <c r="E147" s="31"/>
      <c r="F147" s="31"/>
      <c r="G147" s="31"/>
      <c r="H147" s="31"/>
      <c r="I147" s="31"/>
      <c r="J147" s="31"/>
      <c r="K147" s="31"/>
      <c r="L147" s="32"/>
    </row>
    <row r="148" spans="2:12" x14ac:dyDescent="0.2">
      <c r="B148" s="30"/>
      <c r="C148" s="31"/>
      <c r="D148" s="31"/>
      <c r="E148" s="31"/>
      <c r="F148" s="31"/>
      <c r="G148" s="31"/>
      <c r="H148" s="31"/>
      <c r="I148" s="31"/>
      <c r="J148" s="31"/>
      <c r="K148" s="31"/>
      <c r="L148" s="32"/>
    </row>
    <row r="149" spans="2:12" x14ac:dyDescent="0.2">
      <c r="B149" s="30"/>
      <c r="C149" s="31"/>
      <c r="D149" s="31"/>
      <c r="E149" s="31"/>
      <c r="F149" s="31"/>
      <c r="G149" s="31"/>
      <c r="H149" s="31"/>
      <c r="I149" s="31"/>
      <c r="J149" s="31"/>
      <c r="K149" s="31"/>
      <c r="L149" s="32"/>
    </row>
    <row r="150" spans="2:12" x14ac:dyDescent="0.2">
      <c r="B150" s="30"/>
      <c r="C150" s="31"/>
      <c r="D150" s="31"/>
      <c r="E150" s="31"/>
      <c r="F150" s="31"/>
      <c r="G150" s="31"/>
      <c r="H150" s="31"/>
      <c r="I150" s="31"/>
      <c r="J150" s="31"/>
      <c r="K150" s="31"/>
      <c r="L150" s="32"/>
    </row>
    <row r="151" spans="2:12" x14ac:dyDescent="0.2">
      <c r="B151" s="30"/>
      <c r="C151" s="31"/>
      <c r="D151" s="31"/>
      <c r="E151" s="31"/>
      <c r="F151" s="31"/>
      <c r="G151" s="31"/>
      <c r="H151" s="31"/>
      <c r="I151" s="31"/>
      <c r="J151" s="31"/>
      <c r="K151" s="31"/>
      <c r="L151" s="32"/>
    </row>
    <row r="152" spans="2:12" x14ac:dyDescent="0.2">
      <c r="B152" s="30"/>
      <c r="C152" s="31"/>
      <c r="D152" s="31"/>
      <c r="E152" s="31"/>
      <c r="F152" s="31"/>
      <c r="G152" s="31"/>
      <c r="H152" s="31"/>
      <c r="I152" s="31"/>
      <c r="J152" s="31"/>
      <c r="K152" s="31"/>
      <c r="L152" s="32"/>
    </row>
    <row r="153" spans="2:12" x14ac:dyDescent="0.2">
      <c r="B153" s="30"/>
      <c r="C153" s="31"/>
      <c r="D153" s="31"/>
      <c r="E153" s="31"/>
      <c r="F153" s="31"/>
      <c r="G153" s="31"/>
      <c r="H153" s="31"/>
      <c r="I153" s="31"/>
      <c r="J153" s="31"/>
      <c r="K153" s="31"/>
      <c r="L153" s="32"/>
    </row>
    <row r="154" spans="2:12" x14ac:dyDescent="0.2">
      <c r="B154" s="30"/>
      <c r="C154" s="31"/>
      <c r="D154" s="31"/>
      <c r="E154" s="31"/>
      <c r="F154" s="31"/>
      <c r="G154" s="31"/>
      <c r="H154" s="31"/>
      <c r="I154" s="31"/>
      <c r="J154" s="31"/>
      <c r="K154" s="31"/>
      <c r="L154" s="32"/>
    </row>
    <row r="155" spans="2:12" x14ac:dyDescent="0.2">
      <c r="B155" s="30"/>
      <c r="C155" s="31"/>
      <c r="D155" s="31"/>
      <c r="E155" s="31"/>
      <c r="F155" s="31"/>
      <c r="G155" s="31"/>
      <c r="H155" s="31"/>
      <c r="I155" s="31"/>
      <c r="J155" s="31"/>
      <c r="K155" s="31"/>
      <c r="L155" s="32"/>
    </row>
    <row r="156" spans="2:12" x14ac:dyDescent="0.2">
      <c r="B156" s="30"/>
      <c r="C156" s="31"/>
      <c r="D156" s="31"/>
      <c r="E156" s="31"/>
      <c r="F156" s="31"/>
      <c r="G156" s="31"/>
      <c r="H156" s="31"/>
      <c r="I156" s="31"/>
      <c r="J156" s="31"/>
      <c r="K156" s="31"/>
      <c r="L156" s="32"/>
    </row>
    <row r="157" spans="2:12" x14ac:dyDescent="0.2">
      <c r="B157" s="30"/>
      <c r="C157" s="31"/>
      <c r="D157" s="31"/>
      <c r="E157" s="31"/>
      <c r="F157" s="31"/>
      <c r="G157" s="31"/>
      <c r="H157" s="31"/>
      <c r="I157" s="31"/>
      <c r="J157" s="31"/>
      <c r="K157" s="31"/>
      <c r="L157" s="32"/>
    </row>
    <row r="158" spans="2:12" x14ac:dyDescent="0.2">
      <c r="B158" s="30"/>
      <c r="C158" s="31"/>
      <c r="D158" s="31"/>
      <c r="E158" s="31"/>
      <c r="F158" s="31"/>
      <c r="G158" s="31"/>
      <c r="H158" s="31"/>
      <c r="I158" s="31"/>
      <c r="J158" s="31"/>
      <c r="K158" s="31"/>
      <c r="L158" s="32"/>
    </row>
    <row r="159" spans="2:12" x14ac:dyDescent="0.2">
      <c r="B159" s="30"/>
      <c r="C159" s="31"/>
      <c r="D159" s="31"/>
      <c r="E159" s="31"/>
      <c r="F159" s="31"/>
      <c r="G159" s="31"/>
      <c r="H159" s="31"/>
      <c r="I159" s="31"/>
      <c r="J159" s="31"/>
      <c r="K159" s="31"/>
      <c r="L159" s="32"/>
    </row>
    <row r="160" spans="2:12" x14ac:dyDescent="0.2">
      <c r="B160" s="30"/>
      <c r="C160" s="31"/>
      <c r="D160" s="31"/>
      <c r="E160" s="31"/>
      <c r="F160" s="31"/>
      <c r="G160" s="31"/>
      <c r="H160" s="31"/>
      <c r="I160" s="31"/>
      <c r="J160" s="31"/>
      <c r="K160" s="31"/>
      <c r="L160" s="32"/>
    </row>
    <row r="161" spans="2:12" x14ac:dyDescent="0.2">
      <c r="B161" s="30"/>
      <c r="C161" s="31"/>
      <c r="D161" s="31"/>
      <c r="E161" s="31"/>
      <c r="F161" s="31"/>
      <c r="G161" s="31"/>
      <c r="H161" s="31"/>
      <c r="I161" s="31"/>
      <c r="J161" s="31"/>
      <c r="K161" s="31"/>
      <c r="L161" s="32"/>
    </row>
    <row r="162" spans="2:12" x14ac:dyDescent="0.2">
      <c r="B162" s="30"/>
      <c r="C162" s="31"/>
      <c r="D162" s="31"/>
      <c r="E162" s="31"/>
      <c r="F162" s="31"/>
      <c r="G162" s="31"/>
      <c r="H162" s="31"/>
      <c r="I162" s="31"/>
      <c r="J162" s="31"/>
      <c r="K162" s="31"/>
      <c r="L162" s="32"/>
    </row>
    <row r="163" spans="2:12" x14ac:dyDescent="0.2">
      <c r="B163" s="30"/>
      <c r="C163" s="31"/>
      <c r="D163" s="31"/>
      <c r="E163" s="31"/>
      <c r="F163" s="31"/>
      <c r="G163" s="31"/>
      <c r="H163" s="31"/>
      <c r="I163" s="31"/>
      <c r="J163" s="31"/>
      <c r="K163" s="31"/>
      <c r="L163" s="32"/>
    </row>
    <row r="164" spans="2:12" x14ac:dyDescent="0.2">
      <c r="B164" s="30"/>
      <c r="C164" s="31"/>
      <c r="D164" s="31"/>
      <c r="E164" s="31"/>
      <c r="F164" s="31"/>
      <c r="G164" s="31"/>
      <c r="H164" s="31"/>
      <c r="I164" s="31"/>
      <c r="J164" s="31"/>
      <c r="K164" s="31"/>
      <c r="L164" s="32"/>
    </row>
    <row r="165" spans="2:12" x14ac:dyDescent="0.2">
      <c r="B165" s="30"/>
      <c r="C165" s="31"/>
      <c r="D165" s="31"/>
      <c r="E165" s="31"/>
      <c r="F165" s="31"/>
      <c r="G165" s="31"/>
      <c r="H165" s="31"/>
      <c r="I165" s="31"/>
      <c r="J165" s="31"/>
      <c r="K165" s="31"/>
      <c r="L165" s="32"/>
    </row>
    <row r="166" spans="2:12" x14ac:dyDescent="0.2">
      <c r="B166" s="30"/>
      <c r="C166" s="31"/>
      <c r="D166" s="31"/>
      <c r="E166" s="31"/>
      <c r="F166" s="31"/>
      <c r="G166" s="31"/>
      <c r="H166" s="31"/>
      <c r="I166" s="31"/>
      <c r="J166" s="31"/>
      <c r="K166" s="31"/>
      <c r="L166" s="32"/>
    </row>
    <row r="167" spans="2:12" x14ac:dyDescent="0.2">
      <c r="B167" s="30"/>
      <c r="C167" s="31"/>
      <c r="D167" s="31"/>
      <c r="E167" s="31"/>
      <c r="F167" s="31"/>
      <c r="G167" s="31"/>
      <c r="H167" s="31"/>
      <c r="I167" s="31"/>
      <c r="J167" s="31"/>
      <c r="K167" s="31"/>
      <c r="L167" s="32"/>
    </row>
    <row r="168" spans="2:12" x14ac:dyDescent="0.2">
      <c r="B168" s="30"/>
      <c r="C168" s="31"/>
      <c r="D168" s="31"/>
      <c r="E168" s="31"/>
      <c r="F168" s="31"/>
      <c r="G168" s="31"/>
      <c r="H168" s="31"/>
      <c r="I168" s="31"/>
      <c r="J168" s="31"/>
      <c r="K168" s="31"/>
      <c r="L168" s="32"/>
    </row>
    <row r="169" spans="2:12" x14ac:dyDescent="0.2">
      <c r="B169" s="30"/>
      <c r="C169" s="31"/>
      <c r="D169" s="31"/>
      <c r="E169" s="31"/>
      <c r="F169" s="31"/>
      <c r="G169" s="31"/>
      <c r="H169" s="31"/>
      <c r="I169" s="31"/>
      <c r="J169" s="31"/>
      <c r="K169" s="31"/>
      <c r="L169" s="32"/>
    </row>
    <row r="170" spans="2:12" x14ac:dyDescent="0.2">
      <c r="B170" s="30"/>
      <c r="C170" s="31"/>
      <c r="D170" s="31"/>
      <c r="E170" s="31"/>
      <c r="F170" s="31"/>
      <c r="G170" s="31"/>
      <c r="H170" s="31"/>
      <c r="I170" s="31"/>
      <c r="J170" s="31"/>
      <c r="K170" s="31"/>
      <c r="L170" s="32"/>
    </row>
    <row r="171" spans="2:12" x14ac:dyDescent="0.2">
      <c r="B171" s="30"/>
      <c r="C171" s="31"/>
      <c r="D171" s="31"/>
      <c r="E171" s="31"/>
      <c r="F171" s="31"/>
      <c r="G171" s="31"/>
      <c r="H171" s="31"/>
      <c r="I171" s="31"/>
      <c r="J171" s="31"/>
      <c r="K171" s="31"/>
      <c r="L171" s="32"/>
    </row>
    <row r="172" spans="2:12" x14ac:dyDescent="0.2">
      <c r="B172" s="30"/>
      <c r="C172" s="31"/>
      <c r="D172" s="31"/>
      <c r="E172" s="31"/>
      <c r="F172" s="31"/>
      <c r="G172" s="31"/>
      <c r="H172" s="31"/>
      <c r="I172" s="31"/>
      <c r="J172" s="31"/>
      <c r="K172" s="31"/>
      <c r="L172" s="32"/>
    </row>
    <row r="173" spans="2:12" x14ac:dyDescent="0.2">
      <c r="B173" s="30"/>
      <c r="C173" s="31"/>
      <c r="D173" s="31"/>
      <c r="E173" s="31"/>
      <c r="F173" s="31"/>
      <c r="G173" s="31"/>
      <c r="H173" s="31"/>
      <c r="I173" s="31"/>
      <c r="J173" s="31"/>
      <c r="K173" s="31"/>
      <c r="L173" s="32"/>
    </row>
    <row r="174" spans="2:12" x14ac:dyDescent="0.2">
      <c r="B174" s="30"/>
      <c r="C174" s="31"/>
      <c r="D174" s="31"/>
      <c r="E174" s="31"/>
      <c r="F174" s="31"/>
      <c r="G174" s="31"/>
      <c r="H174" s="31"/>
      <c r="I174" s="31"/>
      <c r="J174" s="31"/>
      <c r="K174" s="31"/>
      <c r="L174" s="32"/>
    </row>
    <row r="175" spans="2:12" x14ac:dyDescent="0.2">
      <c r="B175" s="30"/>
      <c r="C175" s="31"/>
      <c r="D175" s="31"/>
      <c r="E175" s="31"/>
      <c r="F175" s="31"/>
      <c r="G175" s="31"/>
      <c r="H175" s="31"/>
      <c r="I175" s="31"/>
      <c r="J175" s="31"/>
      <c r="K175" s="31"/>
      <c r="L175" s="32"/>
    </row>
    <row r="176" spans="2:12" x14ac:dyDescent="0.2">
      <c r="B176" s="30"/>
      <c r="C176" s="31"/>
      <c r="D176" s="31"/>
      <c r="E176" s="31"/>
      <c r="F176" s="31"/>
      <c r="G176" s="31"/>
      <c r="H176" s="31"/>
      <c r="I176" s="31"/>
      <c r="J176" s="31"/>
      <c r="K176" s="31"/>
      <c r="L176" s="32"/>
    </row>
    <row r="177" spans="2:12" x14ac:dyDescent="0.2">
      <c r="B177" s="30"/>
      <c r="C177" s="31"/>
      <c r="D177" s="31"/>
      <c r="E177" s="31"/>
      <c r="F177" s="31"/>
      <c r="G177" s="31"/>
      <c r="H177" s="31"/>
      <c r="I177" s="31"/>
      <c r="J177" s="31"/>
      <c r="K177" s="31"/>
      <c r="L177" s="32"/>
    </row>
    <row r="178" spans="2:12" x14ac:dyDescent="0.2">
      <c r="B178" s="30"/>
      <c r="C178" s="31"/>
      <c r="D178" s="31"/>
      <c r="E178" s="31"/>
      <c r="F178" s="31"/>
      <c r="G178" s="31"/>
      <c r="H178" s="31"/>
      <c r="I178" s="31"/>
      <c r="J178" s="31"/>
      <c r="K178" s="31"/>
      <c r="L178" s="32"/>
    </row>
    <row r="179" spans="2:12" x14ac:dyDescent="0.2">
      <c r="B179" s="30"/>
      <c r="C179" s="31"/>
      <c r="D179" s="31"/>
      <c r="E179" s="31"/>
      <c r="F179" s="31"/>
      <c r="G179" s="31"/>
      <c r="H179" s="31"/>
      <c r="I179" s="31"/>
      <c r="J179" s="31"/>
      <c r="K179" s="31"/>
      <c r="L179" s="32"/>
    </row>
    <row r="180" spans="2:12" x14ac:dyDescent="0.2">
      <c r="B180" s="30"/>
      <c r="C180" s="31"/>
      <c r="D180" s="31"/>
      <c r="E180" s="31"/>
      <c r="F180" s="31"/>
      <c r="G180" s="31"/>
      <c r="H180" s="31"/>
      <c r="I180" s="31"/>
      <c r="J180" s="31"/>
      <c r="K180" s="31"/>
      <c r="L180" s="32"/>
    </row>
    <row r="181" spans="2:12" x14ac:dyDescent="0.2">
      <c r="B181" s="30"/>
      <c r="C181" s="31"/>
      <c r="D181" s="31"/>
      <c r="E181" s="31"/>
      <c r="F181" s="31"/>
      <c r="G181" s="31"/>
      <c r="H181" s="31"/>
      <c r="I181" s="31"/>
      <c r="J181" s="31"/>
      <c r="K181" s="31"/>
      <c r="L181" s="32"/>
    </row>
    <row r="182" spans="2:12" x14ac:dyDescent="0.2">
      <c r="B182" s="30"/>
      <c r="C182" s="31"/>
      <c r="D182" s="31"/>
      <c r="E182" s="31"/>
      <c r="F182" s="31"/>
      <c r="G182" s="31"/>
      <c r="H182" s="31"/>
      <c r="I182" s="31"/>
      <c r="J182" s="31"/>
      <c r="K182" s="31"/>
      <c r="L182" s="32"/>
    </row>
    <row r="183" spans="2:12" x14ac:dyDescent="0.2">
      <c r="B183" s="30"/>
      <c r="C183" s="31"/>
      <c r="D183" s="31"/>
      <c r="E183" s="31"/>
      <c r="F183" s="31"/>
      <c r="G183" s="31"/>
      <c r="H183" s="31"/>
      <c r="I183" s="31"/>
      <c r="J183" s="31"/>
      <c r="K183" s="31"/>
      <c r="L183" s="32"/>
    </row>
    <row r="184" spans="2:12" x14ac:dyDescent="0.2">
      <c r="B184" s="30"/>
      <c r="C184" s="31"/>
      <c r="D184" s="31"/>
      <c r="E184" s="31"/>
      <c r="F184" s="31"/>
      <c r="G184" s="31"/>
      <c r="H184" s="31"/>
      <c r="I184" s="31"/>
      <c r="J184" s="31"/>
      <c r="K184" s="31"/>
      <c r="L184" s="32"/>
    </row>
    <row r="185" spans="2:12" x14ac:dyDescent="0.2">
      <c r="B185" s="30"/>
      <c r="C185" s="31"/>
      <c r="D185" s="31"/>
      <c r="E185" s="31"/>
      <c r="F185" s="31"/>
      <c r="G185" s="31"/>
      <c r="H185" s="31"/>
      <c r="I185" s="31"/>
      <c r="J185" s="31"/>
      <c r="K185" s="31"/>
      <c r="L185" s="32"/>
    </row>
    <row r="186" spans="2:12" x14ac:dyDescent="0.2">
      <c r="B186" s="30"/>
      <c r="C186" s="31"/>
      <c r="D186" s="31"/>
      <c r="E186" s="31"/>
      <c r="F186" s="31"/>
      <c r="G186" s="31"/>
      <c r="H186" s="31"/>
      <c r="I186" s="31"/>
      <c r="J186" s="31"/>
      <c r="K186" s="31"/>
      <c r="L186" s="32"/>
    </row>
    <row r="187" spans="2:12" x14ac:dyDescent="0.2">
      <c r="B187" s="30"/>
      <c r="C187" s="31"/>
      <c r="D187" s="31"/>
      <c r="E187" s="31"/>
      <c r="F187" s="31"/>
      <c r="G187" s="31"/>
      <c r="H187" s="31"/>
      <c r="I187" s="31"/>
      <c r="J187" s="31"/>
      <c r="K187" s="31"/>
      <c r="L187" s="32"/>
    </row>
    <row r="188" spans="2:12" x14ac:dyDescent="0.2">
      <c r="B188" s="30"/>
      <c r="C188" s="31"/>
      <c r="D188" s="31"/>
      <c r="E188" s="31"/>
      <c r="F188" s="31"/>
      <c r="G188" s="31"/>
      <c r="H188" s="31"/>
      <c r="I188" s="31"/>
      <c r="J188" s="31"/>
      <c r="K188" s="31"/>
      <c r="L188" s="32"/>
    </row>
    <row r="189" spans="2:12" x14ac:dyDescent="0.2">
      <c r="B189" s="38"/>
      <c r="C189" s="36"/>
      <c r="D189" s="36"/>
      <c r="E189" s="36"/>
      <c r="F189" s="36"/>
      <c r="G189" s="36"/>
      <c r="H189" s="36"/>
      <c r="I189" s="36"/>
      <c r="J189" s="36"/>
      <c r="K189" s="36"/>
      <c r="L189" s="39"/>
    </row>
  </sheetData>
  <sheetProtection password="E10F" sheet="1"/>
  <mergeCells count="2">
    <mergeCell ref="C2:E2"/>
    <mergeCell ref="F2:G2"/>
  </mergeCells>
  <phoneticPr fontId="0" type="noConversion"/>
  <conditionalFormatting sqref="H27:H33 H35">
    <cfRule type="cellIs" dxfId="224" priority="2" stopIfTrue="1" operator="greaterThanOrEqual">
      <formula>100</formula>
    </cfRule>
    <cfRule type="cellIs" dxfId="223" priority="3" stopIfTrue="1" operator="lessThan">
      <formula>100</formula>
    </cfRule>
  </conditionalFormatting>
  <conditionalFormatting sqref="H34">
    <cfRule type="cellIs" dxfId="222" priority="4" stopIfTrue="1" operator="greaterThanOrEqual">
      <formula>100.01</formula>
    </cfRule>
    <cfRule type="cellIs" dxfId="221" priority="5" stopIfTrue="1" operator="lessThan">
      <formula>100.01</formula>
    </cfRule>
  </conditionalFormatting>
  <conditionalFormatting sqref="E16">
    <cfRule type="cellIs" dxfId="220" priority="1" stopIfTrue="1" operator="lessThan">
      <formula>1.2</formula>
    </cfRule>
  </conditionalFormatting>
  <dataValidations count="6">
    <dataValidation allowBlank="1" showInputMessage="1" showErrorMessage="1" promptTitle="Select Material" sqref="F6 C6" xr:uid="{00000000-0002-0000-0A00-000000000000}"/>
    <dataValidation type="list" allowBlank="1" showInputMessage="1" showErrorMessage="1" promptTitle="Select Material" sqref="E6" xr:uid="{00000000-0002-0000-0A00-000001000000}">
      <formula1>Tube_Type</formula1>
    </dataValidation>
    <dataValidation type="list" allowBlank="1" showInputMessage="1" showErrorMessage="1" sqref="F2" xr:uid="{00000000-0002-0000-0A00-000002000000}">
      <formula1>ConstructionType</formula1>
    </dataValidation>
    <dataValidation type="list" allowBlank="1" showInputMessage="1" showErrorMessage="1" promptTitle="Select Material" sqref="C5 G13:G14 D5:D6" xr:uid="{00000000-0002-0000-0A00-000003000000}">
      <formula1>Materials</formula1>
    </dataValidation>
    <dataValidation type="list" allowBlank="1" showInputMessage="1" showErrorMessage="1" sqref="F5" xr:uid="{00000000-0002-0000-0A00-000004000000}">
      <formula1>Material</formula1>
    </dataValidation>
    <dataValidation type="list" allowBlank="1" showInputMessage="1" showErrorMessage="1" promptTitle="Select Material" sqref="E5" xr:uid="{00000000-0002-0000-0A00-000005000000}">
      <formula1>Material</formula1>
    </dataValidation>
  </dataValidations>
  <hyperlinks>
    <hyperlink ref="B39" location="'T2.6 T2.12 Guidance Notes'!A1" display="Link to guidance notes" xr:uid="{00000000-0004-0000-0A00-000000000000}"/>
    <hyperlink ref="J36" location="'Cover Sheet'!A1" display="BACK to COVER SHEET" xr:uid="{00000000-0004-0000-0A00-000001000000}"/>
    <hyperlink ref="J36:L36" location="'Cover Sheet'!A1" display="BACK to COVER SHEET" xr:uid="{00000000-0004-0000-0A00-000002000000}"/>
  </hyperlinks>
  <pageMargins left="0.75" right="0.75" top="1" bottom="1" header="0.5" footer="0.5"/>
  <pageSetup paperSize="9" scale="58" fitToHeight="0" orientation="portrait" horizontalDpi="4294967294"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B1:Z190"/>
  <sheetViews>
    <sheetView showGridLines="0" topLeftCell="A10" zoomScaleNormal="100" zoomScaleSheetLayoutView="100" workbookViewId="0">
      <selection activeCell="E17" sqref="E17"/>
    </sheetView>
  </sheetViews>
  <sheetFormatPr baseColWidth="10" defaultColWidth="9.140625" defaultRowHeight="12.75" x14ac:dyDescent="0.2"/>
  <cols>
    <col min="1" max="1" width="3.42578125" style="56" customWidth="1"/>
    <col min="2" max="2" width="45.7109375" style="56" customWidth="1"/>
    <col min="3" max="3" width="11.42578125" style="56" customWidth="1"/>
    <col min="4" max="4" width="3.5703125" style="105" customWidth="1"/>
    <col min="5" max="5" width="11.7109375" style="56" customWidth="1"/>
    <col min="6" max="6" width="15.28515625" style="56" customWidth="1"/>
    <col min="7" max="7" width="11.7109375" style="56" customWidth="1"/>
    <col min="8" max="8" width="6.140625" style="56" customWidth="1"/>
    <col min="9" max="9" width="8.7109375" style="56" customWidth="1"/>
    <col min="10" max="10" width="4.28515625" style="56" customWidth="1"/>
    <col min="11" max="11" width="12.140625" style="56" customWidth="1"/>
    <col min="12" max="12" width="3.85546875" style="56" customWidth="1"/>
    <col min="13" max="13" width="4.28515625" style="56" customWidth="1"/>
    <col min="14" max="14" width="3.28515625" style="56" bestFit="1" customWidth="1"/>
    <col min="15" max="15" width="9.140625" style="56"/>
    <col min="16" max="16" width="12.42578125" style="56" bestFit="1" customWidth="1"/>
    <col min="17" max="18" width="9.140625" style="56"/>
    <col min="19" max="19" width="11.28515625" style="56" customWidth="1"/>
    <col min="20" max="20" width="3.140625" style="56" customWidth="1"/>
    <col min="21" max="21" width="3.28515625" style="56" customWidth="1"/>
    <col min="22" max="22" width="9.140625" style="56"/>
    <col min="23" max="23" width="3.28515625" style="56" customWidth="1"/>
    <col min="24" max="26" width="9.140625" style="56"/>
    <col min="27" max="27" width="3" style="56" customWidth="1"/>
    <col min="28" max="16384" width="9.140625" style="56"/>
  </cols>
  <sheetData>
    <row r="1" spans="2:26" ht="15.75" x14ac:dyDescent="0.25">
      <c r="B1" s="55" t="s">
        <v>39</v>
      </c>
    </row>
    <row r="2" spans="2:26" x14ac:dyDescent="0.2">
      <c r="C2" s="639" t="s">
        <v>27</v>
      </c>
      <c r="D2" s="639"/>
      <c r="E2" s="639"/>
      <c r="F2" s="640" t="s">
        <v>28</v>
      </c>
      <c r="G2" s="641"/>
    </row>
    <row r="4" spans="2:26" x14ac:dyDescent="0.2">
      <c r="B4" s="57" t="s">
        <v>18</v>
      </c>
      <c r="C4" s="57" t="s">
        <v>1</v>
      </c>
      <c r="D4" s="106"/>
      <c r="E4" s="57" t="s">
        <v>2</v>
      </c>
      <c r="F4" s="118" t="s">
        <v>21</v>
      </c>
      <c r="G4" s="57" t="s">
        <v>22</v>
      </c>
      <c r="J4" s="240" t="s">
        <v>240</v>
      </c>
      <c r="K4" s="240"/>
      <c r="L4" s="240"/>
      <c r="M4" s="240"/>
      <c r="N4" s="240"/>
      <c r="O4" s="240"/>
      <c r="P4" s="127"/>
      <c r="Q4" s="259" t="s">
        <v>268</v>
      </c>
      <c r="R4" s="259" t="s">
        <v>267</v>
      </c>
    </row>
    <row r="5" spans="2:26" ht="12.75" customHeight="1" x14ac:dyDescent="0.3">
      <c r="B5" s="58" t="s">
        <v>30</v>
      </c>
      <c r="C5" s="44" t="s">
        <v>7</v>
      </c>
      <c r="E5" s="22" t="s">
        <v>7</v>
      </c>
      <c r="F5" s="52" t="s">
        <v>7</v>
      </c>
      <c r="G5" s="109"/>
      <c r="J5" s="229"/>
      <c r="K5" s="230"/>
      <c r="L5" s="230"/>
      <c r="M5" s="231"/>
      <c r="N5" s="653" t="s">
        <v>239</v>
      </c>
      <c r="P5" s="239" t="s">
        <v>247</v>
      </c>
      <c r="Q5" s="56">
        <f>F22/2000</f>
        <v>0.03</v>
      </c>
      <c r="R5" s="250">
        <f>'T2.15 T2.6 FBH S''pt Structure'!I21/1000</f>
        <v>2E-3</v>
      </c>
      <c r="S5" s="284" t="s">
        <v>329</v>
      </c>
      <c r="U5" s="107"/>
      <c r="V5" s="228"/>
      <c r="W5" s="107"/>
      <c r="X5" s="121"/>
      <c r="Y5" s="257">
        <v>3</v>
      </c>
      <c r="Z5" s="254"/>
    </row>
    <row r="6" spans="2:26" ht="12.75" customHeight="1" x14ac:dyDescent="0.3">
      <c r="B6" s="58" t="s">
        <v>46</v>
      </c>
      <c r="C6" s="44" t="s">
        <v>44</v>
      </c>
      <c r="E6" s="22" t="s">
        <v>44</v>
      </c>
      <c r="F6" s="108" t="s">
        <v>23</v>
      </c>
      <c r="G6" s="109"/>
      <c r="J6" s="232"/>
      <c r="K6" s="228"/>
      <c r="L6" s="649" t="s">
        <v>237</v>
      </c>
      <c r="M6" s="237"/>
      <c r="N6" s="653"/>
      <c r="P6" s="239" t="s">
        <v>327</v>
      </c>
      <c r="Q6" s="56">
        <f>F21/1000</f>
        <v>2E-3</v>
      </c>
      <c r="R6" s="56">
        <f>'T2.15 T2.6 FBH S''pt Structure'!I20/1000</f>
        <v>2E-3</v>
      </c>
      <c r="S6" s="186" t="s">
        <v>330</v>
      </c>
      <c r="U6" s="109"/>
      <c r="V6" s="120"/>
      <c r="W6" s="109"/>
      <c r="X6" s="228"/>
      <c r="Y6" s="255"/>
      <c r="Z6" s="253"/>
    </row>
    <row r="7" spans="2:26" ht="15.75" x14ac:dyDescent="0.3">
      <c r="B7" s="59" t="s">
        <v>19</v>
      </c>
      <c r="C7" s="46" t="str">
        <f>HLOOKUP(C5,MaterialData!$C$3:$O$4,2,FALSE)</f>
        <v>Steel</v>
      </c>
      <c r="D7" s="110"/>
      <c r="E7" s="46" t="str">
        <f>HLOOKUP(E5,MaterialData!$C$3:$O$4,2,FALSE)</f>
        <v>Steel</v>
      </c>
      <c r="F7" s="46" t="str">
        <f>HLOOKUP(F5,MaterialData!$C$3:$O$4,2,FALSE)</f>
        <v>Steel</v>
      </c>
      <c r="G7" s="111"/>
      <c r="J7" s="232"/>
      <c r="K7" s="120"/>
      <c r="L7" s="650"/>
      <c r="M7" s="237"/>
      <c r="N7" s="653"/>
      <c r="P7" s="239" t="s">
        <v>328</v>
      </c>
      <c r="Q7" s="56">
        <f>F20/1000</f>
        <v>2E-3</v>
      </c>
      <c r="R7" s="250">
        <f>25.4/1000</f>
        <v>2.5399999999999999E-2</v>
      </c>
      <c r="S7" s="186" t="s">
        <v>248</v>
      </c>
      <c r="U7" s="109"/>
      <c r="V7" s="120"/>
      <c r="W7" s="109"/>
      <c r="X7" s="120"/>
      <c r="Y7" s="105"/>
      <c r="Z7" s="80"/>
    </row>
    <row r="8" spans="2:26"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111"/>
      <c r="J8" s="232"/>
      <c r="K8" s="120"/>
      <c r="L8" s="650"/>
      <c r="M8" s="237"/>
      <c r="N8" s="653"/>
      <c r="P8" s="239" t="s">
        <v>250</v>
      </c>
      <c r="Q8" s="60">
        <f>Q5*Q6</f>
        <v>6.0000000000000002E-5</v>
      </c>
      <c r="R8" s="239" t="s">
        <v>269</v>
      </c>
      <c r="S8" s="60">
        <f>(Q5*Q6^3)/12</f>
        <v>1.9999999999999999E-11</v>
      </c>
      <c r="U8" s="109"/>
      <c r="V8" s="120"/>
      <c r="W8" s="109"/>
      <c r="X8" s="123"/>
      <c r="Y8" s="124"/>
      <c r="Z8" s="125"/>
    </row>
    <row r="9" spans="2:26"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111"/>
      <c r="J9" s="232"/>
      <c r="K9" s="120"/>
      <c r="L9" s="650"/>
      <c r="M9" s="237"/>
      <c r="N9" s="653"/>
      <c r="P9" s="239" t="s">
        <v>251</v>
      </c>
      <c r="Q9" s="60">
        <f>Q5*Q7</f>
        <v>6.0000000000000002E-5</v>
      </c>
      <c r="R9" s="239" t="s">
        <v>270</v>
      </c>
      <c r="S9" s="60">
        <f>(Q5*Q7^3)/12</f>
        <v>1.9999999999999999E-11</v>
      </c>
      <c r="U9" s="256">
        <v>1</v>
      </c>
      <c r="V9" s="120"/>
      <c r="W9" s="256">
        <v>2</v>
      </c>
      <c r="X9" s="121"/>
      <c r="Y9" s="257">
        <v>4</v>
      </c>
      <c r="Z9" s="254"/>
    </row>
    <row r="10" spans="2:26"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J10" s="232"/>
      <c r="K10" s="120"/>
      <c r="L10" s="650"/>
      <c r="M10" s="237"/>
      <c r="N10" s="653"/>
      <c r="P10" s="239" t="s">
        <v>252</v>
      </c>
      <c r="Q10" s="60">
        <f>R5*R7</f>
        <v>5.0800000000000002E-5</v>
      </c>
      <c r="R10" s="239" t="s">
        <v>271</v>
      </c>
      <c r="S10" s="60">
        <f>(R5*R7^3)/12</f>
        <v>2.7311773333333335E-9</v>
      </c>
      <c r="U10" s="109"/>
      <c r="V10" s="120"/>
      <c r="W10" s="109"/>
    </row>
    <row r="11" spans="2:26"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J11" s="232"/>
      <c r="K11" s="238" t="s">
        <v>236</v>
      </c>
      <c r="L11" s="651"/>
      <c r="M11" s="237"/>
      <c r="N11" s="653"/>
      <c r="P11" s="239" t="s">
        <v>253</v>
      </c>
      <c r="Q11" s="60">
        <f>R6*R7</f>
        <v>5.0800000000000002E-5</v>
      </c>
      <c r="R11" s="239" t="s">
        <v>272</v>
      </c>
      <c r="S11" s="60">
        <f>(R6*R7^3)/12</f>
        <v>2.7311773333333335E-9</v>
      </c>
      <c r="U11" s="109"/>
      <c r="V11" s="120"/>
      <c r="W11" s="109"/>
    </row>
    <row r="12" spans="2:26"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J12" s="233"/>
      <c r="K12" s="234"/>
      <c r="L12" s="235"/>
      <c r="M12" s="236"/>
      <c r="N12" s="653"/>
      <c r="P12" s="239" t="s">
        <v>263</v>
      </c>
      <c r="Q12" s="56">
        <f>Q6/2</f>
        <v>1E-3</v>
      </c>
      <c r="R12" s="239" t="s">
        <v>254</v>
      </c>
      <c r="S12" s="60">
        <f>S8+(Q8*($Q$16-Q12)^2)</f>
        <v>2.6143560069856241E-8</v>
      </c>
      <c r="U12" s="109"/>
      <c r="V12" s="120"/>
      <c r="W12" s="109"/>
    </row>
    <row r="13" spans="2:26" ht="15.75" x14ac:dyDescent="0.3">
      <c r="B13" s="99" t="s">
        <v>201</v>
      </c>
      <c r="C13" s="330">
        <f>MaterialData!C10</f>
        <v>219000000</v>
      </c>
      <c r="D13" s="56"/>
      <c r="E13" s="109"/>
      <c r="F13" s="46">
        <f>INDEX(Innertable,MATCH($B13,MaterialData!$B$5:$B$10,0),MATCH(F$7,MaterialData!$C$4:$O$4,0))</f>
        <v>219000000</v>
      </c>
      <c r="G13" s="109"/>
      <c r="J13" s="652" t="s">
        <v>238</v>
      </c>
      <c r="K13" s="652"/>
      <c r="L13" s="652"/>
      <c r="M13" s="652"/>
      <c r="P13" s="239" t="s">
        <v>264</v>
      </c>
      <c r="Q13" s="56">
        <f>(F21+F19+0.5*F20)/1000</f>
        <v>2.1000000000000001E-2</v>
      </c>
      <c r="R13" s="239" t="s">
        <v>255</v>
      </c>
      <c r="S13" s="60">
        <f>S9+(Q9*($Q$16-Q13)^2)</f>
        <v>6.5004113177546639E-11</v>
      </c>
      <c r="U13" s="113"/>
      <c r="V13" s="123"/>
      <c r="W13" s="113"/>
    </row>
    <row r="14" spans="2:26" ht="15.75" x14ac:dyDescent="0.3">
      <c r="B14" s="59" t="s">
        <v>31</v>
      </c>
      <c r="C14" s="44">
        <v>2</v>
      </c>
      <c r="D14" s="56"/>
      <c r="E14" s="22">
        <v>5</v>
      </c>
      <c r="G14" s="109"/>
      <c r="L14" s="60"/>
      <c r="P14" s="239" t="s">
        <v>265</v>
      </c>
      <c r="Q14" s="56">
        <f>(F18*0.001)+(0.5*R7)</f>
        <v>3.4699999999999995E-2</v>
      </c>
      <c r="R14" s="239" t="s">
        <v>256</v>
      </c>
      <c r="S14" s="60">
        <f>S10+(Q10*($Q$16-Q14)^2)</f>
        <v>1.1098439646148563E-8</v>
      </c>
    </row>
    <row r="15" spans="2:26" ht="15.75" x14ac:dyDescent="0.3">
      <c r="B15" s="59" t="s">
        <v>166</v>
      </c>
      <c r="C15" s="44">
        <v>25.4</v>
      </c>
      <c r="E15" s="22">
        <v>30</v>
      </c>
      <c r="F15" s="105"/>
      <c r="G15" s="109"/>
      <c r="K15" s="239" t="s">
        <v>241</v>
      </c>
      <c r="L15" s="654">
        <v>300</v>
      </c>
      <c r="M15" s="655"/>
      <c r="N15" s="656"/>
      <c r="P15" s="239" t="s">
        <v>266</v>
      </c>
      <c r="Q15" s="56">
        <f>Q14</f>
        <v>3.4699999999999995E-2</v>
      </c>
      <c r="R15" s="239" t="s">
        <v>257</v>
      </c>
      <c r="S15" s="60">
        <f>S11+(Q11*($Q$16-Q15)^2)</f>
        <v>1.1098439646148563E-8</v>
      </c>
      <c r="U15" s="657" t="s">
        <v>258</v>
      </c>
      <c r="V15" s="657"/>
      <c r="W15" s="657"/>
      <c r="X15" s="657" t="s">
        <v>259</v>
      </c>
      <c r="Y15" s="657"/>
      <c r="Z15" s="657"/>
    </row>
    <row r="16" spans="2:26" x14ac:dyDescent="0.2">
      <c r="B16" s="59" t="s">
        <v>167</v>
      </c>
      <c r="C16" s="44">
        <v>1.6</v>
      </c>
      <c r="E16" s="22">
        <v>1.5</v>
      </c>
      <c r="F16" s="105"/>
      <c r="G16" s="109"/>
      <c r="K16" s="239" t="s">
        <v>242</v>
      </c>
      <c r="L16" s="654">
        <v>350</v>
      </c>
      <c r="M16" s="655"/>
      <c r="N16" s="656"/>
      <c r="P16" s="239" t="s">
        <v>249</v>
      </c>
      <c r="Q16" s="252">
        <f>(Q8*Q12+Q9*Q13+Q10*Q14+Q11*Q15)/(Q8+Q9+Q10+Q11)</f>
        <v>2.1866064981949457E-2</v>
      </c>
    </row>
    <row r="17" spans="2:19" ht="15.75" x14ac:dyDescent="0.3">
      <c r="B17" s="105"/>
      <c r="C17" s="105"/>
      <c r="E17" s="109"/>
      <c r="F17" s="105"/>
      <c r="G17" s="109"/>
      <c r="K17" s="239" t="s">
        <v>243</v>
      </c>
      <c r="L17" s="654">
        <v>240</v>
      </c>
      <c r="M17" s="655"/>
      <c r="N17" s="656"/>
      <c r="R17" s="239" t="s">
        <v>260</v>
      </c>
      <c r="S17" s="266">
        <f>SUM(S12:S13)</f>
        <v>2.6208564183033788E-8</v>
      </c>
    </row>
    <row r="18" spans="2:19" ht="15.75" x14ac:dyDescent="0.3">
      <c r="B18" s="99" t="s">
        <v>24</v>
      </c>
      <c r="C18" s="105"/>
      <c r="E18" s="109"/>
      <c r="F18" s="241">
        <f>F19+F20+F21</f>
        <v>22</v>
      </c>
      <c r="G18" s="109"/>
      <c r="K18" s="239" t="s">
        <v>244</v>
      </c>
      <c r="L18" s="602">
        <v>250</v>
      </c>
      <c r="M18" s="647"/>
      <c r="N18" s="648"/>
      <c r="R18" s="239" t="s">
        <v>261</v>
      </c>
      <c r="S18" s="266">
        <f>SUM(S14:S15)</f>
        <v>2.2196879292297125E-8</v>
      </c>
    </row>
    <row r="19" spans="2:19" ht="15.75" x14ac:dyDescent="0.3">
      <c r="B19" s="99" t="s">
        <v>25</v>
      </c>
      <c r="C19" s="105"/>
      <c r="E19" s="109"/>
      <c r="F19" s="52">
        <v>18</v>
      </c>
      <c r="G19" s="109"/>
      <c r="L19" s="60"/>
      <c r="R19" s="239" t="s">
        <v>262</v>
      </c>
      <c r="S19" s="266">
        <f>'T2.15 T2.6 FBH S''pt Structure'!I8</f>
        <v>200000000000</v>
      </c>
    </row>
    <row r="20" spans="2:19" x14ac:dyDescent="0.2">
      <c r="B20" s="99" t="s">
        <v>287</v>
      </c>
      <c r="E20" s="109"/>
      <c r="F20" s="52">
        <v>2</v>
      </c>
      <c r="G20" s="109"/>
      <c r="L20" s="60"/>
    </row>
    <row r="21" spans="2:19" x14ac:dyDescent="0.2">
      <c r="B21" s="264" t="s">
        <v>286</v>
      </c>
      <c r="E21" s="109"/>
      <c r="F21" s="52">
        <v>2</v>
      </c>
      <c r="G21" s="109"/>
      <c r="L21" s="60"/>
      <c r="P21" s="127"/>
      <c r="Q21" s="259"/>
      <c r="R21" s="259"/>
    </row>
    <row r="22" spans="2:19" x14ac:dyDescent="0.2">
      <c r="B22" s="99" t="s">
        <v>26</v>
      </c>
      <c r="E22" s="109"/>
      <c r="F22" s="241">
        <f>MIN(L15-L17,L16-L18)</f>
        <v>60</v>
      </c>
      <c r="G22" s="109"/>
      <c r="L22" s="60"/>
      <c r="P22" s="239"/>
      <c r="R22" s="250"/>
    </row>
    <row r="23" spans="2:19" x14ac:dyDescent="0.2">
      <c r="B23" s="105"/>
      <c r="C23" s="105"/>
      <c r="E23" s="113"/>
      <c r="F23" s="105"/>
      <c r="G23" s="109"/>
      <c r="L23" s="60"/>
      <c r="P23" s="239"/>
      <c r="R23" s="250"/>
    </row>
    <row r="24" spans="2:19" x14ac:dyDescent="0.2">
      <c r="B24" s="59" t="s">
        <v>4</v>
      </c>
      <c r="C24" s="44">
        <f>C15/1000</f>
        <v>2.5399999999999999E-2</v>
      </c>
      <c r="E24" s="44">
        <f>IF(F2="Composite only","No tubes",E15/1000)</f>
        <v>0.03</v>
      </c>
      <c r="F24" s="105"/>
      <c r="G24" s="109"/>
      <c r="J24" s="239"/>
      <c r="K24" s="251"/>
      <c r="L24" s="60"/>
    </row>
    <row r="25" spans="2:19" x14ac:dyDescent="0.2">
      <c r="B25" s="59" t="s">
        <v>159</v>
      </c>
      <c r="C25" s="44">
        <f>C16/1000</f>
        <v>1.6000000000000001E-3</v>
      </c>
      <c r="E25" s="44">
        <f>IF(F2="Composite only","",E16/1000)</f>
        <v>1.5E-3</v>
      </c>
      <c r="F25" s="105"/>
      <c r="G25" s="113"/>
      <c r="J25" s="239"/>
      <c r="K25" s="60"/>
      <c r="L25" s="60"/>
      <c r="P25" s="239"/>
      <c r="Q25" s="60"/>
      <c r="R25" s="239"/>
      <c r="S25" s="60"/>
    </row>
    <row r="26" spans="2:19" x14ac:dyDescent="0.2">
      <c r="B26" s="59" t="s">
        <v>3</v>
      </c>
      <c r="C26" s="46">
        <f>IF(C6="Round",((C24)^4-((C24-2*C25))^4)*3.142/64,((C24)^4-((C24-2*C25))^4)/12)</f>
        <v>8.5099184800000022E-9</v>
      </c>
      <c r="E26" s="46">
        <f>IF(F2="Composite only","",IF(E6="Round",((E24)^4-((E24-2*E25))^4)*3.142/64,IF(E6="Square",((E24)^4-((E24-2*E25))^4)/12,"")))</f>
        <v>1.3675505906250005E-8</v>
      </c>
      <c r="F26" s="115" t="str">
        <f>IF($F$2="Tubing only","Tubing Only",2*(S17+S18))</f>
        <v>Tubing Only</v>
      </c>
      <c r="G26" s="46">
        <f t="shared" ref="G26:G33" si="0">IF($F$2="Tubing only",E26,IF($F$2="Composite only",F26,IF($F$2="Tubes + Composite",E26+F26,"No Type Selected")))</f>
        <v>1.3675505906250005E-8</v>
      </c>
      <c r="J26" s="239"/>
      <c r="K26" s="60"/>
      <c r="L26" s="60"/>
      <c r="O26" s="60"/>
      <c r="P26" s="239"/>
      <c r="Q26" s="60"/>
      <c r="R26" s="239"/>
      <c r="S26" s="60"/>
    </row>
    <row r="27" spans="2:19" x14ac:dyDescent="0.2">
      <c r="B27" s="59" t="s">
        <v>0</v>
      </c>
      <c r="C27" s="46">
        <f>C8*C26*C14</f>
        <v>3403.9673920000009</v>
      </c>
      <c r="D27" s="110"/>
      <c r="E27" s="46">
        <f>IF(F2="Composite only","",E8*E26*E14)</f>
        <v>13675.505906250004</v>
      </c>
      <c r="F27" s="115" t="str">
        <f>IF(F26="Tubing Only","",2*((F8*S17)+(S18*S19)))</f>
        <v/>
      </c>
      <c r="G27" s="46">
        <f t="shared" si="0"/>
        <v>13675.505906250004</v>
      </c>
      <c r="H27" s="54">
        <f t="shared" ref="H27:H33" si="1">100*G27/C27</f>
        <v>401.7519656148927</v>
      </c>
      <c r="P27" s="239"/>
      <c r="R27" s="239"/>
      <c r="S27" s="60"/>
    </row>
    <row r="28" spans="2:19" x14ac:dyDescent="0.2">
      <c r="B28" s="59" t="s">
        <v>160</v>
      </c>
      <c r="C28" s="47">
        <f>IF(C24="no tubes","",IF(C14=0,"",IF(C6="Round",C14*((C15^2-(C15-2*C16)^2)*PI()/4),IF(C6="Square",C14*(C15^2-(C15-2*C16)^2),""))))</f>
        <v>239.26369649739863</v>
      </c>
      <c r="D28" s="116"/>
      <c r="E28" s="47">
        <f>IF(E24="no tubes","",IF(E14=0,"",IF(E6="Round",E14*((E15^2-(E15-2*E16)^2)*PI()/4),IF(E6="Square",E14*(E15^2-(E15-2*E16)^2),""))))</f>
        <v>671.5154297048183</v>
      </c>
      <c r="F28" s="47" t="str">
        <f>IF(F26="Tubing Only","",(F18-F19)*F22)</f>
        <v/>
      </c>
      <c r="G28" s="47">
        <f t="shared" si="0"/>
        <v>671.5154297048183</v>
      </c>
      <c r="H28" s="54">
        <f>IF(AND(F2="tubing only",E5="steel"),100*G28/C28,"NA")</f>
        <v>280.65913865546219</v>
      </c>
      <c r="I28" s="56" t="str">
        <f>IF(AND(95&lt;H28,H28&lt;100),"For tubes only, provided your actual tube measures &gt;= your nominal OD and wall this is OK","")</f>
        <v/>
      </c>
      <c r="P28" s="239"/>
      <c r="R28" s="239"/>
      <c r="S28" s="60"/>
    </row>
    <row r="29" spans="2:19" x14ac:dyDescent="0.2">
      <c r="B29" s="59" t="s">
        <v>161</v>
      </c>
      <c r="C29" s="46">
        <f>C$28*C9/1000000</f>
        <v>72975.427431706587</v>
      </c>
      <c r="D29" s="110"/>
      <c r="E29" s="46">
        <f>IF(F2="Composite only","",E$28*E9/1000000)</f>
        <v>204812.20605996958</v>
      </c>
      <c r="F29" s="46" t="str">
        <f>IF(F26="Tubing Only","",F28*F9/1000000)</f>
        <v/>
      </c>
      <c r="G29" s="46">
        <f t="shared" si="0"/>
        <v>204812.20605996958</v>
      </c>
      <c r="H29" s="54">
        <f t="shared" si="1"/>
        <v>280.65913865546219</v>
      </c>
      <c r="I29" s="56" t="str">
        <f>IF(AND(95&lt;H29,H29&lt;100),"For tubes only, provided your actual tube measures &gt;= your nominal OD and wall this is OK","")</f>
        <v/>
      </c>
      <c r="P29" s="239"/>
      <c r="Q29" s="252"/>
      <c r="R29" s="239"/>
      <c r="S29" s="60"/>
    </row>
    <row r="30" spans="2:19" x14ac:dyDescent="0.2">
      <c r="B30" s="59" t="s">
        <v>5</v>
      </c>
      <c r="C30" s="46">
        <f>C$28*C10/1000000</f>
        <v>87331.24922155049</v>
      </c>
      <c r="D30" s="110"/>
      <c r="E30" s="46">
        <f>IF(F2="Composite only","",E$28*E10/1000000)</f>
        <v>245103.13184225868</v>
      </c>
      <c r="F30" s="46" t="str">
        <f>IF(F26="Tubing Only","",F28*F10/1000000)</f>
        <v/>
      </c>
      <c r="G30" s="46">
        <f t="shared" si="0"/>
        <v>245103.13184225868</v>
      </c>
      <c r="H30" s="54">
        <f t="shared" si="1"/>
        <v>280.65913865546224</v>
      </c>
      <c r="I30" s="56" t="str">
        <f>IF(AND(95&lt;H30,H30&lt;100),"For tubes only, provided your actual tube measures &gt;= your nominal OD and wall this is OK","")</f>
        <v/>
      </c>
    </row>
    <row r="31" spans="2:19" x14ac:dyDescent="0.2">
      <c r="B31" s="59" t="s">
        <v>162</v>
      </c>
      <c r="C31" s="46">
        <f>C$28*C11/1000000</f>
        <v>43067.465369531754</v>
      </c>
      <c r="D31" s="110"/>
      <c r="E31" s="46">
        <f>IF(F2="Composite only","",E$28*E11/1000000)</f>
        <v>120872.7773468673</v>
      </c>
      <c r="F31" s="46" t="str">
        <f>IF(F26="Tubing Only","",F28*F9/1000000)</f>
        <v/>
      </c>
      <c r="G31" s="46">
        <f t="shared" si="0"/>
        <v>120872.7773468673</v>
      </c>
      <c r="H31" s="54">
        <f t="shared" si="1"/>
        <v>280.65913865546224</v>
      </c>
      <c r="I31" s="56" t="str">
        <f>IF(AND(95&lt;H31,H31&lt;100),"For tubes only, provided your actual tube measures &gt;= your nominal OD and wall this is OK","")</f>
        <v/>
      </c>
    </row>
    <row r="32" spans="2:19" x14ac:dyDescent="0.2">
      <c r="B32" s="59" t="s">
        <v>6</v>
      </c>
      <c r="C32" s="46">
        <f>IF(C14=0,"",C$28*C12/1000000)</f>
        <v>71779.10894921959</v>
      </c>
      <c r="D32" s="110"/>
      <c r="E32" s="46">
        <f>IF(F2="Composite only","",E$28*E12/1000000)</f>
        <v>201454.6289114455</v>
      </c>
      <c r="F32" s="46" t="str">
        <f>IF(F26="tubing only","",F28*F10/1000000)</f>
        <v/>
      </c>
      <c r="G32" s="46">
        <f t="shared" si="0"/>
        <v>201454.6289114455</v>
      </c>
      <c r="H32" s="54">
        <f t="shared" si="1"/>
        <v>280.65913865546224</v>
      </c>
      <c r="I32" s="56" t="str">
        <f>IF(AND(95&lt;H32,H32&lt;100),"For tubes only, provided your actual tube measures &gt;= your nominal OD and wall this is OK","")</f>
        <v/>
      </c>
    </row>
    <row r="33" spans="2:26" x14ac:dyDescent="0.2">
      <c r="B33" s="59" t="s">
        <v>163</v>
      </c>
      <c r="C33" s="46">
        <f>C14*4*C10*C26/(0.5*C24*1)</f>
        <v>1956.6111780787407</v>
      </c>
      <c r="E33" s="46">
        <f>IF(F2="Composite only","",E14*4*E10*E26/(0.5*E24*1))</f>
        <v>6655.4128743750034</v>
      </c>
      <c r="F33" s="46" t="str">
        <f>IF(F26="tubing only","",4*F10*F26/(0.001*0.5*F18*1))</f>
        <v/>
      </c>
      <c r="G33" s="46">
        <f t="shared" si="0"/>
        <v>6655.4128743750034</v>
      </c>
      <c r="H33" s="54">
        <f t="shared" si="1"/>
        <v>340.14999755394257</v>
      </c>
    </row>
    <row r="34" spans="2:26" x14ac:dyDescent="0.2">
      <c r="B34" s="59" t="s">
        <v>164</v>
      </c>
      <c r="C34" s="46">
        <f>IF(C14=0,"",C33*1^3/(48*C27))</f>
        <v>1.1975065616797899E-2</v>
      </c>
      <c r="E34" s="46">
        <f>IF($F$2="tubing only",$C$33*1^3/(48*E27),"")</f>
        <v>2.9807111456118768E-3</v>
      </c>
      <c r="F34" s="46" t="str">
        <f>IF($F$2="tubing only","",$C$33*1^3/(48*F27))</f>
        <v/>
      </c>
      <c r="G34" s="46">
        <f>$C$33*1^3/(48*G27)</f>
        <v>2.9807111456118768E-3</v>
      </c>
      <c r="H34" s="54">
        <f>100*G34/C34</f>
        <v>24.890979648835621</v>
      </c>
    </row>
    <row r="35" spans="2:26" x14ac:dyDescent="0.2">
      <c r="B35" s="59" t="s">
        <v>165</v>
      </c>
      <c r="C35" s="46">
        <f>0.5*C33*(C33*1^3/(48*C27))</f>
        <v>11.715273622026579</v>
      </c>
      <c r="D35" s="70"/>
      <c r="E35" s="46">
        <f>IF(E24="no tubes","",0.5*E33*(E33*1^3/(48*E27)))</f>
        <v>33.739245821484403</v>
      </c>
      <c r="F35" s="46" t="str">
        <f>IF(F26="tubing only","",0.5*F33*(F33*1^3/(48*F27)))</f>
        <v/>
      </c>
      <c r="G35" s="46">
        <f>IF($F$2="Tubing only",E35,IF($F$2="Composite only",F35,IF($F$2="Tubes + Composite",E35+F35,"No Type Selected")))</f>
        <v>33.739245821484403</v>
      </c>
      <c r="H35" s="54">
        <f>100*G35/C35</f>
        <v>287.99366459567148</v>
      </c>
    </row>
    <row r="36" spans="2:26" x14ac:dyDescent="0.2">
      <c r="B36" s="264" t="s">
        <v>435</v>
      </c>
      <c r="C36" s="46">
        <f>(L15+L16)*0.002*0.0015*C13</f>
        <v>427050</v>
      </c>
      <c r="D36" s="77"/>
      <c r="E36" s="331" t="s">
        <v>153</v>
      </c>
      <c r="F36" s="46" t="str">
        <f>IF(F26="tubing only","",(L15+L16)*0.002*(F21/1000)*F13)</f>
        <v/>
      </c>
      <c r="G36" s="332" t="str">
        <f>IF(F2="tubing only","N/A",F36)</f>
        <v>N/A</v>
      </c>
      <c r="H36" s="297" t="str">
        <f>IF(F2="tubing only","NA",100*G36/C36)</f>
        <v>NA</v>
      </c>
      <c r="K36" s="298" t="s">
        <v>565</v>
      </c>
      <c r="L36" s="298"/>
      <c r="M36" s="298"/>
      <c r="N36" s="298"/>
    </row>
    <row r="38" spans="2:26" x14ac:dyDescent="0.2">
      <c r="B38" s="127" t="s">
        <v>280</v>
      </c>
      <c r="E38" s="60"/>
    </row>
    <row r="39" spans="2:26" x14ac:dyDescent="0.2">
      <c r="B39" s="24"/>
      <c r="C39" s="25"/>
      <c r="D39" s="25"/>
      <c r="E39" s="25"/>
      <c r="F39" s="25"/>
      <c r="G39" s="25"/>
      <c r="H39" s="25"/>
      <c r="I39" s="25"/>
      <c r="J39" s="25"/>
      <c r="K39" s="25"/>
      <c r="L39" s="25"/>
      <c r="M39" s="25"/>
      <c r="N39" s="25"/>
      <c r="O39" s="25"/>
      <c r="P39" s="25"/>
      <c r="Q39" s="25"/>
      <c r="R39" s="25"/>
      <c r="S39" s="25"/>
      <c r="T39" s="25"/>
      <c r="U39" s="25"/>
      <c r="V39" s="25"/>
      <c r="W39" s="25"/>
      <c r="X39" s="25"/>
      <c r="Y39" s="25"/>
      <c r="Z39" s="26"/>
    </row>
    <row r="40" spans="2:26"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2"/>
    </row>
    <row r="41" spans="2:26"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2"/>
    </row>
    <row r="42" spans="2:26"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2"/>
    </row>
    <row r="43" spans="2:26"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2"/>
    </row>
    <row r="44" spans="2:26"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2"/>
    </row>
    <row r="45" spans="2:26"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2"/>
    </row>
    <row r="46" spans="2:26"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2"/>
    </row>
    <row r="47" spans="2:26"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2"/>
    </row>
    <row r="48" spans="2:26"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2"/>
    </row>
    <row r="49" spans="2:26"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2"/>
    </row>
    <row r="50" spans="2:26"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2"/>
    </row>
    <row r="51" spans="2:26"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2"/>
    </row>
    <row r="52" spans="2:26"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2"/>
    </row>
    <row r="53" spans="2:26"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2"/>
    </row>
    <row r="54" spans="2:26" x14ac:dyDescent="0.2">
      <c r="B54" s="30"/>
      <c r="C54" s="31"/>
      <c r="D54" s="31"/>
      <c r="E54" s="31"/>
      <c r="F54" s="31"/>
      <c r="G54" s="31"/>
      <c r="H54" s="31"/>
      <c r="I54" s="31"/>
      <c r="J54" s="31"/>
      <c r="K54" s="31"/>
      <c r="L54" s="31"/>
      <c r="M54" s="31"/>
      <c r="N54" s="31"/>
      <c r="O54" s="31"/>
      <c r="P54" s="31"/>
      <c r="Q54" s="31"/>
      <c r="R54" s="31"/>
      <c r="S54" s="31"/>
      <c r="T54" s="31"/>
      <c r="U54" s="31"/>
      <c r="V54" s="31"/>
      <c r="W54" s="31"/>
      <c r="X54" s="31"/>
      <c r="Y54" s="31"/>
      <c r="Z54" s="32"/>
    </row>
    <row r="55" spans="2:26" x14ac:dyDescent="0.2">
      <c r="B55" s="30"/>
      <c r="C55" s="31"/>
      <c r="D55" s="31"/>
      <c r="E55" s="31"/>
      <c r="F55" s="31"/>
      <c r="G55" s="31"/>
      <c r="H55" s="31"/>
      <c r="I55" s="31"/>
      <c r="J55" s="31"/>
      <c r="K55" s="31"/>
      <c r="L55" s="31"/>
      <c r="M55" s="31"/>
      <c r="N55" s="31"/>
      <c r="O55" s="31"/>
      <c r="P55" s="31"/>
      <c r="Q55" s="31"/>
      <c r="R55" s="31"/>
      <c r="S55" s="31"/>
      <c r="T55" s="31"/>
      <c r="U55" s="31"/>
      <c r="V55" s="31"/>
      <c r="W55" s="31"/>
      <c r="X55" s="31"/>
      <c r="Y55" s="31"/>
      <c r="Z55" s="32"/>
    </row>
    <row r="56" spans="2:26" x14ac:dyDescent="0.2">
      <c r="B56" s="30"/>
      <c r="C56" s="31"/>
      <c r="D56" s="31"/>
      <c r="E56" s="31"/>
      <c r="F56" s="31"/>
      <c r="G56" s="31"/>
      <c r="H56" s="31"/>
      <c r="I56" s="31"/>
      <c r="J56" s="31"/>
      <c r="K56" s="31"/>
      <c r="L56" s="31"/>
      <c r="M56" s="31"/>
      <c r="N56" s="31"/>
      <c r="O56" s="31"/>
      <c r="P56" s="31"/>
      <c r="Q56" s="31"/>
      <c r="R56" s="31"/>
      <c r="S56" s="31"/>
      <c r="T56" s="31"/>
      <c r="U56" s="31"/>
      <c r="V56" s="31"/>
      <c r="W56" s="31"/>
      <c r="X56" s="31"/>
      <c r="Y56" s="31"/>
      <c r="Z56" s="32"/>
    </row>
    <row r="57" spans="2:26" x14ac:dyDescent="0.2">
      <c r="B57" s="30"/>
      <c r="C57" s="31"/>
      <c r="D57" s="31"/>
      <c r="E57" s="31"/>
      <c r="F57" s="31"/>
      <c r="G57" s="31"/>
      <c r="H57" s="31"/>
      <c r="I57" s="31"/>
      <c r="J57" s="31"/>
      <c r="K57" s="31"/>
      <c r="L57" s="31"/>
      <c r="M57" s="31"/>
      <c r="N57" s="31"/>
      <c r="O57" s="31"/>
      <c r="P57" s="31"/>
      <c r="Q57" s="31"/>
      <c r="R57" s="31"/>
      <c r="S57" s="31"/>
      <c r="T57" s="31"/>
      <c r="U57" s="31"/>
      <c r="V57" s="31"/>
      <c r="W57" s="31"/>
      <c r="X57" s="31"/>
      <c r="Y57" s="31"/>
      <c r="Z57" s="32"/>
    </row>
    <row r="58" spans="2:26" x14ac:dyDescent="0.2">
      <c r="B58" s="30"/>
      <c r="C58" s="31"/>
      <c r="D58" s="31"/>
      <c r="E58" s="31"/>
      <c r="F58" s="31"/>
      <c r="G58" s="31"/>
      <c r="H58" s="31"/>
      <c r="I58" s="31"/>
      <c r="J58" s="31"/>
      <c r="K58" s="31"/>
      <c r="L58" s="31"/>
      <c r="M58" s="31"/>
      <c r="N58" s="31"/>
      <c r="O58" s="31"/>
      <c r="P58" s="31"/>
      <c r="Q58" s="31"/>
      <c r="R58" s="31"/>
      <c r="S58" s="31"/>
      <c r="T58" s="31"/>
      <c r="U58" s="31"/>
      <c r="V58" s="31"/>
      <c r="W58" s="31"/>
      <c r="X58" s="31"/>
      <c r="Y58" s="31"/>
      <c r="Z58" s="32"/>
    </row>
    <row r="59" spans="2:26" x14ac:dyDescent="0.2">
      <c r="B59" s="30"/>
      <c r="C59" s="31"/>
      <c r="D59" s="31"/>
      <c r="E59" s="31"/>
      <c r="F59" s="31"/>
      <c r="G59" s="31"/>
      <c r="H59" s="31"/>
      <c r="I59" s="31"/>
      <c r="J59" s="31"/>
      <c r="K59" s="31"/>
      <c r="L59" s="31"/>
      <c r="M59" s="31"/>
      <c r="N59" s="31"/>
      <c r="O59" s="31"/>
      <c r="P59" s="31"/>
      <c r="Q59" s="31"/>
      <c r="R59" s="31"/>
      <c r="S59" s="31"/>
      <c r="T59" s="31"/>
      <c r="U59" s="31"/>
      <c r="V59" s="31"/>
      <c r="W59" s="31"/>
      <c r="X59" s="31"/>
      <c r="Y59" s="31"/>
      <c r="Z59" s="32"/>
    </row>
    <row r="60" spans="2:26" x14ac:dyDescent="0.2">
      <c r="B60" s="30"/>
      <c r="C60" s="31"/>
      <c r="D60" s="31"/>
      <c r="E60" s="31"/>
      <c r="F60" s="31"/>
      <c r="G60" s="31"/>
      <c r="H60" s="31"/>
      <c r="I60" s="31"/>
      <c r="J60" s="31"/>
      <c r="K60" s="31"/>
      <c r="L60" s="31"/>
      <c r="M60" s="31"/>
      <c r="N60" s="31"/>
      <c r="O60" s="31"/>
      <c r="P60" s="31"/>
      <c r="Q60" s="31"/>
      <c r="R60" s="31"/>
      <c r="S60" s="31"/>
      <c r="T60" s="31"/>
      <c r="U60" s="31"/>
      <c r="V60" s="31"/>
      <c r="W60" s="31"/>
      <c r="X60" s="31"/>
      <c r="Y60" s="31"/>
      <c r="Z60" s="32"/>
    </row>
    <row r="61" spans="2:26" x14ac:dyDescent="0.2">
      <c r="B61" s="30"/>
      <c r="C61" s="31"/>
      <c r="D61" s="31"/>
      <c r="E61" s="31"/>
      <c r="F61" s="31"/>
      <c r="G61" s="31"/>
      <c r="H61" s="31"/>
      <c r="I61" s="31"/>
      <c r="J61" s="31"/>
      <c r="K61" s="31"/>
      <c r="L61" s="31"/>
      <c r="M61" s="31"/>
      <c r="N61" s="31"/>
      <c r="O61" s="31"/>
      <c r="P61" s="31"/>
      <c r="Q61" s="31"/>
      <c r="R61" s="31"/>
      <c r="S61" s="31"/>
      <c r="T61" s="31"/>
      <c r="U61" s="31"/>
      <c r="V61" s="31"/>
      <c r="W61" s="31"/>
      <c r="X61" s="31"/>
      <c r="Y61" s="31"/>
      <c r="Z61" s="32"/>
    </row>
    <row r="62" spans="2:26" x14ac:dyDescent="0.2">
      <c r="B62" s="30"/>
      <c r="C62" s="31"/>
      <c r="D62" s="31"/>
      <c r="E62" s="31"/>
      <c r="F62" s="31"/>
      <c r="G62" s="31"/>
      <c r="H62" s="31"/>
      <c r="I62" s="31"/>
      <c r="J62" s="31"/>
      <c r="K62" s="31"/>
      <c r="L62" s="31"/>
      <c r="M62" s="31"/>
      <c r="N62" s="31"/>
      <c r="O62" s="31"/>
      <c r="P62" s="31"/>
      <c r="Q62" s="31"/>
      <c r="R62" s="31"/>
      <c r="S62" s="31"/>
      <c r="T62" s="31"/>
      <c r="U62" s="31"/>
      <c r="V62" s="31"/>
      <c r="W62" s="31"/>
      <c r="X62" s="31"/>
      <c r="Y62" s="31"/>
      <c r="Z62" s="32"/>
    </row>
    <row r="63" spans="2:26" x14ac:dyDescent="0.2">
      <c r="B63" s="30"/>
      <c r="C63" s="31"/>
      <c r="D63" s="31"/>
      <c r="E63" s="31"/>
      <c r="F63" s="31"/>
      <c r="G63" s="31"/>
      <c r="H63" s="31"/>
      <c r="I63" s="31"/>
      <c r="J63" s="31"/>
      <c r="K63" s="31"/>
      <c r="L63" s="31"/>
      <c r="M63" s="31"/>
      <c r="N63" s="31"/>
      <c r="O63" s="31"/>
      <c r="P63" s="31"/>
      <c r="Q63" s="31"/>
      <c r="R63" s="31"/>
      <c r="S63" s="31"/>
      <c r="T63" s="31"/>
      <c r="U63" s="31"/>
      <c r="V63" s="31"/>
      <c r="W63" s="31"/>
      <c r="X63" s="31"/>
      <c r="Y63" s="31"/>
      <c r="Z63" s="32"/>
    </row>
    <row r="64" spans="2:26" x14ac:dyDescent="0.2">
      <c r="B64" s="30"/>
      <c r="C64" s="31"/>
      <c r="D64" s="31"/>
      <c r="E64" s="31"/>
      <c r="F64" s="31"/>
      <c r="G64" s="31"/>
      <c r="H64" s="31"/>
      <c r="I64" s="31"/>
      <c r="J64" s="31"/>
      <c r="K64" s="31"/>
      <c r="L64" s="31"/>
      <c r="M64" s="31"/>
      <c r="N64" s="31"/>
      <c r="O64" s="31"/>
      <c r="P64" s="31"/>
      <c r="Q64" s="31"/>
      <c r="R64" s="31"/>
      <c r="S64" s="31"/>
      <c r="T64" s="31"/>
      <c r="U64" s="31"/>
      <c r="V64" s="31"/>
      <c r="W64" s="31"/>
      <c r="X64" s="31"/>
      <c r="Y64" s="31"/>
      <c r="Z64" s="32"/>
    </row>
    <row r="65" spans="2:26" x14ac:dyDescent="0.2">
      <c r="B65" s="30"/>
      <c r="C65" s="31"/>
      <c r="D65" s="31"/>
      <c r="E65" s="31"/>
      <c r="F65" s="31"/>
      <c r="G65" s="31"/>
      <c r="H65" s="31"/>
      <c r="I65" s="31"/>
      <c r="J65" s="31"/>
      <c r="K65" s="31"/>
      <c r="L65" s="31"/>
      <c r="M65" s="31"/>
      <c r="N65" s="31"/>
      <c r="O65" s="31"/>
      <c r="P65" s="31"/>
      <c r="Q65" s="31"/>
      <c r="R65" s="31"/>
      <c r="S65" s="31"/>
      <c r="T65" s="31"/>
      <c r="U65" s="31"/>
      <c r="V65" s="31"/>
      <c r="W65" s="31"/>
      <c r="X65" s="31"/>
      <c r="Y65" s="31"/>
      <c r="Z65" s="32"/>
    </row>
    <row r="66" spans="2:26" x14ac:dyDescent="0.2">
      <c r="B66" s="30"/>
      <c r="C66" s="31"/>
      <c r="D66" s="31"/>
      <c r="E66" s="31"/>
      <c r="F66" s="31"/>
      <c r="G66" s="31"/>
      <c r="H66" s="31"/>
      <c r="I66" s="31"/>
      <c r="J66" s="31"/>
      <c r="K66" s="31"/>
      <c r="L66" s="31"/>
      <c r="M66" s="31"/>
      <c r="N66" s="31"/>
      <c r="O66" s="31"/>
      <c r="P66" s="31"/>
      <c r="Q66" s="31"/>
      <c r="R66" s="31"/>
      <c r="S66" s="31"/>
      <c r="T66" s="31"/>
      <c r="U66" s="31"/>
      <c r="V66" s="31"/>
      <c r="W66" s="31"/>
      <c r="X66" s="31"/>
      <c r="Y66" s="31"/>
      <c r="Z66" s="32"/>
    </row>
    <row r="67" spans="2:26" x14ac:dyDescent="0.2">
      <c r="B67" s="30"/>
      <c r="C67" s="31"/>
      <c r="D67" s="31"/>
      <c r="E67" s="31"/>
      <c r="F67" s="31"/>
      <c r="G67" s="31"/>
      <c r="H67" s="31"/>
      <c r="I67" s="31"/>
      <c r="J67" s="31"/>
      <c r="K67" s="31"/>
      <c r="L67" s="31"/>
      <c r="M67" s="31"/>
      <c r="N67" s="31"/>
      <c r="O67" s="31"/>
      <c r="P67" s="31"/>
      <c r="Q67" s="31"/>
      <c r="R67" s="31"/>
      <c r="S67" s="31"/>
      <c r="T67" s="31"/>
      <c r="U67" s="31"/>
      <c r="V67" s="31"/>
      <c r="W67" s="31"/>
      <c r="X67" s="31"/>
      <c r="Y67" s="31"/>
      <c r="Z67" s="32"/>
    </row>
    <row r="68" spans="2:26" x14ac:dyDescent="0.2">
      <c r="B68" s="30"/>
      <c r="C68" s="31"/>
      <c r="D68" s="31"/>
      <c r="E68" s="31"/>
      <c r="F68" s="31"/>
      <c r="G68" s="31"/>
      <c r="H68" s="31"/>
      <c r="I68" s="31"/>
      <c r="J68" s="31"/>
      <c r="K68" s="31"/>
      <c r="L68" s="31"/>
      <c r="M68" s="31"/>
      <c r="N68" s="31"/>
      <c r="O68" s="31"/>
      <c r="P68" s="31"/>
      <c r="Q68" s="31"/>
      <c r="R68" s="31"/>
      <c r="S68" s="31"/>
      <c r="T68" s="31"/>
      <c r="U68" s="31"/>
      <c r="V68" s="31"/>
      <c r="W68" s="31"/>
      <c r="X68" s="31"/>
      <c r="Y68" s="31"/>
      <c r="Z68" s="32"/>
    </row>
    <row r="69" spans="2:26" x14ac:dyDescent="0.2">
      <c r="B69" s="30"/>
      <c r="C69" s="31"/>
      <c r="D69" s="31"/>
      <c r="E69" s="31"/>
      <c r="F69" s="31"/>
      <c r="G69" s="31"/>
      <c r="H69" s="31"/>
      <c r="I69" s="31"/>
      <c r="J69" s="31"/>
      <c r="K69" s="31"/>
      <c r="L69" s="31"/>
      <c r="M69" s="31"/>
      <c r="N69" s="31"/>
      <c r="O69" s="31"/>
      <c r="P69" s="31"/>
      <c r="Q69" s="31"/>
      <c r="R69" s="31"/>
      <c r="S69" s="31"/>
      <c r="T69" s="31"/>
      <c r="U69" s="31"/>
      <c r="V69" s="31"/>
      <c r="W69" s="31"/>
      <c r="X69" s="31"/>
      <c r="Y69" s="31"/>
      <c r="Z69" s="32"/>
    </row>
    <row r="70" spans="2:26" x14ac:dyDescent="0.2">
      <c r="B70" s="30"/>
      <c r="C70" s="31"/>
      <c r="D70" s="31"/>
      <c r="E70" s="31"/>
      <c r="F70" s="31"/>
      <c r="G70" s="31"/>
      <c r="H70" s="31"/>
      <c r="I70" s="31"/>
      <c r="J70" s="31"/>
      <c r="K70" s="31"/>
      <c r="L70" s="31"/>
      <c r="M70" s="31"/>
      <c r="N70" s="31"/>
      <c r="O70" s="31"/>
      <c r="P70" s="31"/>
      <c r="Q70" s="31"/>
      <c r="R70" s="31"/>
      <c r="S70" s="31"/>
      <c r="T70" s="31"/>
      <c r="U70" s="31"/>
      <c r="V70" s="31"/>
      <c r="W70" s="31"/>
      <c r="X70" s="31"/>
      <c r="Y70" s="31"/>
      <c r="Z70" s="32"/>
    </row>
    <row r="71" spans="2:26" x14ac:dyDescent="0.2">
      <c r="B71" s="30"/>
      <c r="C71" s="31"/>
      <c r="D71" s="31"/>
      <c r="E71" s="31"/>
      <c r="F71" s="31"/>
      <c r="G71" s="31"/>
      <c r="H71" s="31"/>
      <c r="I71" s="31"/>
      <c r="J71" s="31"/>
      <c r="K71" s="31"/>
      <c r="L71" s="31"/>
      <c r="M71" s="31"/>
      <c r="N71" s="31"/>
      <c r="O71" s="31"/>
      <c r="P71" s="31"/>
      <c r="Q71" s="31"/>
      <c r="R71" s="31"/>
      <c r="S71" s="31"/>
      <c r="T71" s="31"/>
      <c r="U71" s="31"/>
      <c r="V71" s="31"/>
      <c r="W71" s="31"/>
      <c r="X71" s="31"/>
      <c r="Y71" s="31"/>
      <c r="Z71" s="32"/>
    </row>
    <row r="72" spans="2:26" x14ac:dyDescent="0.2">
      <c r="B72" s="30"/>
      <c r="C72" s="31"/>
      <c r="D72" s="31"/>
      <c r="E72" s="31"/>
      <c r="F72" s="31"/>
      <c r="G72" s="31"/>
      <c r="H72" s="31"/>
      <c r="I72" s="31"/>
      <c r="J72" s="31"/>
      <c r="K72" s="31"/>
      <c r="L72" s="31"/>
      <c r="M72" s="31"/>
      <c r="N72" s="31"/>
      <c r="O72" s="31"/>
      <c r="P72" s="31"/>
      <c r="Q72" s="31"/>
      <c r="R72" s="31"/>
      <c r="S72" s="31"/>
      <c r="T72" s="31"/>
      <c r="U72" s="31"/>
      <c r="V72" s="31"/>
      <c r="W72" s="31"/>
      <c r="X72" s="31"/>
      <c r="Y72" s="31"/>
      <c r="Z72" s="32"/>
    </row>
    <row r="73" spans="2:26" x14ac:dyDescent="0.2">
      <c r="B73" s="30"/>
      <c r="C73" s="31"/>
      <c r="D73" s="31"/>
      <c r="E73" s="31"/>
      <c r="F73" s="31"/>
      <c r="G73" s="31"/>
      <c r="H73" s="31"/>
      <c r="I73" s="31"/>
      <c r="J73" s="31"/>
      <c r="K73" s="31"/>
      <c r="L73" s="31"/>
      <c r="M73" s="31"/>
      <c r="N73" s="31"/>
      <c r="O73" s="31"/>
      <c r="P73" s="31"/>
      <c r="Q73" s="31"/>
      <c r="R73" s="31"/>
      <c r="S73" s="31"/>
      <c r="T73" s="31"/>
      <c r="U73" s="31"/>
      <c r="V73" s="31"/>
      <c r="W73" s="31"/>
      <c r="X73" s="31"/>
      <c r="Y73" s="31"/>
      <c r="Z73" s="32"/>
    </row>
    <row r="74" spans="2:26" x14ac:dyDescent="0.2">
      <c r="B74" s="30"/>
      <c r="C74" s="31"/>
      <c r="D74" s="31"/>
      <c r="E74" s="31"/>
      <c r="F74" s="31"/>
      <c r="G74" s="31"/>
      <c r="H74" s="31"/>
      <c r="I74" s="31"/>
      <c r="J74" s="31"/>
      <c r="K74" s="31"/>
      <c r="L74" s="31"/>
      <c r="M74" s="31"/>
      <c r="N74" s="31"/>
      <c r="O74" s="31"/>
      <c r="P74" s="31"/>
      <c r="Q74" s="31"/>
      <c r="R74" s="31"/>
      <c r="S74" s="31"/>
      <c r="T74" s="31"/>
      <c r="U74" s="31"/>
      <c r="V74" s="31"/>
      <c r="W74" s="31"/>
      <c r="X74" s="31"/>
      <c r="Y74" s="31"/>
      <c r="Z74" s="32"/>
    </row>
    <row r="75" spans="2:26" x14ac:dyDescent="0.2">
      <c r="B75" s="30"/>
      <c r="C75" s="31"/>
      <c r="D75" s="31"/>
      <c r="E75" s="31"/>
      <c r="F75" s="31"/>
      <c r="G75" s="31"/>
      <c r="H75" s="31"/>
      <c r="I75" s="31"/>
      <c r="J75" s="31"/>
      <c r="K75" s="31"/>
      <c r="L75" s="31"/>
      <c r="M75" s="31"/>
      <c r="N75" s="31"/>
      <c r="O75" s="31"/>
      <c r="P75" s="31"/>
      <c r="Q75" s="31"/>
      <c r="R75" s="31"/>
      <c r="S75" s="31"/>
      <c r="T75" s="31"/>
      <c r="U75" s="31"/>
      <c r="V75" s="31"/>
      <c r="W75" s="31"/>
      <c r="X75" s="31"/>
      <c r="Y75" s="31"/>
      <c r="Z75" s="32"/>
    </row>
    <row r="76" spans="2:26" x14ac:dyDescent="0.2">
      <c r="B76" s="30"/>
      <c r="C76" s="31"/>
      <c r="D76" s="31"/>
      <c r="E76" s="31"/>
      <c r="F76" s="31"/>
      <c r="G76" s="31"/>
      <c r="H76" s="31"/>
      <c r="I76" s="31"/>
      <c r="J76" s="31"/>
      <c r="K76" s="31"/>
      <c r="L76" s="31"/>
      <c r="M76" s="31"/>
      <c r="N76" s="31"/>
      <c r="O76" s="31"/>
      <c r="P76" s="31"/>
      <c r="Q76" s="31"/>
      <c r="R76" s="31"/>
      <c r="S76" s="31"/>
      <c r="T76" s="31"/>
      <c r="U76" s="31"/>
      <c r="V76" s="31"/>
      <c r="W76" s="31"/>
      <c r="X76" s="31"/>
      <c r="Y76" s="31"/>
      <c r="Z76" s="32"/>
    </row>
    <row r="77" spans="2:26" x14ac:dyDescent="0.2">
      <c r="B77" s="30"/>
      <c r="C77" s="31"/>
      <c r="D77" s="31"/>
      <c r="E77" s="31"/>
      <c r="F77" s="31"/>
      <c r="G77" s="31"/>
      <c r="H77" s="31"/>
      <c r="I77" s="31"/>
      <c r="J77" s="31"/>
      <c r="K77" s="31"/>
      <c r="L77" s="31"/>
      <c r="M77" s="31"/>
      <c r="N77" s="31"/>
      <c r="O77" s="31"/>
      <c r="P77" s="31"/>
      <c r="Q77" s="31"/>
      <c r="R77" s="31"/>
      <c r="S77" s="31"/>
      <c r="T77" s="31"/>
      <c r="U77" s="31"/>
      <c r="V77" s="31"/>
      <c r="W77" s="31"/>
      <c r="X77" s="31"/>
      <c r="Y77" s="31"/>
      <c r="Z77" s="32"/>
    </row>
    <row r="78" spans="2:26" x14ac:dyDescent="0.2">
      <c r="B78" s="30"/>
      <c r="C78" s="31"/>
      <c r="D78" s="31"/>
      <c r="E78" s="31"/>
      <c r="F78" s="31"/>
      <c r="G78" s="31"/>
      <c r="H78" s="31"/>
      <c r="I78" s="31"/>
      <c r="J78" s="31"/>
      <c r="K78" s="31"/>
      <c r="L78" s="31"/>
      <c r="M78" s="31"/>
      <c r="N78" s="31"/>
      <c r="O78" s="31"/>
      <c r="P78" s="31"/>
      <c r="Q78" s="31"/>
      <c r="R78" s="31"/>
      <c r="S78" s="31"/>
      <c r="T78" s="31"/>
      <c r="U78" s="31"/>
      <c r="V78" s="31"/>
      <c r="W78" s="31"/>
      <c r="X78" s="31"/>
      <c r="Y78" s="31"/>
      <c r="Z78" s="32"/>
    </row>
    <row r="79" spans="2:26" x14ac:dyDescent="0.2">
      <c r="B79" s="30"/>
      <c r="C79" s="31"/>
      <c r="D79" s="31"/>
      <c r="E79" s="31"/>
      <c r="F79" s="31"/>
      <c r="G79" s="31"/>
      <c r="H79" s="31"/>
      <c r="I79" s="31"/>
      <c r="J79" s="31"/>
      <c r="K79" s="31"/>
      <c r="L79" s="31"/>
      <c r="M79" s="31"/>
      <c r="N79" s="31"/>
      <c r="O79" s="31"/>
      <c r="P79" s="31"/>
      <c r="Q79" s="31"/>
      <c r="R79" s="31"/>
      <c r="S79" s="31"/>
      <c r="T79" s="31"/>
      <c r="U79" s="31"/>
      <c r="V79" s="31"/>
      <c r="W79" s="31"/>
      <c r="X79" s="31"/>
      <c r="Y79" s="31"/>
      <c r="Z79" s="32"/>
    </row>
    <row r="80" spans="2:26" x14ac:dyDescent="0.2">
      <c r="B80" s="30"/>
      <c r="C80" s="31"/>
      <c r="D80" s="31"/>
      <c r="E80" s="31"/>
      <c r="F80" s="31"/>
      <c r="G80" s="31"/>
      <c r="H80" s="31"/>
      <c r="I80" s="31"/>
      <c r="J80" s="31"/>
      <c r="K80" s="31"/>
      <c r="L80" s="31"/>
      <c r="M80" s="31"/>
      <c r="N80" s="31"/>
      <c r="O80" s="31"/>
      <c r="P80" s="31"/>
      <c r="Q80" s="31"/>
      <c r="R80" s="31"/>
      <c r="S80" s="31"/>
      <c r="T80" s="31"/>
      <c r="U80" s="31"/>
      <c r="V80" s="31"/>
      <c r="W80" s="31"/>
      <c r="X80" s="31"/>
      <c r="Y80" s="31"/>
      <c r="Z80" s="32"/>
    </row>
    <row r="81" spans="2:26" x14ac:dyDescent="0.2">
      <c r="B81" s="30"/>
      <c r="C81" s="31"/>
      <c r="D81" s="31"/>
      <c r="E81" s="31"/>
      <c r="F81" s="31"/>
      <c r="G81" s="31"/>
      <c r="H81" s="31"/>
      <c r="I81" s="31"/>
      <c r="J81" s="31"/>
      <c r="K81" s="31"/>
      <c r="L81" s="31"/>
      <c r="M81" s="31"/>
      <c r="N81" s="31"/>
      <c r="O81" s="31"/>
      <c r="P81" s="31"/>
      <c r="Q81" s="31"/>
      <c r="R81" s="31"/>
      <c r="S81" s="31"/>
      <c r="T81" s="31"/>
      <c r="U81" s="31"/>
      <c r="V81" s="31"/>
      <c r="W81" s="31"/>
      <c r="X81" s="31"/>
      <c r="Y81" s="31"/>
      <c r="Z81" s="32"/>
    </row>
    <row r="82" spans="2:26" x14ac:dyDescent="0.2">
      <c r="B82" s="30"/>
      <c r="C82" s="31"/>
      <c r="D82" s="31"/>
      <c r="E82" s="31"/>
      <c r="F82" s="31"/>
      <c r="G82" s="31"/>
      <c r="H82" s="31"/>
      <c r="I82" s="31"/>
      <c r="J82" s="31"/>
      <c r="K82" s="31"/>
      <c r="L82" s="31"/>
      <c r="M82" s="31"/>
      <c r="N82" s="31"/>
      <c r="O82" s="31"/>
      <c r="P82" s="31"/>
      <c r="Q82" s="31"/>
      <c r="R82" s="31"/>
      <c r="S82" s="31"/>
      <c r="T82" s="31"/>
      <c r="U82" s="31"/>
      <c r="V82" s="31"/>
      <c r="W82" s="31"/>
      <c r="X82" s="31"/>
      <c r="Y82" s="31"/>
      <c r="Z82" s="32"/>
    </row>
    <row r="83" spans="2:26" x14ac:dyDescent="0.2">
      <c r="B83" s="30"/>
      <c r="C83" s="31"/>
      <c r="D83" s="31"/>
      <c r="E83" s="31"/>
      <c r="F83" s="31"/>
      <c r="G83" s="31"/>
      <c r="H83" s="31"/>
      <c r="I83" s="31"/>
      <c r="J83" s="31"/>
      <c r="K83" s="31"/>
      <c r="L83" s="31"/>
      <c r="M83" s="31"/>
      <c r="N83" s="31"/>
      <c r="O83" s="31"/>
      <c r="P83" s="31"/>
      <c r="Q83" s="31"/>
      <c r="R83" s="31"/>
      <c r="S83" s="31"/>
      <c r="T83" s="31"/>
      <c r="U83" s="31"/>
      <c r="V83" s="31"/>
      <c r="W83" s="31"/>
      <c r="X83" s="31"/>
      <c r="Y83" s="31"/>
      <c r="Z83" s="32"/>
    </row>
    <row r="84" spans="2:26" x14ac:dyDescent="0.2">
      <c r="B84" s="30"/>
      <c r="C84" s="31"/>
      <c r="D84" s="31"/>
      <c r="E84" s="31"/>
      <c r="F84" s="31"/>
      <c r="G84" s="31"/>
      <c r="H84" s="31"/>
      <c r="I84" s="31"/>
      <c r="J84" s="31"/>
      <c r="K84" s="31"/>
      <c r="L84" s="31"/>
      <c r="M84" s="31"/>
      <c r="N84" s="31"/>
      <c r="O84" s="31"/>
      <c r="P84" s="31"/>
      <c r="Q84" s="31"/>
      <c r="R84" s="31"/>
      <c r="S84" s="31"/>
      <c r="T84" s="31"/>
      <c r="U84" s="31"/>
      <c r="V84" s="31"/>
      <c r="W84" s="31"/>
      <c r="X84" s="31"/>
      <c r="Y84" s="31"/>
      <c r="Z84" s="32"/>
    </row>
    <row r="85" spans="2:26" x14ac:dyDescent="0.2">
      <c r="B85" s="30"/>
      <c r="C85" s="31"/>
      <c r="D85" s="31"/>
      <c r="E85" s="31"/>
      <c r="F85" s="31"/>
      <c r="G85" s="31"/>
      <c r="H85" s="31"/>
      <c r="I85" s="31"/>
      <c r="J85" s="31"/>
      <c r="K85" s="31"/>
      <c r="L85" s="31"/>
      <c r="M85" s="31"/>
      <c r="N85" s="31"/>
      <c r="O85" s="31"/>
      <c r="P85" s="31"/>
      <c r="Q85" s="31"/>
      <c r="R85" s="31"/>
      <c r="S85" s="31"/>
      <c r="T85" s="31"/>
      <c r="U85" s="31"/>
      <c r="V85" s="31"/>
      <c r="W85" s="31"/>
      <c r="X85" s="31"/>
      <c r="Y85" s="31"/>
      <c r="Z85" s="32"/>
    </row>
    <row r="86" spans="2:26" x14ac:dyDescent="0.2">
      <c r="B86" s="30"/>
      <c r="C86" s="31"/>
      <c r="D86" s="31"/>
      <c r="E86" s="31"/>
      <c r="F86" s="31"/>
      <c r="G86" s="31"/>
      <c r="H86" s="31"/>
      <c r="I86" s="31"/>
      <c r="J86" s="31"/>
      <c r="K86" s="31"/>
      <c r="L86" s="31"/>
      <c r="M86" s="31"/>
      <c r="N86" s="31"/>
      <c r="O86" s="31"/>
      <c r="P86" s="31"/>
      <c r="Q86" s="31"/>
      <c r="R86" s="31"/>
      <c r="S86" s="31"/>
      <c r="T86" s="31"/>
      <c r="U86" s="31"/>
      <c r="V86" s="31"/>
      <c r="W86" s="31"/>
      <c r="X86" s="31"/>
      <c r="Y86" s="31"/>
      <c r="Z86" s="32"/>
    </row>
    <row r="87" spans="2:26" x14ac:dyDescent="0.2">
      <c r="B87" s="30"/>
      <c r="C87" s="31"/>
      <c r="D87" s="31"/>
      <c r="E87" s="31"/>
      <c r="F87" s="31"/>
      <c r="G87" s="31"/>
      <c r="H87" s="31"/>
      <c r="I87" s="31"/>
      <c r="J87" s="31"/>
      <c r="K87" s="31"/>
      <c r="L87" s="31"/>
      <c r="M87" s="31"/>
      <c r="N87" s="31"/>
      <c r="O87" s="31"/>
      <c r="P87" s="31"/>
      <c r="Q87" s="31"/>
      <c r="R87" s="31"/>
      <c r="S87" s="31"/>
      <c r="T87" s="31"/>
      <c r="U87" s="31"/>
      <c r="V87" s="31"/>
      <c r="W87" s="31"/>
      <c r="X87" s="31"/>
      <c r="Y87" s="31"/>
      <c r="Z87" s="32"/>
    </row>
    <row r="88" spans="2:26" x14ac:dyDescent="0.2">
      <c r="B88" s="30"/>
      <c r="C88" s="31"/>
      <c r="D88" s="31"/>
      <c r="E88" s="31"/>
      <c r="F88" s="31"/>
      <c r="G88" s="31"/>
      <c r="H88" s="31"/>
      <c r="I88" s="31"/>
      <c r="J88" s="31"/>
      <c r="K88" s="31"/>
      <c r="L88" s="31"/>
      <c r="M88" s="31"/>
      <c r="N88" s="31"/>
      <c r="O88" s="31"/>
      <c r="P88" s="31"/>
      <c r="Q88" s="31"/>
      <c r="R88" s="31"/>
      <c r="S88" s="31"/>
      <c r="T88" s="31"/>
      <c r="U88" s="31"/>
      <c r="V88" s="31"/>
      <c r="W88" s="31"/>
      <c r="X88" s="31"/>
      <c r="Y88" s="31"/>
      <c r="Z88" s="32"/>
    </row>
    <row r="89" spans="2:26" x14ac:dyDescent="0.2">
      <c r="B89" s="30"/>
      <c r="C89" s="31"/>
      <c r="D89" s="31"/>
      <c r="E89" s="31"/>
      <c r="F89" s="31"/>
      <c r="G89" s="31"/>
      <c r="H89" s="31"/>
      <c r="I89" s="31"/>
      <c r="J89" s="31"/>
      <c r="K89" s="31"/>
      <c r="L89" s="31"/>
      <c r="M89" s="31"/>
      <c r="N89" s="31"/>
      <c r="O89" s="31"/>
      <c r="P89" s="31"/>
      <c r="Q89" s="31"/>
      <c r="R89" s="31"/>
      <c r="S89" s="31"/>
      <c r="T89" s="31"/>
      <c r="U89" s="31"/>
      <c r="V89" s="31"/>
      <c r="W89" s="31"/>
      <c r="X89" s="31"/>
      <c r="Y89" s="31"/>
      <c r="Z89" s="32"/>
    </row>
    <row r="90" spans="2:26" x14ac:dyDescent="0.2">
      <c r="B90" s="30"/>
      <c r="C90" s="31"/>
      <c r="D90" s="31"/>
      <c r="E90" s="31"/>
      <c r="F90" s="31"/>
      <c r="G90" s="31"/>
      <c r="H90" s="31"/>
      <c r="I90" s="31"/>
      <c r="J90" s="31"/>
      <c r="K90" s="31"/>
      <c r="L90" s="31"/>
      <c r="M90" s="31"/>
      <c r="N90" s="31"/>
      <c r="O90" s="31"/>
      <c r="P90" s="31"/>
      <c r="Q90" s="31"/>
      <c r="R90" s="31"/>
      <c r="S90" s="31"/>
      <c r="T90" s="31"/>
      <c r="U90" s="31"/>
      <c r="V90" s="31"/>
      <c r="W90" s="31"/>
      <c r="X90" s="31"/>
      <c r="Y90" s="31"/>
      <c r="Z90" s="32"/>
    </row>
    <row r="91" spans="2:26" x14ac:dyDescent="0.2">
      <c r="B91" s="30"/>
      <c r="C91" s="31"/>
      <c r="D91" s="31"/>
      <c r="E91" s="31"/>
      <c r="F91" s="31"/>
      <c r="G91" s="31"/>
      <c r="H91" s="31"/>
      <c r="I91" s="31"/>
      <c r="J91" s="31"/>
      <c r="K91" s="31"/>
      <c r="L91" s="31"/>
      <c r="M91" s="31"/>
      <c r="N91" s="31"/>
      <c r="O91" s="31"/>
      <c r="P91" s="31"/>
      <c r="Q91" s="31"/>
      <c r="R91" s="31"/>
      <c r="S91" s="31"/>
      <c r="T91" s="31"/>
      <c r="U91" s="31"/>
      <c r="V91" s="31"/>
      <c r="W91" s="31"/>
      <c r="X91" s="31"/>
      <c r="Y91" s="31"/>
      <c r="Z91" s="32"/>
    </row>
    <row r="92" spans="2:26" x14ac:dyDescent="0.2">
      <c r="B92" s="30"/>
      <c r="C92" s="31"/>
      <c r="D92" s="31"/>
      <c r="E92" s="31"/>
      <c r="F92" s="31"/>
      <c r="G92" s="31"/>
      <c r="H92" s="31"/>
      <c r="I92" s="31"/>
      <c r="J92" s="31"/>
      <c r="K92" s="31"/>
      <c r="L92" s="31"/>
      <c r="M92" s="31"/>
      <c r="N92" s="31"/>
      <c r="O92" s="31"/>
      <c r="P92" s="31"/>
      <c r="Q92" s="31"/>
      <c r="R92" s="31"/>
      <c r="S92" s="31"/>
      <c r="T92" s="31"/>
      <c r="U92" s="31"/>
      <c r="V92" s="31"/>
      <c r="W92" s="31"/>
      <c r="X92" s="31"/>
      <c r="Y92" s="31"/>
      <c r="Z92" s="32"/>
    </row>
    <row r="93" spans="2:26" x14ac:dyDescent="0.2">
      <c r="B93" s="30"/>
      <c r="C93" s="31"/>
      <c r="D93" s="31"/>
      <c r="E93" s="31"/>
      <c r="F93" s="31"/>
      <c r="G93" s="31"/>
      <c r="H93" s="31"/>
      <c r="I93" s="31"/>
      <c r="J93" s="31"/>
      <c r="K93" s="31"/>
      <c r="L93" s="31"/>
      <c r="M93" s="31"/>
      <c r="N93" s="31"/>
      <c r="O93" s="31"/>
      <c r="P93" s="31"/>
      <c r="Q93" s="31"/>
      <c r="R93" s="31"/>
      <c r="S93" s="31"/>
      <c r="T93" s="31"/>
      <c r="U93" s="31"/>
      <c r="V93" s="31"/>
      <c r="W93" s="31"/>
      <c r="X93" s="31"/>
      <c r="Y93" s="31"/>
      <c r="Z93" s="32"/>
    </row>
    <row r="94" spans="2:26" x14ac:dyDescent="0.2">
      <c r="B94" s="30"/>
      <c r="C94" s="31"/>
      <c r="D94" s="31"/>
      <c r="E94" s="31"/>
      <c r="F94" s="31"/>
      <c r="G94" s="31"/>
      <c r="H94" s="31"/>
      <c r="I94" s="31"/>
      <c r="J94" s="31"/>
      <c r="K94" s="31"/>
      <c r="L94" s="31"/>
      <c r="M94" s="31"/>
      <c r="N94" s="31"/>
      <c r="O94" s="31"/>
      <c r="P94" s="31"/>
      <c r="Q94" s="31"/>
      <c r="R94" s="31"/>
      <c r="S94" s="31"/>
      <c r="T94" s="31"/>
      <c r="U94" s="31"/>
      <c r="V94" s="31"/>
      <c r="W94" s="31"/>
      <c r="X94" s="31"/>
      <c r="Y94" s="31"/>
      <c r="Z94" s="32"/>
    </row>
    <row r="95" spans="2:26" x14ac:dyDescent="0.2">
      <c r="B95" s="30"/>
      <c r="C95" s="31"/>
      <c r="D95" s="31"/>
      <c r="E95" s="31"/>
      <c r="F95" s="31"/>
      <c r="G95" s="31"/>
      <c r="H95" s="31"/>
      <c r="I95" s="31"/>
      <c r="J95" s="31"/>
      <c r="K95" s="31"/>
      <c r="L95" s="31"/>
      <c r="M95" s="31"/>
      <c r="N95" s="31"/>
      <c r="O95" s="31"/>
      <c r="P95" s="31"/>
      <c r="Q95" s="31"/>
      <c r="R95" s="31"/>
      <c r="S95" s="31"/>
      <c r="T95" s="31"/>
      <c r="U95" s="31"/>
      <c r="V95" s="31"/>
      <c r="W95" s="31"/>
      <c r="X95" s="31"/>
      <c r="Y95" s="31"/>
      <c r="Z95" s="32"/>
    </row>
    <row r="96" spans="2:26" x14ac:dyDescent="0.2">
      <c r="B96" s="30"/>
      <c r="C96" s="31"/>
      <c r="D96" s="31"/>
      <c r="E96" s="31"/>
      <c r="F96" s="31"/>
      <c r="G96" s="31"/>
      <c r="H96" s="31"/>
      <c r="I96" s="31"/>
      <c r="J96" s="31"/>
      <c r="K96" s="31"/>
      <c r="L96" s="31"/>
      <c r="M96" s="31"/>
      <c r="N96" s="31"/>
      <c r="O96" s="31"/>
      <c r="P96" s="31"/>
      <c r="Q96" s="31"/>
      <c r="R96" s="31"/>
      <c r="S96" s="31"/>
      <c r="T96" s="31"/>
      <c r="U96" s="31"/>
      <c r="V96" s="31"/>
      <c r="W96" s="31"/>
      <c r="X96" s="31"/>
      <c r="Y96" s="31"/>
      <c r="Z96" s="32"/>
    </row>
    <row r="97" spans="2:26" x14ac:dyDescent="0.2">
      <c r="B97" s="30"/>
      <c r="C97" s="31"/>
      <c r="D97" s="31"/>
      <c r="E97" s="31"/>
      <c r="F97" s="31"/>
      <c r="G97" s="31"/>
      <c r="H97" s="31"/>
      <c r="I97" s="31"/>
      <c r="J97" s="31"/>
      <c r="K97" s="31"/>
      <c r="L97" s="31"/>
      <c r="M97" s="31"/>
      <c r="N97" s="31"/>
      <c r="O97" s="31"/>
      <c r="P97" s="31"/>
      <c r="Q97" s="31"/>
      <c r="R97" s="31"/>
      <c r="S97" s="31"/>
      <c r="T97" s="31"/>
      <c r="U97" s="31"/>
      <c r="V97" s="31"/>
      <c r="W97" s="31"/>
      <c r="X97" s="31"/>
      <c r="Y97" s="31"/>
      <c r="Z97" s="32"/>
    </row>
    <row r="98" spans="2:26" x14ac:dyDescent="0.2">
      <c r="B98" s="30"/>
      <c r="C98" s="31"/>
      <c r="D98" s="31"/>
      <c r="E98" s="31"/>
      <c r="F98" s="31"/>
      <c r="G98" s="31"/>
      <c r="H98" s="31"/>
      <c r="I98" s="31"/>
      <c r="J98" s="31"/>
      <c r="K98" s="31"/>
      <c r="L98" s="31"/>
      <c r="M98" s="31"/>
      <c r="N98" s="31"/>
      <c r="O98" s="31"/>
      <c r="P98" s="31"/>
      <c r="Q98" s="31"/>
      <c r="R98" s="31"/>
      <c r="S98" s="31"/>
      <c r="T98" s="31"/>
      <c r="U98" s="31"/>
      <c r="V98" s="31"/>
      <c r="W98" s="31"/>
      <c r="X98" s="31"/>
      <c r="Y98" s="31"/>
      <c r="Z98" s="32"/>
    </row>
    <row r="99" spans="2:26" x14ac:dyDescent="0.2">
      <c r="B99" s="30"/>
      <c r="C99" s="31"/>
      <c r="D99" s="31"/>
      <c r="E99" s="31"/>
      <c r="F99" s="31"/>
      <c r="G99" s="31"/>
      <c r="H99" s="31"/>
      <c r="I99" s="31"/>
      <c r="J99" s="31"/>
      <c r="K99" s="31"/>
      <c r="L99" s="31"/>
      <c r="M99" s="31"/>
      <c r="N99" s="31"/>
      <c r="O99" s="31"/>
      <c r="P99" s="31"/>
      <c r="Q99" s="31"/>
      <c r="R99" s="31"/>
      <c r="S99" s="31"/>
      <c r="T99" s="31"/>
      <c r="U99" s="31"/>
      <c r="V99" s="31"/>
      <c r="W99" s="31"/>
      <c r="X99" s="31"/>
      <c r="Y99" s="31"/>
      <c r="Z99" s="32"/>
    </row>
    <row r="100" spans="2:26" x14ac:dyDescent="0.2">
      <c r="B100" s="30"/>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2"/>
    </row>
    <row r="101" spans="2:26" x14ac:dyDescent="0.2">
      <c r="B101" s="30"/>
      <c r="C101" s="31"/>
      <c r="D101" s="31"/>
      <c r="E101" s="31"/>
      <c r="F101" s="31"/>
      <c r="G101" s="31"/>
      <c r="H101" s="31"/>
      <c r="I101" s="31"/>
      <c r="J101" s="31"/>
      <c r="K101" s="31"/>
      <c r="L101" s="31"/>
      <c r="M101" s="31"/>
      <c r="N101" s="31"/>
      <c r="O101" s="31"/>
      <c r="P101" s="31"/>
      <c r="Q101" s="31"/>
      <c r="R101" s="31"/>
      <c r="S101" s="31"/>
      <c r="T101" s="31"/>
      <c r="U101" s="31"/>
      <c r="V101" s="31"/>
      <c r="W101" s="31"/>
      <c r="X101" s="31"/>
      <c r="Y101" s="31"/>
      <c r="Z101" s="32"/>
    </row>
    <row r="102" spans="2:26" x14ac:dyDescent="0.2">
      <c r="B102" s="30"/>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2"/>
    </row>
    <row r="103" spans="2:26" x14ac:dyDescent="0.2">
      <c r="B103" s="30"/>
      <c r="C103" s="31"/>
      <c r="D103" s="31"/>
      <c r="E103" s="31"/>
      <c r="F103" s="31"/>
      <c r="G103" s="31"/>
      <c r="H103" s="31"/>
      <c r="I103" s="31"/>
      <c r="J103" s="31"/>
      <c r="K103" s="31"/>
      <c r="L103" s="31"/>
      <c r="M103" s="31"/>
      <c r="N103" s="31"/>
      <c r="O103" s="31"/>
      <c r="P103" s="31"/>
      <c r="Q103" s="31"/>
      <c r="R103" s="31"/>
      <c r="S103" s="31"/>
      <c r="T103" s="31"/>
      <c r="U103" s="31"/>
      <c r="V103" s="31"/>
      <c r="W103" s="31"/>
      <c r="X103" s="31"/>
      <c r="Y103" s="31"/>
      <c r="Z103" s="32"/>
    </row>
    <row r="104" spans="2:26" x14ac:dyDescent="0.2">
      <c r="B104" s="30"/>
      <c r="C104" s="31"/>
      <c r="D104" s="31"/>
      <c r="E104" s="31"/>
      <c r="F104" s="31"/>
      <c r="G104" s="31"/>
      <c r="H104" s="31"/>
      <c r="I104" s="31"/>
      <c r="J104" s="31"/>
      <c r="K104" s="31"/>
      <c r="L104" s="31"/>
      <c r="M104" s="31"/>
      <c r="N104" s="31"/>
      <c r="O104" s="31"/>
      <c r="P104" s="31"/>
      <c r="Q104" s="31"/>
      <c r="R104" s="31"/>
      <c r="S104" s="31"/>
      <c r="T104" s="31"/>
      <c r="U104" s="31"/>
      <c r="V104" s="31"/>
      <c r="W104" s="31"/>
      <c r="X104" s="31"/>
      <c r="Y104" s="31"/>
      <c r="Z104" s="32"/>
    </row>
    <row r="105" spans="2:26" x14ac:dyDescent="0.2">
      <c r="B105" s="30"/>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2"/>
    </row>
    <row r="106" spans="2:26" x14ac:dyDescent="0.2">
      <c r="B106" s="30"/>
      <c r="C106" s="31"/>
      <c r="D106" s="31"/>
      <c r="E106" s="31"/>
      <c r="F106" s="31"/>
      <c r="G106" s="31"/>
      <c r="H106" s="31"/>
      <c r="I106" s="31"/>
      <c r="J106" s="31"/>
      <c r="K106" s="31"/>
      <c r="L106" s="31"/>
      <c r="M106" s="31"/>
      <c r="N106" s="31"/>
      <c r="O106" s="31"/>
      <c r="P106" s="31"/>
      <c r="Q106" s="31"/>
      <c r="R106" s="31"/>
      <c r="S106" s="31"/>
      <c r="T106" s="31"/>
      <c r="U106" s="31"/>
      <c r="V106" s="31"/>
      <c r="W106" s="31"/>
      <c r="X106" s="31"/>
      <c r="Y106" s="31"/>
      <c r="Z106" s="32"/>
    </row>
    <row r="107" spans="2:26" x14ac:dyDescent="0.2">
      <c r="B107" s="30"/>
      <c r="C107" s="31"/>
      <c r="D107" s="31"/>
      <c r="E107" s="31"/>
      <c r="F107" s="31"/>
      <c r="G107" s="31"/>
      <c r="H107" s="31"/>
      <c r="I107" s="31"/>
      <c r="J107" s="31"/>
      <c r="K107" s="31"/>
      <c r="L107" s="31"/>
      <c r="M107" s="31"/>
      <c r="N107" s="31"/>
      <c r="O107" s="31"/>
      <c r="P107" s="31"/>
      <c r="Q107" s="31"/>
      <c r="R107" s="31"/>
      <c r="S107" s="31"/>
      <c r="T107" s="31"/>
      <c r="U107" s="31"/>
      <c r="V107" s="31"/>
      <c r="W107" s="31"/>
      <c r="X107" s="31"/>
      <c r="Y107" s="31"/>
      <c r="Z107" s="32"/>
    </row>
    <row r="108" spans="2:26" x14ac:dyDescent="0.2">
      <c r="B108" s="30"/>
      <c r="C108" s="31"/>
      <c r="D108" s="31"/>
      <c r="E108" s="31"/>
      <c r="F108" s="31"/>
      <c r="G108" s="31"/>
      <c r="H108" s="31"/>
      <c r="I108" s="31"/>
      <c r="J108" s="31"/>
      <c r="K108" s="31"/>
      <c r="L108" s="31"/>
      <c r="M108" s="31"/>
      <c r="N108" s="31"/>
      <c r="O108" s="31"/>
      <c r="P108" s="31"/>
      <c r="Q108" s="31"/>
      <c r="R108" s="31"/>
      <c r="S108" s="31"/>
      <c r="T108" s="31"/>
      <c r="U108" s="31"/>
      <c r="V108" s="31"/>
      <c r="W108" s="31"/>
      <c r="X108" s="31"/>
      <c r="Y108" s="31"/>
      <c r="Z108" s="32"/>
    </row>
    <row r="109" spans="2:26" x14ac:dyDescent="0.2">
      <c r="B109" s="30"/>
      <c r="C109" s="31"/>
      <c r="D109" s="31"/>
      <c r="E109" s="31"/>
      <c r="F109" s="31"/>
      <c r="G109" s="31"/>
      <c r="H109" s="31"/>
      <c r="I109" s="31"/>
      <c r="J109" s="31"/>
      <c r="K109" s="31"/>
      <c r="L109" s="31"/>
      <c r="M109" s="31"/>
      <c r="N109" s="31"/>
      <c r="O109" s="31"/>
      <c r="P109" s="31"/>
      <c r="Q109" s="31"/>
      <c r="R109" s="31"/>
      <c r="S109" s="31"/>
      <c r="T109" s="31"/>
      <c r="U109" s="31"/>
      <c r="V109" s="31"/>
      <c r="W109" s="31"/>
      <c r="X109" s="31"/>
      <c r="Y109" s="31"/>
      <c r="Z109" s="32"/>
    </row>
    <row r="110" spans="2:26" x14ac:dyDescent="0.2">
      <c r="B110" s="30"/>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2"/>
    </row>
    <row r="111" spans="2:26" x14ac:dyDescent="0.2">
      <c r="B111" s="30"/>
      <c r="C111" s="31"/>
      <c r="D111" s="31"/>
      <c r="E111" s="31"/>
      <c r="F111" s="31"/>
      <c r="G111" s="31"/>
      <c r="H111" s="31"/>
      <c r="I111" s="31"/>
      <c r="J111" s="31"/>
      <c r="K111" s="31"/>
      <c r="L111" s="31"/>
      <c r="M111" s="31"/>
      <c r="N111" s="31"/>
      <c r="O111" s="31"/>
      <c r="P111" s="31"/>
      <c r="Q111" s="31"/>
      <c r="R111" s="31"/>
      <c r="S111" s="31"/>
      <c r="T111" s="31"/>
      <c r="U111" s="31"/>
      <c r="V111" s="31"/>
      <c r="W111" s="31"/>
      <c r="X111" s="31"/>
      <c r="Y111" s="31"/>
      <c r="Z111" s="32"/>
    </row>
    <row r="112" spans="2:26" x14ac:dyDescent="0.2">
      <c r="B112" s="30"/>
      <c r="C112" s="31"/>
      <c r="D112" s="31"/>
      <c r="E112" s="31"/>
      <c r="F112" s="31"/>
      <c r="G112" s="31"/>
      <c r="H112" s="31"/>
      <c r="I112" s="31"/>
      <c r="J112" s="31"/>
      <c r="K112" s="31"/>
      <c r="L112" s="31"/>
      <c r="M112" s="31"/>
      <c r="N112" s="31"/>
      <c r="O112" s="31"/>
      <c r="P112" s="31"/>
      <c r="Q112" s="31"/>
      <c r="R112" s="31"/>
      <c r="S112" s="31"/>
      <c r="T112" s="31"/>
      <c r="U112" s="31"/>
      <c r="V112" s="31"/>
      <c r="W112" s="31"/>
      <c r="X112" s="31"/>
      <c r="Y112" s="31"/>
      <c r="Z112" s="32"/>
    </row>
    <row r="113" spans="2:26" x14ac:dyDescent="0.2">
      <c r="B113" s="30"/>
      <c r="C113" s="31"/>
      <c r="D113" s="31"/>
      <c r="E113" s="31"/>
      <c r="F113" s="31"/>
      <c r="G113" s="31"/>
      <c r="H113" s="31"/>
      <c r="I113" s="31"/>
      <c r="J113" s="31"/>
      <c r="K113" s="31"/>
      <c r="L113" s="31"/>
      <c r="M113" s="31"/>
      <c r="N113" s="31"/>
      <c r="O113" s="31"/>
      <c r="P113" s="31"/>
      <c r="Q113" s="31"/>
      <c r="R113" s="31"/>
      <c r="S113" s="31"/>
      <c r="T113" s="31"/>
      <c r="U113" s="31"/>
      <c r="V113" s="31"/>
      <c r="W113" s="31"/>
      <c r="X113" s="31"/>
      <c r="Y113" s="31"/>
      <c r="Z113" s="32"/>
    </row>
    <row r="114" spans="2:26" x14ac:dyDescent="0.2">
      <c r="B114" s="30"/>
      <c r="C114" s="31"/>
      <c r="D114" s="31"/>
      <c r="E114" s="31"/>
      <c r="F114" s="31"/>
      <c r="G114" s="31"/>
      <c r="H114" s="31"/>
      <c r="I114" s="31"/>
      <c r="J114" s="31"/>
      <c r="K114" s="31"/>
      <c r="L114" s="31"/>
      <c r="M114" s="31"/>
      <c r="N114" s="31"/>
      <c r="O114" s="31"/>
      <c r="P114" s="31"/>
      <c r="Q114" s="31"/>
      <c r="R114" s="31"/>
      <c r="S114" s="31"/>
      <c r="T114" s="31"/>
      <c r="U114" s="31"/>
      <c r="V114" s="31"/>
      <c r="W114" s="31"/>
      <c r="X114" s="31"/>
      <c r="Y114" s="31"/>
      <c r="Z114" s="32"/>
    </row>
    <row r="115" spans="2:26" x14ac:dyDescent="0.2">
      <c r="B115" s="30"/>
      <c r="C115" s="31"/>
      <c r="D115" s="31"/>
      <c r="E115" s="31"/>
      <c r="F115" s="31"/>
      <c r="G115" s="31"/>
      <c r="H115" s="31"/>
      <c r="I115" s="31"/>
      <c r="J115" s="31"/>
      <c r="K115" s="31"/>
      <c r="L115" s="31"/>
      <c r="M115" s="31"/>
      <c r="N115" s="31"/>
      <c r="O115" s="31"/>
      <c r="P115" s="31"/>
      <c r="Q115" s="31"/>
      <c r="R115" s="31"/>
      <c r="S115" s="31"/>
      <c r="T115" s="31"/>
      <c r="U115" s="31"/>
      <c r="V115" s="31"/>
      <c r="W115" s="31"/>
      <c r="X115" s="31"/>
      <c r="Y115" s="31"/>
      <c r="Z115" s="32"/>
    </row>
    <row r="116" spans="2:26" x14ac:dyDescent="0.2">
      <c r="B116" s="30"/>
      <c r="C116" s="31"/>
      <c r="D116" s="31"/>
      <c r="E116" s="31"/>
      <c r="F116" s="31"/>
      <c r="G116" s="31"/>
      <c r="H116" s="31"/>
      <c r="I116" s="31"/>
      <c r="J116" s="31"/>
      <c r="K116" s="31"/>
      <c r="L116" s="31"/>
      <c r="M116" s="31"/>
      <c r="N116" s="31"/>
      <c r="O116" s="31"/>
      <c r="P116" s="31"/>
      <c r="Q116" s="31"/>
      <c r="R116" s="31"/>
      <c r="S116" s="31"/>
      <c r="T116" s="31"/>
      <c r="U116" s="31"/>
      <c r="V116" s="31"/>
      <c r="W116" s="31"/>
      <c r="X116" s="31"/>
      <c r="Y116" s="31"/>
      <c r="Z116" s="32"/>
    </row>
    <row r="117" spans="2:26" x14ac:dyDescent="0.2">
      <c r="B117" s="30"/>
      <c r="C117" s="31"/>
      <c r="D117" s="31"/>
      <c r="E117" s="31"/>
      <c r="F117" s="31"/>
      <c r="G117" s="31"/>
      <c r="H117" s="31"/>
      <c r="I117" s="31"/>
      <c r="J117" s="31"/>
      <c r="K117" s="31"/>
      <c r="L117" s="31"/>
      <c r="M117" s="31"/>
      <c r="N117" s="31"/>
      <c r="O117" s="31"/>
      <c r="P117" s="31"/>
      <c r="Q117" s="31"/>
      <c r="R117" s="31"/>
      <c r="S117" s="31"/>
      <c r="T117" s="31"/>
      <c r="U117" s="31"/>
      <c r="V117" s="31"/>
      <c r="W117" s="31"/>
      <c r="X117" s="31"/>
      <c r="Y117" s="31"/>
      <c r="Z117" s="32"/>
    </row>
    <row r="118" spans="2:26" x14ac:dyDescent="0.2">
      <c r="B118" s="30"/>
      <c r="C118" s="31"/>
      <c r="D118" s="31"/>
      <c r="E118" s="31"/>
      <c r="F118" s="31"/>
      <c r="G118" s="31"/>
      <c r="H118" s="31"/>
      <c r="I118" s="31"/>
      <c r="J118" s="31"/>
      <c r="K118" s="31"/>
      <c r="L118" s="31"/>
      <c r="M118" s="31"/>
      <c r="N118" s="31"/>
      <c r="O118" s="31"/>
      <c r="P118" s="31"/>
      <c r="Q118" s="31"/>
      <c r="R118" s="31"/>
      <c r="S118" s="31"/>
      <c r="T118" s="31"/>
      <c r="U118" s="31"/>
      <c r="V118" s="31"/>
      <c r="W118" s="31"/>
      <c r="X118" s="31"/>
      <c r="Y118" s="31"/>
      <c r="Z118" s="32"/>
    </row>
    <row r="119" spans="2:26" x14ac:dyDescent="0.2">
      <c r="B119" s="30"/>
      <c r="C119" s="31"/>
      <c r="D119" s="31"/>
      <c r="E119" s="31"/>
      <c r="F119" s="31"/>
      <c r="G119" s="31"/>
      <c r="H119" s="31"/>
      <c r="I119" s="31"/>
      <c r="J119" s="31"/>
      <c r="K119" s="31"/>
      <c r="L119" s="31"/>
      <c r="M119" s="31"/>
      <c r="N119" s="31"/>
      <c r="O119" s="31"/>
      <c r="P119" s="31"/>
      <c r="Q119" s="31"/>
      <c r="R119" s="31"/>
      <c r="S119" s="31"/>
      <c r="T119" s="31"/>
      <c r="U119" s="31"/>
      <c r="V119" s="31"/>
      <c r="W119" s="31"/>
      <c r="X119" s="31"/>
      <c r="Y119" s="31"/>
      <c r="Z119" s="32"/>
    </row>
    <row r="120" spans="2:26" x14ac:dyDescent="0.2">
      <c r="B120" s="30"/>
      <c r="C120" s="31"/>
      <c r="D120" s="31"/>
      <c r="E120" s="31"/>
      <c r="F120" s="31"/>
      <c r="G120" s="31"/>
      <c r="H120" s="31"/>
      <c r="I120" s="31"/>
      <c r="J120" s="31"/>
      <c r="K120" s="31"/>
      <c r="L120" s="31"/>
      <c r="M120" s="31"/>
      <c r="N120" s="31"/>
      <c r="O120" s="31"/>
      <c r="P120" s="31"/>
      <c r="Q120" s="31"/>
      <c r="R120" s="31"/>
      <c r="S120" s="31"/>
      <c r="T120" s="31"/>
      <c r="U120" s="31"/>
      <c r="V120" s="31"/>
      <c r="W120" s="31"/>
      <c r="X120" s="31"/>
      <c r="Y120" s="31"/>
      <c r="Z120" s="32"/>
    </row>
    <row r="121" spans="2:26" x14ac:dyDescent="0.2">
      <c r="B121" s="30"/>
      <c r="C121" s="31"/>
      <c r="D121" s="31"/>
      <c r="E121" s="31"/>
      <c r="F121" s="31"/>
      <c r="G121" s="31"/>
      <c r="H121" s="31"/>
      <c r="I121" s="31"/>
      <c r="J121" s="31"/>
      <c r="K121" s="31"/>
      <c r="L121" s="31"/>
      <c r="M121" s="31"/>
      <c r="N121" s="31"/>
      <c r="O121" s="31"/>
      <c r="P121" s="31"/>
      <c r="Q121" s="31"/>
      <c r="R121" s="31"/>
      <c r="S121" s="31"/>
      <c r="T121" s="31"/>
      <c r="U121" s="31"/>
      <c r="V121" s="31"/>
      <c r="W121" s="31"/>
      <c r="X121" s="31"/>
      <c r="Y121" s="31"/>
      <c r="Z121" s="32"/>
    </row>
    <row r="122" spans="2:26" x14ac:dyDescent="0.2">
      <c r="B122" s="30"/>
      <c r="C122" s="31"/>
      <c r="D122" s="31"/>
      <c r="E122" s="31"/>
      <c r="F122" s="31"/>
      <c r="G122" s="31"/>
      <c r="H122" s="31"/>
      <c r="I122" s="31"/>
      <c r="J122" s="31"/>
      <c r="K122" s="31"/>
      <c r="L122" s="31"/>
      <c r="M122" s="31"/>
      <c r="N122" s="31"/>
      <c r="O122" s="31"/>
      <c r="P122" s="31"/>
      <c r="Q122" s="31"/>
      <c r="R122" s="31"/>
      <c r="S122" s="31"/>
      <c r="T122" s="31"/>
      <c r="U122" s="31"/>
      <c r="V122" s="31"/>
      <c r="W122" s="31"/>
      <c r="X122" s="31"/>
      <c r="Y122" s="31"/>
      <c r="Z122" s="32"/>
    </row>
    <row r="123" spans="2:26" x14ac:dyDescent="0.2">
      <c r="B123" s="30"/>
      <c r="C123" s="31"/>
      <c r="D123" s="31"/>
      <c r="E123" s="31"/>
      <c r="F123" s="31"/>
      <c r="G123" s="31"/>
      <c r="H123" s="31"/>
      <c r="I123" s="31"/>
      <c r="J123" s="31"/>
      <c r="K123" s="31"/>
      <c r="L123" s="31"/>
      <c r="M123" s="31"/>
      <c r="N123" s="31"/>
      <c r="O123" s="31"/>
      <c r="P123" s="31"/>
      <c r="Q123" s="31"/>
      <c r="R123" s="31"/>
      <c r="S123" s="31"/>
      <c r="T123" s="31"/>
      <c r="U123" s="31"/>
      <c r="V123" s="31"/>
      <c r="W123" s="31"/>
      <c r="X123" s="31"/>
      <c r="Y123" s="31"/>
      <c r="Z123" s="32"/>
    </row>
    <row r="124" spans="2:26" x14ac:dyDescent="0.2">
      <c r="B124" s="30"/>
      <c r="C124" s="31"/>
      <c r="D124" s="31"/>
      <c r="E124" s="31"/>
      <c r="F124" s="31"/>
      <c r="G124" s="31"/>
      <c r="H124" s="31"/>
      <c r="I124" s="31"/>
      <c r="J124" s="31"/>
      <c r="K124" s="31"/>
      <c r="L124" s="31"/>
      <c r="M124" s="31"/>
      <c r="N124" s="31"/>
      <c r="O124" s="31"/>
      <c r="P124" s="31"/>
      <c r="Q124" s="31"/>
      <c r="R124" s="31"/>
      <c r="S124" s="31"/>
      <c r="T124" s="31"/>
      <c r="U124" s="31"/>
      <c r="V124" s="31"/>
      <c r="W124" s="31"/>
      <c r="X124" s="31"/>
      <c r="Y124" s="31"/>
      <c r="Z124" s="32"/>
    </row>
    <row r="125" spans="2:26" x14ac:dyDescent="0.2">
      <c r="B125" s="30"/>
      <c r="C125" s="31"/>
      <c r="D125" s="31"/>
      <c r="E125" s="31"/>
      <c r="F125" s="31"/>
      <c r="G125" s="31"/>
      <c r="H125" s="31"/>
      <c r="I125" s="31"/>
      <c r="J125" s="31"/>
      <c r="K125" s="31"/>
      <c r="L125" s="31"/>
      <c r="M125" s="31"/>
      <c r="N125" s="31"/>
      <c r="O125" s="31"/>
      <c r="P125" s="31"/>
      <c r="Q125" s="31"/>
      <c r="R125" s="31"/>
      <c r="S125" s="31"/>
      <c r="T125" s="31"/>
      <c r="U125" s="31"/>
      <c r="V125" s="31"/>
      <c r="W125" s="31"/>
      <c r="X125" s="31"/>
      <c r="Y125" s="31"/>
      <c r="Z125" s="32"/>
    </row>
    <row r="126" spans="2:26" x14ac:dyDescent="0.2">
      <c r="B126" s="30"/>
      <c r="C126" s="31"/>
      <c r="D126" s="31"/>
      <c r="E126" s="31"/>
      <c r="F126" s="31"/>
      <c r="G126" s="31"/>
      <c r="H126" s="31"/>
      <c r="I126" s="31"/>
      <c r="J126" s="31"/>
      <c r="K126" s="31"/>
      <c r="L126" s="31"/>
      <c r="M126" s="31"/>
      <c r="N126" s="31"/>
      <c r="O126" s="31"/>
      <c r="P126" s="31"/>
      <c r="Q126" s="31"/>
      <c r="R126" s="31"/>
      <c r="S126" s="31"/>
      <c r="T126" s="31"/>
      <c r="U126" s="31"/>
      <c r="V126" s="31"/>
      <c r="W126" s="31"/>
      <c r="X126" s="31"/>
      <c r="Y126" s="31"/>
      <c r="Z126" s="32"/>
    </row>
    <row r="127" spans="2:26" x14ac:dyDescent="0.2">
      <c r="B127" s="30"/>
      <c r="C127" s="31"/>
      <c r="D127" s="31"/>
      <c r="E127" s="31"/>
      <c r="F127" s="31"/>
      <c r="G127" s="31"/>
      <c r="H127" s="31"/>
      <c r="I127" s="31"/>
      <c r="J127" s="31"/>
      <c r="K127" s="31"/>
      <c r="L127" s="31"/>
      <c r="M127" s="31"/>
      <c r="N127" s="31"/>
      <c r="O127" s="31"/>
      <c r="P127" s="31"/>
      <c r="Q127" s="31"/>
      <c r="R127" s="31"/>
      <c r="S127" s="31"/>
      <c r="T127" s="31"/>
      <c r="U127" s="31"/>
      <c r="V127" s="31"/>
      <c r="W127" s="31"/>
      <c r="X127" s="31"/>
      <c r="Y127" s="31"/>
      <c r="Z127" s="32"/>
    </row>
    <row r="128" spans="2:26" x14ac:dyDescent="0.2">
      <c r="B128" s="30"/>
      <c r="C128" s="31"/>
      <c r="D128" s="31"/>
      <c r="E128" s="31"/>
      <c r="F128" s="31"/>
      <c r="G128" s="31"/>
      <c r="H128" s="31"/>
      <c r="I128" s="31"/>
      <c r="J128" s="31"/>
      <c r="K128" s="31"/>
      <c r="L128" s="31"/>
      <c r="M128" s="31"/>
      <c r="N128" s="31"/>
      <c r="O128" s="31"/>
      <c r="P128" s="31"/>
      <c r="Q128" s="31"/>
      <c r="R128" s="31"/>
      <c r="S128" s="31"/>
      <c r="T128" s="31"/>
      <c r="U128" s="31"/>
      <c r="V128" s="31"/>
      <c r="W128" s="31"/>
      <c r="X128" s="31"/>
      <c r="Y128" s="31"/>
      <c r="Z128" s="32"/>
    </row>
    <row r="129" spans="2:26" x14ac:dyDescent="0.2">
      <c r="B129" s="30"/>
      <c r="C129" s="31"/>
      <c r="D129" s="31"/>
      <c r="E129" s="31"/>
      <c r="F129" s="31"/>
      <c r="G129" s="31"/>
      <c r="H129" s="31"/>
      <c r="I129" s="31"/>
      <c r="J129" s="31"/>
      <c r="K129" s="31"/>
      <c r="L129" s="31"/>
      <c r="M129" s="31"/>
      <c r="N129" s="31"/>
      <c r="O129" s="31"/>
      <c r="P129" s="31"/>
      <c r="Q129" s="31"/>
      <c r="R129" s="31"/>
      <c r="S129" s="31"/>
      <c r="T129" s="31"/>
      <c r="U129" s="31"/>
      <c r="V129" s="31"/>
      <c r="W129" s="31"/>
      <c r="X129" s="31"/>
      <c r="Y129" s="31"/>
      <c r="Z129" s="32"/>
    </row>
    <row r="130" spans="2:26" x14ac:dyDescent="0.2">
      <c r="B130" s="30"/>
      <c r="C130" s="31"/>
      <c r="D130" s="31"/>
      <c r="E130" s="31"/>
      <c r="F130" s="31"/>
      <c r="G130" s="31"/>
      <c r="H130" s="31"/>
      <c r="I130" s="31"/>
      <c r="J130" s="31"/>
      <c r="K130" s="31"/>
      <c r="L130" s="31"/>
      <c r="M130" s="31"/>
      <c r="N130" s="31"/>
      <c r="O130" s="31"/>
      <c r="P130" s="31"/>
      <c r="Q130" s="31"/>
      <c r="R130" s="31"/>
      <c r="S130" s="31"/>
      <c r="T130" s="31"/>
      <c r="U130" s="31"/>
      <c r="V130" s="31"/>
      <c r="W130" s="31"/>
      <c r="X130" s="31"/>
      <c r="Y130" s="31"/>
      <c r="Z130" s="32"/>
    </row>
    <row r="131" spans="2:26" x14ac:dyDescent="0.2">
      <c r="B131" s="30"/>
      <c r="C131" s="31"/>
      <c r="D131" s="31"/>
      <c r="E131" s="31"/>
      <c r="F131" s="31"/>
      <c r="G131" s="31"/>
      <c r="H131" s="31"/>
      <c r="I131" s="31"/>
      <c r="J131" s="31"/>
      <c r="K131" s="31"/>
      <c r="L131" s="31"/>
      <c r="M131" s="31"/>
      <c r="N131" s="31"/>
      <c r="O131" s="31"/>
      <c r="P131" s="31"/>
      <c r="Q131" s="31"/>
      <c r="R131" s="31"/>
      <c r="S131" s="31"/>
      <c r="T131" s="31"/>
      <c r="U131" s="31"/>
      <c r="V131" s="31"/>
      <c r="W131" s="31"/>
      <c r="X131" s="31"/>
      <c r="Y131" s="31"/>
      <c r="Z131" s="32"/>
    </row>
    <row r="132" spans="2:26" x14ac:dyDescent="0.2">
      <c r="B132" s="30"/>
      <c r="C132" s="31"/>
      <c r="D132" s="31"/>
      <c r="E132" s="31"/>
      <c r="F132" s="31"/>
      <c r="G132" s="31"/>
      <c r="H132" s="31"/>
      <c r="I132" s="31"/>
      <c r="J132" s="31"/>
      <c r="K132" s="31"/>
      <c r="L132" s="31"/>
      <c r="M132" s="31"/>
      <c r="N132" s="31"/>
      <c r="O132" s="31"/>
      <c r="P132" s="31"/>
      <c r="Q132" s="31"/>
      <c r="R132" s="31"/>
      <c r="S132" s="31"/>
      <c r="T132" s="31"/>
      <c r="U132" s="31"/>
      <c r="V132" s="31"/>
      <c r="W132" s="31"/>
      <c r="X132" s="31"/>
      <c r="Y132" s="31"/>
      <c r="Z132" s="32"/>
    </row>
    <row r="133" spans="2:26" x14ac:dyDescent="0.2">
      <c r="B133" s="30"/>
      <c r="C133" s="31"/>
      <c r="D133" s="31"/>
      <c r="E133" s="31"/>
      <c r="F133" s="31"/>
      <c r="G133" s="31"/>
      <c r="H133" s="31"/>
      <c r="I133" s="31"/>
      <c r="J133" s="31"/>
      <c r="K133" s="31"/>
      <c r="L133" s="31"/>
      <c r="M133" s="31"/>
      <c r="N133" s="31"/>
      <c r="O133" s="31"/>
      <c r="P133" s="31"/>
      <c r="Q133" s="31"/>
      <c r="R133" s="31"/>
      <c r="S133" s="31"/>
      <c r="T133" s="31"/>
      <c r="U133" s="31"/>
      <c r="V133" s="31"/>
      <c r="W133" s="31"/>
      <c r="X133" s="31"/>
      <c r="Y133" s="31"/>
      <c r="Z133" s="32"/>
    </row>
    <row r="134" spans="2:26" x14ac:dyDescent="0.2">
      <c r="B134" s="30"/>
      <c r="C134" s="31"/>
      <c r="D134" s="31"/>
      <c r="E134" s="31"/>
      <c r="F134" s="31"/>
      <c r="G134" s="31"/>
      <c r="H134" s="31"/>
      <c r="I134" s="31"/>
      <c r="J134" s="31"/>
      <c r="K134" s="31"/>
      <c r="L134" s="31"/>
      <c r="M134" s="31"/>
      <c r="N134" s="31"/>
      <c r="O134" s="31"/>
      <c r="P134" s="31"/>
      <c r="Q134" s="31"/>
      <c r="R134" s="31"/>
      <c r="S134" s="31"/>
      <c r="T134" s="31"/>
      <c r="U134" s="31"/>
      <c r="V134" s="31"/>
      <c r="W134" s="31"/>
      <c r="X134" s="31"/>
      <c r="Y134" s="31"/>
      <c r="Z134" s="32"/>
    </row>
    <row r="135" spans="2:26" x14ac:dyDescent="0.2">
      <c r="B135" s="30"/>
      <c r="C135" s="31"/>
      <c r="D135" s="31"/>
      <c r="E135" s="31"/>
      <c r="F135" s="31"/>
      <c r="G135" s="31"/>
      <c r="H135" s="31"/>
      <c r="I135" s="31"/>
      <c r="J135" s="31"/>
      <c r="K135" s="31"/>
      <c r="L135" s="31"/>
      <c r="M135" s="31"/>
      <c r="N135" s="31"/>
      <c r="O135" s="31"/>
      <c r="P135" s="31"/>
      <c r="Q135" s="31"/>
      <c r="R135" s="31"/>
      <c r="S135" s="31"/>
      <c r="T135" s="31"/>
      <c r="U135" s="31"/>
      <c r="V135" s="31"/>
      <c r="W135" s="31"/>
      <c r="X135" s="31"/>
      <c r="Y135" s="31"/>
      <c r="Z135" s="32"/>
    </row>
    <row r="136" spans="2:26" x14ac:dyDescent="0.2">
      <c r="B136" s="30"/>
      <c r="C136" s="31"/>
      <c r="D136" s="31"/>
      <c r="E136" s="31"/>
      <c r="F136" s="31"/>
      <c r="G136" s="31"/>
      <c r="H136" s="31"/>
      <c r="I136" s="31"/>
      <c r="J136" s="31"/>
      <c r="K136" s="31"/>
      <c r="L136" s="31"/>
      <c r="M136" s="31"/>
      <c r="N136" s="31"/>
      <c r="O136" s="31"/>
      <c r="P136" s="31"/>
      <c r="Q136" s="31"/>
      <c r="R136" s="31"/>
      <c r="S136" s="31"/>
      <c r="T136" s="31"/>
      <c r="U136" s="31"/>
      <c r="V136" s="31"/>
      <c r="W136" s="31"/>
      <c r="X136" s="31"/>
      <c r="Y136" s="31"/>
      <c r="Z136" s="32"/>
    </row>
    <row r="137" spans="2:26" x14ac:dyDescent="0.2">
      <c r="B137" s="30"/>
      <c r="C137" s="31"/>
      <c r="D137" s="31"/>
      <c r="E137" s="31"/>
      <c r="F137" s="31"/>
      <c r="G137" s="31"/>
      <c r="H137" s="31"/>
      <c r="I137" s="31"/>
      <c r="J137" s="31"/>
      <c r="K137" s="31"/>
      <c r="L137" s="31"/>
      <c r="M137" s="31"/>
      <c r="N137" s="31"/>
      <c r="O137" s="31"/>
      <c r="P137" s="31"/>
      <c r="Q137" s="31"/>
      <c r="R137" s="31"/>
      <c r="S137" s="31"/>
      <c r="T137" s="31"/>
      <c r="U137" s="31"/>
      <c r="V137" s="31"/>
      <c r="W137" s="31"/>
      <c r="X137" s="31"/>
      <c r="Y137" s="31"/>
      <c r="Z137" s="32"/>
    </row>
    <row r="138" spans="2:26" x14ac:dyDescent="0.2">
      <c r="B138" s="30"/>
      <c r="C138" s="31"/>
      <c r="D138" s="31"/>
      <c r="E138" s="31"/>
      <c r="F138" s="31"/>
      <c r="G138" s="31"/>
      <c r="H138" s="31"/>
      <c r="I138" s="31"/>
      <c r="J138" s="31"/>
      <c r="K138" s="31"/>
      <c r="L138" s="31"/>
      <c r="M138" s="31"/>
      <c r="N138" s="31"/>
      <c r="O138" s="31"/>
      <c r="P138" s="31"/>
      <c r="Q138" s="31"/>
      <c r="R138" s="31"/>
      <c r="S138" s="31"/>
      <c r="T138" s="31"/>
      <c r="U138" s="31"/>
      <c r="V138" s="31"/>
      <c r="W138" s="31"/>
      <c r="X138" s="31"/>
      <c r="Y138" s="31"/>
      <c r="Z138" s="32"/>
    </row>
    <row r="139" spans="2:26" x14ac:dyDescent="0.2">
      <c r="B139" s="30"/>
      <c r="C139" s="31"/>
      <c r="D139" s="31"/>
      <c r="E139" s="31"/>
      <c r="F139" s="31"/>
      <c r="G139" s="31"/>
      <c r="H139" s="31"/>
      <c r="I139" s="31"/>
      <c r="J139" s="31"/>
      <c r="K139" s="31"/>
      <c r="L139" s="31"/>
      <c r="M139" s="31"/>
      <c r="N139" s="31"/>
      <c r="O139" s="31"/>
      <c r="P139" s="31"/>
      <c r="Q139" s="31"/>
      <c r="R139" s="31"/>
      <c r="S139" s="31"/>
      <c r="T139" s="31"/>
      <c r="U139" s="31"/>
      <c r="V139" s="31"/>
      <c r="W139" s="31"/>
      <c r="X139" s="31"/>
      <c r="Y139" s="31"/>
      <c r="Z139" s="32"/>
    </row>
    <row r="140" spans="2:26" x14ac:dyDescent="0.2">
      <c r="B140" s="30"/>
      <c r="C140" s="31"/>
      <c r="D140" s="31"/>
      <c r="E140" s="31"/>
      <c r="F140" s="31"/>
      <c r="G140" s="31"/>
      <c r="H140" s="31"/>
      <c r="I140" s="31"/>
      <c r="J140" s="31"/>
      <c r="K140" s="31"/>
      <c r="L140" s="31"/>
      <c r="M140" s="31"/>
      <c r="N140" s="31"/>
      <c r="O140" s="31"/>
      <c r="P140" s="31"/>
      <c r="Q140" s="31"/>
      <c r="R140" s="31"/>
      <c r="S140" s="31"/>
      <c r="T140" s="31"/>
      <c r="U140" s="31"/>
      <c r="V140" s="31"/>
      <c r="W140" s="31"/>
      <c r="X140" s="31"/>
      <c r="Y140" s="31"/>
      <c r="Z140" s="32"/>
    </row>
    <row r="141" spans="2:26" x14ac:dyDescent="0.2">
      <c r="B141" s="30"/>
      <c r="C141" s="31"/>
      <c r="D141" s="31"/>
      <c r="E141" s="31"/>
      <c r="F141" s="31"/>
      <c r="G141" s="31"/>
      <c r="H141" s="31"/>
      <c r="I141" s="31"/>
      <c r="J141" s="31"/>
      <c r="K141" s="31"/>
      <c r="L141" s="31"/>
      <c r="M141" s="31"/>
      <c r="N141" s="31"/>
      <c r="O141" s="31"/>
      <c r="P141" s="31"/>
      <c r="Q141" s="31"/>
      <c r="R141" s="31"/>
      <c r="S141" s="31"/>
      <c r="T141" s="31"/>
      <c r="U141" s="31"/>
      <c r="V141" s="31"/>
      <c r="W141" s="31"/>
      <c r="X141" s="31"/>
      <c r="Y141" s="31"/>
      <c r="Z141" s="32"/>
    </row>
    <row r="142" spans="2:26" x14ac:dyDescent="0.2">
      <c r="B142" s="30"/>
      <c r="C142" s="31"/>
      <c r="D142" s="31"/>
      <c r="E142" s="31"/>
      <c r="F142" s="31"/>
      <c r="G142" s="31"/>
      <c r="H142" s="31"/>
      <c r="I142" s="31"/>
      <c r="J142" s="31"/>
      <c r="K142" s="31"/>
      <c r="L142" s="31"/>
      <c r="M142" s="31"/>
      <c r="N142" s="31"/>
      <c r="O142" s="31"/>
      <c r="P142" s="31"/>
      <c r="Q142" s="31"/>
      <c r="R142" s="31"/>
      <c r="S142" s="31"/>
      <c r="T142" s="31"/>
      <c r="U142" s="31"/>
      <c r="V142" s="31"/>
      <c r="W142" s="31"/>
      <c r="X142" s="31"/>
      <c r="Y142" s="31"/>
      <c r="Z142" s="32"/>
    </row>
    <row r="143" spans="2:26" x14ac:dyDescent="0.2">
      <c r="B143" s="30"/>
      <c r="C143" s="31"/>
      <c r="D143" s="31"/>
      <c r="E143" s="31"/>
      <c r="F143" s="31"/>
      <c r="G143" s="31"/>
      <c r="H143" s="31"/>
      <c r="I143" s="31"/>
      <c r="J143" s="31"/>
      <c r="K143" s="31"/>
      <c r="L143" s="31"/>
      <c r="M143" s="31"/>
      <c r="N143" s="31"/>
      <c r="O143" s="31"/>
      <c r="P143" s="31"/>
      <c r="Q143" s="31"/>
      <c r="R143" s="31"/>
      <c r="S143" s="31"/>
      <c r="T143" s="31"/>
      <c r="U143" s="31"/>
      <c r="V143" s="31"/>
      <c r="W143" s="31"/>
      <c r="X143" s="31"/>
      <c r="Y143" s="31"/>
      <c r="Z143" s="32"/>
    </row>
    <row r="144" spans="2:26" x14ac:dyDescent="0.2">
      <c r="B144" s="30"/>
      <c r="C144" s="31"/>
      <c r="D144" s="31"/>
      <c r="E144" s="31"/>
      <c r="F144" s="31"/>
      <c r="G144" s="31"/>
      <c r="H144" s="31"/>
      <c r="I144" s="31"/>
      <c r="J144" s="31"/>
      <c r="K144" s="31"/>
      <c r="L144" s="31"/>
      <c r="M144" s="31"/>
      <c r="N144" s="31"/>
      <c r="O144" s="31"/>
      <c r="P144" s="31"/>
      <c r="Q144" s="31"/>
      <c r="R144" s="31"/>
      <c r="S144" s="31"/>
      <c r="T144" s="31"/>
      <c r="U144" s="31"/>
      <c r="V144" s="31"/>
      <c r="W144" s="31"/>
      <c r="X144" s="31"/>
      <c r="Y144" s="31"/>
      <c r="Z144" s="32"/>
    </row>
    <row r="145" spans="2:26" x14ac:dyDescent="0.2">
      <c r="B145" s="30"/>
      <c r="C145" s="31"/>
      <c r="D145" s="31"/>
      <c r="E145" s="31"/>
      <c r="F145" s="31"/>
      <c r="G145" s="31"/>
      <c r="H145" s="31"/>
      <c r="I145" s="31"/>
      <c r="J145" s="31"/>
      <c r="K145" s="31"/>
      <c r="L145" s="31"/>
      <c r="M145" s="31"/>
      <c r="N145" s="31"/>
      <c r="O145" s="31"/>
      <c r="P145" s="31"/>
      <c r="Q145" s="31"/>
      <c r="R145" s="31"/>
      <c r="S145" s="31"/>
      <c r="T145" s="31"/>
      <c r="U145" s="31"/>
      <c r="V145" s="31"/>
      <c r="W145" s="31"/>
      <c r="X145" s="31"/>
      <c r="Y145" s="31"/>
      <c r="Z145" s="32"/>
    </row>
    <row r="146" spans="2:26" x14ac:dyDescent="0.2">
      <c r="B146" s="30"/>
      <c r="C146" s="31"/>
      <c r="D146" s="31"/>
      <c r="E146" s="31"/>
      <c r="F146" s="31"/>
      <c r="G146" s="31"/>
      <c r="H146" s="31"/>
      <c r="I146" s="31"/>
      <c r="J146" s="31"/>
      <c r="K146" s="31"/>
      <c r="L146" s="31"/>
      <c r="M146" s="31"/>
      <c r="N146" s="31"/>
      <c r="O146" s="31"/>
      <c r="P146" s="31"/>
      <c r="Q146" s="31"/>
      <c r="R146" s="31"/>
      <c r="S146" s="31"/>
      <c r="T146" s="31"/>
      <c r="U146" s="31"/>
      <c r="V146" s="31"/>
      <c r="W146" s="31"/>
      <c r="X146" s="31"/>
      <c r="Y146" s="31"/>
      <c r="Z146" s="32"/>
    </row>
    <row r="147" spans="2:26" x14ac:dyDescent="0.2">
      <c r="B147" s="262"/>
      <c r="C147" s="31"/>
      <c r="D147" s="31"/>
      <c r="E147" s="31"/>
      <c r="F147" s="31"/>
      <c r="G147" s="31"/>
      <c r="H147" s="31"/>
      <c r="I147" s="31"/>
      <c r="J147" s="31"/>
      <c r="K147" s="31"/>
      <c r="L147" s="31"/>
      <c r="M147" s="31"/>
      <c r="N147" s="31"/>
      <c r="O147" s="31"/>
      <c r="P147" s="31"/>
      <c r="Q147" s="31"/>
      <c r="R147" s="31"/>
      <c r="S147" s="31"/>
      <c r="T147" s="31"/>
      <c r="U147" s="31"/>
      <c r="V147" s="31"/>
      <c r="W147" s="31"/>
      <c r="X147" s="31"/>
      <c r="Y147" s="31"/>
      <c r="Z147" s="32"/>
    </row>
    <row r="148" spans="2:26" x14ac:dyDescent="0.2">
      <c r="B148" s="30"/>
      <c r="C148" s="31"/>
      <c r="D148" s="31"/>
      <c r="E148" s="31"/>
      <c r="F148" s="31"/>
      <c r="G148" s="31"/>
      <c r="H148" s="31"/>
      <c r="I148" s="31"/>
      <c r="J148" s="31"/>
      <c r="K148" s="31"/>
      <c r="L148" s="31"/>
      <c r="M148" s="31"/>
      <c r="N148" s="31"/>
      <c r="O148" s="31"/>
      <c r="P148" s="31"/>
      <c r="Q148" s="31"/>
      <c r="R148" s="31"/>
      <c r="S148" s="31"/>
      <c r="T148" s="31"/>
      <c r="U148" s="31"/>
      <c r="V148" s="31"/>
      <c r="W148" s="31"/>
      <c r="X148" s="31"/>
      <c r="Y148" s="31"/>
      <c r="Z148" s="32"/>
    </row>
    <row r="149" spans="2:26" x14ac:dyDescent="0.2">
      <c r="B149" s="30"/>
      <c r="C149" s="31"/>
      <c r="D149" s="31"/>
      <c r="E149" s="31"/>
      <c r="F149" s="31"/>
      <c r="G149" s="31"/>
      <c r="H149" s="31"/>
      <c r="I149" s="31"/>
      <c r="J149" s="31"/>
      <c r="K149" s="31"/>
      <c r="L149" s="31"/>
      <c r="M149" s="31"/>
      <c r="N149" s="31"/>
      <c r="O149" s="31"/>
      <c r="P149" s="31"/>
      <c r="Q149" s="31"/>
      <c r="R149" s="31"/>
      <c r="S149" s="31"/>
      <c r="T149" s="31"/>
      <c r="U149" s="31"/>
      <c r="V149" s="31"/>
      <c r="W149" s="31"/>
      <c r="X149" s="31"/>
      <c r="Y149" s="31"/>
      <c r="Z149" s="32"/>
    </row>
    <row r="150" spans="2:26" x14ac:dyDescent="0.2">
      <c r="B150" s="30"/>
      <c r="C150" s="31"/>
      <c r="D150" s="31"/>
      <c r="E150" s="31"/>
      <c r="F150" s="31"/>
      <c r="G150" s="31"/>
      <c r="H150" s="31"/>
      <c r="I150" s="31"/>
      <c r="J150" s="31"/>
      <c r="K150" s="31"/>
      <c r="L150" s="31"/>
      <c r="M150" s="31"/>
      <c r="N150" s="31"/>
      <c r="O150" s="31"/>
      <c r="P150" s="31"/>
      <c r="Q150" s="31"/>
      <c r="R150" s="31"/>
      <c r="S150" s="31"/>
      <c r="T150" s="31"/>
      <c r="U150" s="31"/>
      <c r="V150" s="31"/>
      <c r="W150" s="31"/>
      <c r="X150" s="31"/>
      <c r="Y150" s="31"/>
      <c r="Z150" s="32"/>
    </row>
    <row r="151" spans="2:26" x14ac:dyDescent="0.2">
      <c r="B151" s="30"/>
      <c r="C151" s="31"/>
      <c r="D151" s="31"/>
      <c r="E151" s="31"/>
      <c r="F151" s="31"/>
      <c r="G151" s="31"/>
      <c r="H151" s="31"/>
      <c r="I151" s="31"/>
      <c r="J151" s="31"/>
      <c r="K151" s="31"/>
      <c r="L151" s="31"/>
      <c r="M151" s="31"/>
      <c r="N151" s="31"/>
      <c r="O151" s="31"/>
      <c r="P151" s="31"/>
      <c r="Q151" s="31"/>
      <c r="R151" s="31"/>
      <c r="S151" s="31"/>
      <c r="T151" s="31"/>
      <c r="U151" s="31"/>
      <c r="V151" s="31"/>
      <c r="W151" s="31"/>
      <c r="X151" s="31"/>
      <c r="Y151" s="31"/>
      <c r="Z151" s="32"/>
    </row>
    <row r="152" spans="2:26" x14ac:dyDescent="0.2">
      <c r="B152" s="30"/>
      <c r="C152" s="31"/>
      <c r="D152" s="31"/>
      <c r="E152" s="31"/>
      <c r="F152" s="31"/>
      <c r="G152" s="31"/>
      <c r="H152" s="31"/>
      <c r="I152" s="31"/>
      <c r="J152" s="31"/>
      <c r="K152" s="31"/>
      <c r="L152" s="31"/>
      <c r="M152" s="31"/>
      <c r="N152" s="31"/>
      <c r="O152" s="31"/>
      <c r="P152" s="31"/>
      <c r="Q152" s="31"/>
      <c r="R152" s="31"/>
      <c r="S152" s="31"/>
      <c r="T152" s="31"/>
      <c r="U152" s="31"/>
      <c r="V152" s="31"/>
      <c r="W152" s="31"/>
      <c r="X152" s="31"/>
      <c r="Y152" s="31"/>
      <c r="Z152" s="32"/>
    </row>
    <row r="153" spans="2:26" x14ac:dyDescent="0.2">
      <c r="B153" s="30"/>
      <c r="C153" s="31"/>
      <c r="D153" s="31"/>
      <c r="E153" s="31"/>
      <c r="F153" s="31"/>
      <c r="G153" s="31"/>
      <c r="H153" s="31"/>
      <c r="I153" s="31"/>
      <c r="J153" s="31"/>
      <c r="K153" s="31"/>
      <c r="L153" s="31"/>
      <c r="M153" s="31"/>
      <c r="N153" s="31"/>
      <c r="O153" s="31"/>
      <c r="P153" s="31"/>
      <c r="Q153" s="31"/>
      <c r="R153" s="31"/>
      <c r="S153" s="31"/>
      <c r="T153" s="31"/>
      <c r="U153" s="31"/>
      <c r="V153" s="31"/>
      <c r="W153" s="31"/>
      <c r="X153" s="31"/>
      <c r="Y153" s="31"/>
      <c r="Z153" s="32"/>
    </row>
    <row r="154" spans="2:26" x14ac:dyDescent="0.2">
      <c r="B154" s="30"/>
      <c r="C154" s="31"/>
      <c r="D154" s="31"/>
      <c r="E154" s="31"/>
      <c r="F154" s="31"/>
      <c r="G154" s="31"/>
      <c r="H154" s="31"/>
      <c r="I154" s="31"/>
      <c r="J154" s="31"/>
      <c r="K154" s="31"/>
      <c r="L154" s="31"/>
      <c r="M154" s="31"/>
      <c r="N154" s="31"/>
      <c r="O154" s="31"/>
      <c r="P154" s="31"/>
      <c r="Q154" s="31"/>
      <c r="R154" s="31"/>
      <c r="S154" s="31"/>
      <c r="T154" s="31"/>
      <c r="U154" s="31"/>
      <c r="V154" s="31"/>
      <c r="W154" s="31"/>
      <c r="X154" s="31"/>
      <c r="Y154" s="31"/>
      <c r="Z154" s="32"/>
    </row>
    <row r="155" spans="2:26" x14ac:dyDescent="0.2">
      <c r="B155" s="30"/>
      <c r="C155" s="31"/>
      <c r="D155" s="31"/>
      <c r="E155" s="31"/>
      <c r="F155" s="31"/>
      <c r="G155" s="31"/>
      <c r="H155" s="31"/>
      <c r="I155" s="31"/>
      <c r="J155" s="31"/>
      <c r="K155" s="31"/>
      <c r="L155" s="31"/>
      <c r="M155" s="31"/>
      <c r="N155" s="31"/>
      <c r="O155" s="31"/>
      <c r="P155" s="31"/>
      <c r="Q155" s="31"/>
      <c r="R155" s="31"/>
      <c r="S155" s="31"/>
      <c r="T155" s="31"/>
      <c r="U155" s="31"/>
      <c r="V155" s="31"/>
      <c r="W155" s="31"/>
      <c r="X155" s="31"/>
      <c r="Y155" s="31"/>
      <c r="Z155" s="32"/>
    </row>
    <row r="156" spans="2:26" x14ac:dyDescent="0.2">
      <c r="B156" s="30"/>
      <c r="C156" s="31"/>
      <c r="D156" s="31"/>
      <c r="E156" s="31"/>
      <c r="F156" s="31"/>
      <c r="G156" s="31"/>
      <c r="H156" s="31"/>
      <c r="I156" s="31"/>
      <c r="J156" s="31"/>
      <c r="K156" s="31"/>
      <c r="L156" s="31"/>
      <c r="M156" s="31"/>
      <c r="N156" s="31"/>
      <c r="O156" s="31"/>
      <c r="P156" s="31"/>
      <c r="Q156" s="31"/>
      <c r="R156" s="31"/>
      <c r="S156" s="31"/>
      <c r="T156" s="31"/>
      <c r="U156" s="31"/>
      <c r="V156" s="31"/>
      <c r="W156" s="31"/>
      <c r="X156" s="31"/>
      <c r="Y156" s="31"/>
      <c r="Z156" s="32"/>
    </row>
    <row r="157" spans="2:26" x14ac:dyDescent="0.2">
      <c r="B157" s="30"/>
      <c r="C157" s="31"/>
      <c r="D157" s="31"/>
      <c r="E157" s="31"/>
      <c r="F157" s="31"/>
      <c r="G157" s="31"/>
      <c r="H157" s="31"/>
      <c r="I157" s="31"/>
      <c r="J157" s="31"/>
      <c r="K157" s="31"/>
      <c r="L157" s="31"/>
      <c r="M157" s="31"/>
      <c r="N157" s="31"/>
      <c r="O157" s="31"/>
      <c r="P157" s="31"/>
      <c r="Q157" s="31"/>
      <c r="R157" s="31"/>
      <c r="S157" s="31"/>
      <c r="T157" s="31"/>
      <c r="U157" s="31"/>
      <c r="V157" s="31"/>
      <c r="W157" s="31"/>
      <c r="X157" s="31"/>
      <c r="Y157" s="31"/>
      <c r="Z157" s="32"/>
    </row>
    <row r="158" spans="2:26" x14ac:dyDescent="0.2">
      <c r="B158" s="30"/>
      <c r="C158" s="31"/>
      <c r="D158" s="31"/>
      <c r="E158" s="31"/>
      <c r="F158" s="31"/>
      <c r="G158" s="31"/>
      <c r="H158" s="31"/>
      <c r="I158" s="31"/>
      <c r="J158" s="31"/>
      <c r="K158" s="31"/>
      <c r="L158" s="31"/>
      <c r="M158" s="31"/>
      <c r="N158" s="31"/>
      <c r="O158" s="31"/>
      <c r="P158" s="31"/>
      <c r="Q158" s="31"/>
      <c r="R158" s="31"/>
      <c r="S158" s="31"/>
      <c r="T158" s="31"/>
      <c r="U158" s="31"/>
      <c r="V158" s="31"/>
      <c r="W158" s="31"/>
      <c r="X158" s="31"/>
      <c r="Y158" s="31"/>
      <c r="Z158" s="32"/>
    </row>
    <row r="159" spans="2:26" x14ac:dyDescent="0.2">
      <c r="B159" s="30"/>
      <c r="C159" s="31"/>
      <c r="D159" s="31"/>
      <c r="E159" s="31"/>
      <c r="F159" s="31"/>
      <c r="G159" s="31"/>
      <c r="H159" s="31"/>
      <c r="I159" s="31"/>
      <c r="J159" s="31"/>
      <c r="K159" s="31"/>
      <c r="L159" s="31"/>
      <c r="M159" s="31"/>
      <c r="N159" s="31"/>
      <c r="O159" s="31"/>
      <c r="P159" s="31"/>
      <c r="Q159" s="31"/>
      <c r="R159" s="31"/>
      <c r="S159" s="31"/>
      <c r="T159" s="31"/>
      <c r="U159" s="31"/>
      <c r="V159" s="31"/>
      <c r="W159" s="31"/>
      <c r="X159" s="31"/>
      <c r="Y159" s="31"/>
      <c r="Z159" s="32"/>
    </row>
    <row r="160" spans="2:26" x14ac:dyDescent="0.2">
      <c r="B160" s="30"/>
      <c r="C160" s="31"/>
      <c r="D160" s="31"/>
      <c r="E160" s="31"/>
      <c r="F160" s="31"/>
      <c r="G160" s="31"/>
      <c r="H160" s="31"/>
      <c r="I160" s="31"/>
      <c r="J160" s="31"/>
      <c r="K160" s="31"/>
      <c r="L160" s="31"/>
      <c r="M160" s="31"/>
      <c r="N160" s="31"/>
      <c r="O160" s="31"/>
      <c r="P160" s="31"/>
      <c r="Q160" s="31"/>
      <c r="R160" s="31"/>
      <c r="S160" s="31"/>
      <c r="T160" s="31"/>
      <c r="U160" s="31"/>
      <c r="V160" s="31"/>
      <c r="W160" s="31"/>
      <c r="X160" s="31"/>
      <c r="Y160" s="31"/>
      <c r="Z160" s="32"/>
    </row>
    <row r="161" spans="2:26" x14ac:dyDescent="0.2">
      <c r="B161" s="30"/>
      <c r="C161" s="31"/>
      <c r="D161" s="31"/>
      <c r="E161" s="31"/>
      <c r="F161" s="31"/>
      <c r="G161" s="31"/>
      <c r="H161" s="31"/>
      <c r="I161" s="31"/>
      <c r="J161" s="31"/>
      <c r="K161" s="31"/>
      <c r="L161" s="31"/>
      <c r="M161" s="31"/>
      <c r="N161" s="31"/>
      <c r="O161" s="31"/>
      <c r="P161" s="31"/>
      <c r="Q161" s="31"/>
      <c r="R161" s="31"/>
      <c r="S161" s="31"/>
      <c r="T161" s="31"/>
      <c r="U161" s="31"/>
      <c r="V161" s="31"/>
      <c r="W161" s="31"/>
      <c r="X161" s="31"/>
      <c r="Y161" s="31"/>
      <c r="Z161" s="32"/>
    </row>
    <row r="162" spans="2:26" x14ac:dyDescent="0.2">
      <c r="B162" s="30"/>
      <c r="C162" s="31"/>
      <c r="D162" s="31"/>
      <c r="E162" s="31"/>
      <c r="F162" s="31"/>
      <c r="G162" s="31"/>
      <c r="H162" s="31"/>
      <c r="I162" s="31"/>
      <c r="J162" s="31"/>
      <c r="K162" s="31"/>
      <c r="L162" s="31"/>
      <c r="M162" s="31"/>
      <c r="N162" s="31"/>
      <c r="O162" s="31"/>
      <c r="P162" s="31"/>
      <c r="Q162" s="31"/>
      <c r="R162" s="31"/>
      <c r="S162" s="31"/>
      <c r="T162" s="31"/>
      <c r="U162" s="31"/>
      <c r="V162" s="31"/>
      <c r="W162" s="31"/>
      <c r="X162" s="31"/>
      <c r="Y162" s="31"/>
      <c r="Z162" s="32"/>
    </row>
    <row r="163" spans="2:26" x14ac:dyDescent="0.2">
      <c r="B163" s="30"/>
      <c r="C163" s="31"/>
      <c r="D163" s="31"/>
      <c r="E163" s="31"/>
      <c r="F163" s="31"/>
      <c r="G163" s="31"/>
      <c r="H163" s="31"/>
      <c r="I163" s="31"/>
      <c r="J163" s="31"/>
      <c r="K163" s="31"/>
      <c r="L163" s="31"/>
      <c r="M163" s="31"/>
      <c r="N163" s="31"/>
      <c r="O163" s="31"/>
      <c r="P163" s="31"/>
      <c r="Q163" s="31"/>
      <c r="R163" s="31"/>
      <c r="S163" s="31"/>
      <c r="T163" s="31"/>
      <c r="U163" s="31"/>
      <c r="V163" s="31"/>
      <c r="W163" s="31"/>
      <c r="X163" s="31"/>
      <c r="Y163" s="31"/>
      <c r="Z163" s="32"/>
    </row>
    <row r="164" spans="2:26" x14ac:dyDescent="0.2">
      <c r="B164" s="30"/>
      <c r="C164" s="31"/>
      <c r="D164" s="31"/>
      <c r="E164" s="31"/>
      <c r="F164" s="31"/>
      <c r="G164" s="31"/>
      <c r="H164" s="31"/>
      <c r="I164" s="31"/>
      <c r="J164" s="31"/>
      <c r="K164" s="31"/>
      <c r="L164" s="31"/>
      <c r="M164" s="31"/>
      <c r="N164" s="31"/>
      <c r="O164" s="31"/>
      <c r="P164" s="31"/>
      <c r="Q164" s="31"/>
      <c r="R164" s="31"/>
      <c r="S164" s="31"/>
      <c r="T164" s="31"/>
      <c r="U164" s="31"/>
      <c r="V164" s="31"/>
      <c r="W164" s="31"/>
      <c r="X164" s="31"/>
      <c r="Y164" s="31"/>
      <c r="Z164" s="32"/>
    </row>
    <row r="165" spans="2:26" x14ac:dyDescent="0.2">
      <c r="B165" s="30"/>
      <c r="C165" s="31"/>
      <c r="D165" s="31"/>
      <c r="E165" s="31"/>
      <c r="F165" s="31"/>
      <c r="G165" s="31"/>
      <c r="H165" s="31"/>
      <c r="I165" s="31"/>
      <c r="J165" s="31"/>
      <c r="K165" s="31"/>
      <c r="L165" s="31"/>
      <c r="M165" s="31"/>
      <c r="N165" s="31"/>
      <c r="O165" s="31"/>
      <c r="P165" s="31"/>
      <c r="Q165" s="31"/>
      <c r="R165" s="31"/>
      <c r="S165" s="31"/>
      <c r="T165" s="31"/>
      <c r="U165" s="31"/>
      <c r="V165" s="31"/>
      <c r="W165" s="31"/>
      <c r="X165" s="31"/>
      <c r="Y165" s="31"/>
      <c r="Z165" s="32"/>
    </row>
    <row r="166" spans="2:26" x14ac:dyDescent="0.2">
      <c r="B166" s="30"/>
      <c r="C166" s="31"/>
      <c r="D166" s="31"/>
      <c r="E166" s="31"/>
      <c r="F166" s="31"/>
      <c r="G166" s="31"/>
      <c r="H166" s="31"/>
      <c r="I166" s="31"/>
      <c r="J166" s="31"/>
      <c r="K166" s="31"/>
      <c r="L166" s="31"/>
      <c r="M166" s="31"/>
      <c r="N166" s="31"/>
      <c r="O166" s="31"/>
      <c r="P166" s="31"/>
      <c r="Q166" s="31"/>
      <c r="R166" s="31"/>
      <c r="S166" s="31"/>
      <c r="T166" s="31"/>
      <c r="U166" s="31"/>
      <c r="V166" s="31"/>
      <c r="W166" s="31"/>
      <c r="X166" s="31"/>
      <c r="Y166" s="31"/>
      <c r="Z166" s="32"/>
    </row>
    <row r="167" spans="2:26" x14ac:dyDescent="0.2">
      <c r="B167" s="30"/>
      <c r="C167" s="31"/>
      <c r="D167" s="31"/>
      <c r="E167" s="31"/>
      <c r="F167" s="31"/>
      <c r="G167" s="31"/>
      <c r="H167" s="31"/>
      <c r="I167" s="31"/>
      <c r="J167" s="31"/>
      <c r="K167" s="31"/>
      <c r="L167" s="31"/>
      <c r="M167" s="31"/>
      <c r="N167" s="31"/>
      <c r="O167" s="31"/>
      <c r="P167" s="31"/>
      <c r="Q167" s="31"/>
      <c r="R167" s="31"/>
      <c r="S167" s="31"/>
      <c r="T167" s="31"/>
      <c r="U167" s="31"/>
      <c r="V167" s="31"/>
      <c r="W167" s="31"/>
      <c r="X167" s="31"/>
      <c r="Y167" s="31"/>
      <c r="Z167" s="32"/>
    </row>
    <row r="168" spans="2:26" x14ac:dyDescent="0.2">
      <c r="B168" s="30"/>
      <c r="C168" s="31"/>
      <c r="D168" s="31"/>
      <c r="E168" s="31"/>
      <c r="F168" s="31"/>
      <c r="G168" s="31"/>
      <c r="H168" s="31"/>
      <c r="I168" s="31"/>
      <c r="J168" s="31"/>
      <c r="K168" s="31"/>
      <c r="L168" s="31"/>
      <c r="M168" s="31"/>
      <c r="N168" s="31"/>
      <c r="O168" s="31"/>
      <c r="P168" s="31"/>
      <c r="Q168" s="31"/>
      <c r="R168" s="31"/>
      <c r="S168" s="31"/>
      <c r="T168" s="31"/>
      <c r="U168" s="31"/>
      <c r="V168" s="31"/>
      <c r="W168" s="31"/>
      <c r="X168" s="31"/>
      <c r="Y168" s="31"/>
      <c r="Z168" s="32"/>
    </row>
    <row r="169" spans="2:26" x14ac:dyDescent="0.2">
      <c r="B169" s="30"/>
      <c r="C169" s="31"/>
      <c r="D169" s="31"/>
      <c r="E169" s="31"/>
      <c r="F169" s="31"/>
      <c r="G169" s="31"/>
      <c r="H169" s="31"/>
      <c r="I169" s="31"/>
      <c r="J169" s="31"/>
      <c r="K169" s="31"/>
      <c r="L169" s="31"/>
      <c r="M169" s="31"/>
      <c r="N169" s="31"/>
      <c r="O169" s="31"/>
      <c r="P169" s="31"/>
      <c r="Q169" s="31"/>
      <c r="R169" s="31"/>
      <c r="S169" s="31"/>
      <c r="T169" s="31"/>
      <c r="U169" s="31"/>
      <c r="V169" s="31"/>
      <c r="W169" s="31"/>
      <c r="X169" s="31"/>
      <c r="Y169" s="31"/>
      <c r="Z169" s="32"/>
    </row>
    <row r="170" spans="2:26" x14ac:dyDescent="0.2">
      <c r="B170" s="30"/>
      <c r="C170" s="31"/>
      <c r="D170" s="31"/>
      <c r="E170" s="31"/>
      <c r="F170" s="31"/>
      <c r="G170" s="31"/>
      <c r="H170" s="31"/>
      <c r="I170" s="31"/>
      <c r="J170" s="31"/>
      <c r="K170" s="31"/>
      <c r="L170" s="31"/>
      <c r="M170" s="31"/>
      <c r="N170" s="31"/>
      <c r="O170" s="31"/>
      <c r="P170" s="31"/>
      <c r="Q170" s="31"/>
      <c r="R170" s="31"/>
      <c r="S170" s="31"/>
      <c r="T170" s="31"/>
      <c r="U170" s="31"/>
      <c r="V170" s="31"/>
      <c r="W170" s="31"/>
      <c r="X170" s="31"/>
      <c r="Y170" s="31"/>
      <c r="Z170" s="32"/>
    </row>
    <row r="171" spans="2:26" x14ac:dyDescent="0.2">
      <c r="B171" s="30"/>
      <c r="C171" s="31"/>
      <c r="D171" s="31"/>
      <c r="E171" s="31"/>
      <c r="F171" s="31"/>
      <c r="G171" s="31"/>
      <c r="H171" s="31"/>
      <c r="I171" s="31"/>
      <c r="J171" s="31"/>
      <c r="K171" s="31"/>
      <c r="L171" s="31"/>
      <c r="M171" s="31"/>
      <c r="N171" s="31"/>
      <c r="O171" s="31"/>
      <c r="P171" s="31"/>
      <c r="Q171" s="31"/>
      <c r="R171" s="31"/>
      <c r="S171" s="31"/>
      <c r="T171" s="31"/>
      <c r="U171" s="31"/>
      <c r="V171" s="31"/>
      <c r="W171" s="31"/>
      <c r="X171" s="31"/>
      <c r="Y171" s="31"/>
      <c r="Z171" s="32"/>
    </row>
    <row r="172" spans="2:26" x14ac:dyDescent="0.2">
      <c r="B172" s="30"/>
      <c r="C172" s="31"/>
      <c r="D172" s="31"/>
      <c r="E172" s="31"/>
      <c r="F172" s="31"/>
      <c r="G172" s="31"/>
      <c r="H172" s="31"/>
      <c r="I172" s="31"/>
      <c r="J172" s="31"/>
      <c r="K172" s="31"/>
      <c r="L172" s="31"/>
      <c r="M172" s="31"/>
      <c r="N172" s="31"/>
      <c r="O172" s="31"/>
      <c r="P172" s="31"/>
      <c r="Q172" s="31"/>
      <c r="R172" s="31"/>
      <c r="S172" s="31"/>
      <c r="T172" s="31"/>
      <c r="U172" s="31"/>
      <c r="V172" s="31"/>
      <c r="W172" s="31"/>
      <c r="X172" s="31"/>
      <c r="Y172" s="31"/>
      <c r="Z172" s="32"/>
    </row>
    <row r="173" spans="2:26" x14ac:dyDescent="0.2">
      <c r="B173" s="30"/>
      <c r="C173" s="31"/>
      <c r="D173" s="31"/>
      <c r="E173" s="31"/>
      <c r="F173" s="31"/>
      <c r="G173" s="31"/>
      <c r="H173" s="31"/>
      <c r="I173" s="31"/>
      <c r="J173" s="31"/>
      <c r="K173" s="31"/>
      <c r="L173" s="31"/>
      <c r="M173" s="31"/>
      <c r="N173" s="31"/>
      <c r="O173" s="31"/>
      <c r="P173" s="31"/>
      <c r="Q173" s="31"/>
      <c r="R173" s="31"/>
      <c r="S173" s="31"/>
      <c r="T173" s="31"/>
      <c r="U173" s="31"/>
      <c r="V173" s="31"/>
      <c r="W173" s="31"/>
      <c r="X173" s="31"/>
      <c r="Y173" s="31"/>
      <c r="Z173" s="32"/>
    </row>
    <row r="174" spans="2:26" x14ac:dyDescent="0.2">
      <c r="B174" s="30"/>
      <c r="C174" s="31"/>
      <c r="D174" s="31"/>
      <c r="E174" s="31"/>
      <c r="F174" s="31"/>
      <c r="G174" s="31"/>
      <c r="H174" s="31"/>
      <c r="I174" s="31"/>
      <c r="J174" s="31"/>
      <c r="K174" s="31"/>
      <c r="L174" s="31"/>
      <c r="M174" s="31"/>
      <c r="N174" s="31"/>
      <c r="O174" s="31"/>
      <c r="P174" s="31"/>
      <c r="Q174" s="31"/>
      <c r="R174" s="31"/>
      <c r="S174" s="31"/>
      <c r="T174" s="31"/>
      <c r="U174" s="31"/>
      <c r="V174" s="31"/>
      <c r="W174" s="31"/>
      <c r="X174" s="31"/>
      <c r="Y174" s="31"/>
      <c r="Z174" s="32"/>
    </row>
    <row r="175" spans="2:26" x14ac:dyDescent="0.2">
      <c r="B175" s="30"/>
      <c r="C175" s="31"/>
      <c r="D175" s="31"/>
      <c r="E175" s="31"/>
      <c r="F175" s="31"/>
      <c r="G175" s="31"/>
      <c r="H175" s="31"/>
      <c r="I175" s="31"/>
      <c r="J175" s="31"/>
      <c r="K175" s="31"/>
      <c r="L175" s="31"/>
      <c r="M175" s="31"/>
      <c r="N175" s="31"/>
      <c r="O175" s="31"/>
      <c r="P175" s="31"/>
      <c r="Q175" s="31"/>
      <c r="R175" s="31"/>
      <c r="S175" s="31"/>
      <c r="T175" s="31"/>
      <c r="U175" s="31"/>
      <c r="V175" s="31"/>
      <c r="W175" s="31"/>
      <c r="X175" s="31"/>
      <c r="Y175" s="31"/>
      <c r="Z175" s="32"/>
    </row>
    <row r="176" spans="2:26" x14ac:dyDescent="0.2">
      <c r="B176" s="30"/>
      <c r="C176" s="31"/>
      <c r="D176" s="31"/>
      <c r="E176" s="31"/>
      <c r="F176" s="31"/>
      <c r="G176" s="31"/>
      <c r="H176" s="31"/>
      <c r="I176" s="31"/>
      <c r="J176" s="31"/>
      <c r="K176" s="31"/>
      <c r="L176" s="31"/>
      <c r="M176" s="31"/>
      <c r="N176" s="31"/>
      <c r="O176" s="31"/>
      <c r="P176" s="31"/>
      <c r="Q176" s="31"/>
      <c r="R176" s="31"/>
      <c r="S176" s="31"/>
      <c r="T176" s="31"/>
      <c r="U176" s="31"/>
      <c r="V176" s="31"/>
      <c r="W176" s="31"/>
      <c r="X176" s="31"/>
      <c r="Y176" s="31"/>
      <c r="Z176" s="32"/>
    </row>
    <row r="177" spans="2:26" x14ac:dyDescent="0.2">
      <c r="B177" s="30"/>
      <c r="C177" s="31"/>
      <c r="D177" s="31"/>
      <c r="E177" s="31"/>
      <c r="F177" s="31"/>
      <c r="G177" s="31"/>
      <c r="H177" s="31"/>
      <c r="I177" s="31"/>
      <c r="J177" s="31"/>
      <c r="K177" s="31"/>
      <c r="L177" s="31"/>
      <c r="M177" s="31"/>
      <c r="N177" s="31"/>
      <c r="O177" s="31"/>
      <c r="P177" s="31"/>
      <c r="Q177" s="31"/>
      <c r="R177" s="31"/>
      <c r="S177" s="31"/>
      <c r="T177" s="31"/>
      <c r="U177" s="31"/>
      <c r="V177" s="31"/>
      <c r="W177" s="31"/>
      <c r="X177" s="31"/>
      <c r="Y177" s="31"/>
      <c r="Z177" s="32"/>
    </row>
    <row r="178" spans="2:26" x14ac:dyDescent="0.2">
      <c r="B178" s="30"/>
      <c r="C178" s="31"/>
      <c r="D178" s="31"/>
      <c r="E178" s="31"/>
      <c r="F178" s="31"/>
      <c r="G178" s="31"/>
      <c r="H178" s="31"/>
      <c r="I178" s="31"/>
      <c r="J178" s="31"/>
      <c r="K178" s="31"/>
      <c r="L178" s="31"/>
      <c r="M178" s="31"/>
      <c r="N178" s="31"/>
      <c r="O178" s="31"/>
      <c r="P178" s="31"/>
      <c r="Q178" s="31"/>
      <c r="R178" s="31"/>
      <c r="S178" s="31"/>
      <c r="T178" s="31"/>
      <c r="U178" s="31"/>
      <c r="V178" s="31"/>
      <c r="W178" s="31"/>
      <c r="X178" s="31"/>
      <c r="Y178" s="31"/>
      <c r="Z178" s="32"/>
    </row>
    <row r="179" spans="2:26" x14ac:dyDescent="0.2">
      <c r="B179" s="30"/>
      <c r="C179" s="31"/>
      <c r="D179" s="31"/>
      <c r="E179" s="31"/>
      <c r="F179" s="31"/>
      <c r="G179" s="31"/>
      <c r="H179" s="31"/>
      <c r="I179" s="31"/>
      <c r="J179" s="31"/>
      <c r="K179" s="31"/>
      <c r="L179" s="31"/>
      <c r="M179" s="31"/>
      <c r="N179" s="31"/>
      <c r="O179" s="31"/>
      <c r="P179" s="31"/>
      <c r="Q179" s="31"/>
      <c r="R179" s="31"/>
      <c r="S179" s="31"/>
      <c r="T179" s="31"/>
      <c r="U179" s="31"/>
      <c r="V179" s="31"/>
      <c r="W179" s="31"/>
      <c r="X179" s="31"/>
      <c r="Y179" s="31"/>
      <c r="Z179" s="32"/>
    </row>
    <row r="180" spans="2:26" x14ac:dyDescent="0.2">
      <c r="B180" s="30"/>
      <c r="C180" s="31"/>
      <c r="D180" s="31"/>
      <c r="E180" s="31"/>
      <c r="F180" s="31"/>
      <c r="G180" s="31"/>
      <c r="H180" s="31"/>
      <c r="I180" s="31"/>
      <c r="J180" s="31"/>
      <c r="K180" s="31"/>
      <c r="L180" s="31"/>
      <c r="M180" s="31"/>
      <c r="N180" s="31"/>
      <c r="O180" s="31"/>
      <c r="P180" s="31"/>
      <c r="Q180" s="31"/>
      <c r="R180" s="31"/>
      <c r="S180" s="31"/>
      <c r="T180" s="31"/>
      <c r="U180" s="31"/>
      <c r="V180" s="31"/>
      <c r="W180" s="31"/>
      <c r="X180" s="31"/>
      <c r="Y180" s="31"/>
      <c r="Z180" s="32"/>
    </row>
    <row r="181" spans="2:26" x14ac:dyDescent="0.2">
      <c r="B181" s="30"/>
      <c r="C181" s="31"/>
      <c r="D181" s="31"/>
      <c r="E181" s="31"/>
      <c r="F181" s="31"/>
      <c r="G181" s="31"/>
      <c r="H181" s="31"/>
      <c r="I181" s="31"/>
      <c r="J181" s="31"/>
      <c r="K181" s="31"/>
      <c r="L181" s="31"/>
      <c r="M181" s="31"/>
      <c r="N181" s="31"/>
      <c r="O181" s="31"/>
      <c r="P181" s="31"/>
      <c r="Q181" s="31"/>
      <c r="R181" s="31"/>
      <c r="S181" s="31"/>
      <c r="T181" s="31"/>
      <c r="U181" s="31"/>
      <c r="V181" s="31"/>
      <c r="W181" s="31"/>
      <c r="X181" s="31"/>
      <c r="Y181" s="31"/>
      <c r="Z181" s="32"/>
    </row>
    <row r="182" spans="2:26" x14ac:dyDescent="0.2">
      <c r="B182" s="30"/>
      <c r="C182" s="31"/>
      <c r="D182" s="31"/>
      <c r="E182" s="31"/>
      <c r="F182" s="31"/>
      <c r="G182" s="31"/>
      <c r="H182" s="31"/>
      <c r="I182" s="31"/>
      <c r="J182" s="31"/>
      <c r="K182" s="31"/>
      <c r="L182" s="31"/>
      <c r="M182" s="31"/>
      <c r="N182" s="31"/>
      <c r="O182" s="31"/>
      <c r="P182" s="31"/>
      <c r="Q182" s="31"/>
      <c r="R182" s="31"/>
      <c r="S182" s="31"/>
      <c r="T182" s="31"/>
      <c r="U182" s="31"/>
      <c r="V182" s="31"/>
      <c r="W182" s="31"/>
      <c r="X182" s="31"/>
      <c r="Y182" s="31"/>
      <c r="Z182" s="32"/>
    </row>
    <row r="183" spans="2:26" x14ac:dyDescent="0.2">
      <c r="B183" s="30"/>
      <c r="C183" s="31"/>
      <c r="D183" s="31"/>
      <c r="E183" s="31"/>
      <c r="F183" s="31"/>
      <c r="G183" s="31"/>
      <c r="H183" s="31"/>
      <c r="I183" s="31"/>
      <c r="J183" s="31"/>
      <c r="K183" s="31"/>
      <c r="L183" s="31"/>
      <c r="M183" s="31"/>
      <c r="N183" s="31"/>
      <c r="O183" s="31"/>
      <c r="P183" s="31"/>
      <c r="Q183" s="31"/>
      <c r="R183" s="31"/>
      <c r="S183" s="31"/>
      <c r="T183" s="31"/>
      <c r="U183" s="31"/>
      <c r="V183" s="31"/>
      <c r="W183" s="31"/>
      <c r="X183" s="31"/>
      <c r="Y183" s="31"/>
      <c r="Z183" s="32"/>
    </row>
    <row r="184" spans="2:26" x14ac:dyDescent="0.2">
      <c r="B184" s="30"/>
      <c r="C184" s="31"/>
      <c r="D184" s="31"/>
      <c r="E184" s="31"/>
      <c r="F184" s="31"/>
      <c r="G184" s="31"/>
      <c r="H184" s="31"/>
      <c r="I184" s="31"/>
      <c r="J184" s="31"/>
      <c r="K184" s="31"/>
      <c r="L184" s="31"/>
      <c r="M184" s="31"/>
      <c r="N184" s="31"/>
      <c r="O184" s="31"/>
      <c r="P184" s="31"/>
      <c r="Q184" s="31"/>
      <c r="R184" s="31"/>
      <c r="S184" s="31"/>
      <c r="T184" s="31"/>
      <c r="U184" s="31"/>
      <c r="V184" s="31"/>
      <c r="W184" s="31"/>
      <c r="X184" s="31"/>
      <c r="Y184" s="31"/>
      <c r="Z184" s="32"/>
    </row>
    <row r="185" spans="2:26" x14ac:dyDescent="0.2">
      <c r="B185" s="30"/>
      <c r="C185" s="31"/>
      <c r="D185" s="31"/>
      <c r="E185" s="31"/>
      <c r="F185" s="31"/>
      <c r="G185" s="31"/>
      <c r="H185" s="31"/>
      <c r="I185" s="31"/>
      <c r="J185" s="31"/>
      <c r="K185" s="31"/>
      <c r="L185" s="31"/>
      <c r="M185" s="31"/>
      <c r="N185" s="31"/>
      <c r="O185" s="31"/>
      <c r="P185" s="31"/>
      <c r="Q185" s="31"/>
      <c r="R185" s="31"/>
      <c r="S185" s="31"/>
      <c r="T185" s="31"/>
      <c r="U185" s="31"/>
      <c r="V185" s="31"/>
      <c r="W185" s="31"/>
      <c r="X185" s="31"/>
      <c r="Y185" s="31"/>
      <c r="Z185" s="32"/>
    </row>
    <row r="186" spans="2:26" x14ac:dyDescent="0.2">
      <c r="B186" s="30"/>
      <c r="C186" s="31"/>
      <c r="D186" s="31"/>
      <c r="E186" s="31"/>
      <c r="F186" s="31"/>
      <c r="G186" s="31"/>
      <c r="H186" s="31"/>
      <c r="I186" s="31"/>
      <c r="J186" s="31"/>
      <c r="K186" s="31"/>
      <c r="L186" s="31"/>
      <c r="M186" s="31"/>
      <c r="N186" s="31"/>
      <c r="O186" s="31"/>
      <c r="P186" s="31"/>
      <c r="Q186" s="31"/>
      <c r="R186" s="31"/>
      <c r="S186" s="31"/>
      <c r="T186" s="31"/>
      <c r="U186" s="31"/>
      <c r="V186" s="31"/>
      <c r="W186" s="31"/>
      <c r="X186" s="31"/>
      <c r="Y186" s="31"/>
      <c r="Z186" s="32"/>
    </row>
    <row r="187" spans="2:26" x14ac:dyDescent="0.2">
      <c r="B187" s="30"/>
      <c r="C187" s="31"/>
      <c r="D187" s="31"/>
      <c r="E187" s="31"/>
      <c r="F187" s="31"/>
      <c r="G187" s="31"/>
      <c r="H187" s="31"/>
      <c r="I187" s="31"/>
      <c r="J187" s="31"/>
      <c r="K187" s="31"/>
      <c r="L187" s="31"/>
      <c r="M187" s="31"/>
      <c r="N187" s="31"/>
      <c r="O187" s="31"/>
      <c r="P187" s="31"/>
      <c r="Q187" s="31"/>
      <c r="R187" s="31"/>
      <c r="S187" s="31"/>
      <c r="T187" s="31"/>
      <c r="U187" s="31"/>
      <c r="V187" s="31"/>
      <c r="W187" s="31"/>
      <c r="X187" s="31"/>
      <c r="Y187" s="31"/>
      <c r="Z187" s="32"/>
    </row>
    <row r="188" spans="2:26" x14ac:dyDescent="0.2">
      <c r="B188" s="30"/>
      <c r="C188" s="31"/>
      <c r="D188" s="31"/>
      <c r="E188" s="31"/>
      <c r="F188" s="31"/>
      <c r="G188" s="31"/>
      <c r="H188" s="31"/>
      <c r="I188" s="31"/>
      <c r="J188" s="31"/>
      <c r="K188" s="31"/>
      <c r="L188" s="31"/>
      <c r="M188" s="31"/>
      <c r="N188" s="31"/>
      <c r="O188" s="31"/>
      <c r="P188" s="31"/>
      <c r="Q188" s="31"/>
      <c r="R188" s="31"/>
      <c r="S188" s="31"/>
      <c r="T188" s="31"/>
      <c r="U188" s="31"/>
      <c r="V188" s="31"/>
      <c r="W188" s="31"/>
      <c r="X188" s="31"/>
      <c r="Y188" s="31"/>
      <c r="Z188" s="32"/>
    </row>
    <row r="189" spans="2:26" x14ac:dyDescent="0.2">
      <c r="B189" s="30"/>
      <c r="C189" s="31"/>
      <c r="D189" s="31"/>
      <c r="E189" s="31"/>
      <c r="F189" s="31"/>
      <c r="G189" s="31"/>
      <c r="H189" s="31"/>
      <c r="I189" s="31"/>
      <c r="J189" s="31"/>
      <c r="K189" s="31"/>
      <c r="L189" s="31"/>
      <c r="M189" s="31"/>
      <c r="N189" s="31"/>
      <c r="O189" s="31"/>
      <c r="P189" s="31"/>
      <c r="Q189" s="31"/>
      <c r="R189" s="31"/>
      <c r="S189" s="31"/>
      <c r="T189" s="31"/>
      <c r="U189" s="31"/>
      <c r="V189" s="31"/>
      <c r="W189" s="31"/>
      <c r="X189" s="31"/>
      <c r="Y189" s="31"/>
      <c r="Z189" s="32"/>
    </row>
    <row r="190" spans="2:26" x14ac:dyDescent="0.2">
      <c r="B190" s="38"/>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9"/>
    </row>
  </sheetData>
  <sheetProtection password="E10F" sheet="1"/>
  <mergeCells count="11">
    <mergeCell ref="U15:W15"/>
    <mergeCell ref="X15:Z15"/>
    <mergeCell ref="L16:N16"/>
    <mergeCell ref="L17:N17"/>
    <mergeCell ref="L18:N18"/>
    <mergeCell ref="C2:E2"/>
    <mergeCell ref="F2:G2"/>
    <mergeCell ref="L6:L11"/>
    <mergeCell ref="J13:M13"/>
    <mergeCell ref="N5:N12"/>
    <mergeCell ref="L15:N15"/>
  </mergeCells>
  <phoneticPr fontId="2" type="noConversion"/>
  <conditionalFormatting sqref="H27:H33 H35:H36">
    <cfRule type="cellIs" dxfId="219" priority="2" stopIfTrue="1" operator="greaterThanOrEqual">
      <formula>100</formula>
    </cfRule>
    <cfRule type="cellIs" dxfId="218" priority="3" stopIfTrue="1" operator="lessThan">
      <formula>100</formula>
    </cfRule>
  </conditionalFormatting>
  <conditionalFormatting sqref="H34">
    <cfRule type="cellIs" dxfId="217" priority="4" stopIfTrue="1" operator="greaterThanOrEqual">
      <formula>100.01</formula>
    </cfRule>
    <cfRule type="cellIs" dxfId="216" priority="5" stopIfTrue="1" operator="lessThan">
      <formula>100.01</formula>
    </cfRule>
  </conditionalFormatting>
  <conditionalFormatting sqref="E16">
    <cfRule type="cellIs" dxfId="215" priority="1" stopIfTrue="1" operator="lessThan">
      <formula>1.2</formula>
    </cfRule>
  </conditionalFormatting>
  <dataValidations count="6">
    <dataValidation type="list" allowBlank="1" showInputMessage="1" showErrorMessage="1" promptTitle="Select Material" sqref="G13:G14 D6 C5:D5" xr:uid="{00000000-0002-0000-0B00-000000000000}">
      <formula1>Materials</formula1>
    </dataValidation>
    <dataValidation type="list" allowBlank="1" showInputMessage="1" showErrorMessage="1" sqref="F2" xr:uid="{00000000-0002-0000-0B00-000001000000}">
      <formula1>ConstructionType</formula1>
    </dataValidation>
    <dataValidation allowBlank="1" showInputMessage="1" showErrorMessage="1" promptTitle="Select Material" sqref="F6 C6" xr:uid="{00000000-0002-0000-0B00-000002000000}"/>
    <dataValidation type="list" allowBlank="1" showInputMessage="1" showErrorMessage="1" promptTitle="Select Material" sqref="E6" xr:uid="{00000000-0002-0000-0B00-000003000000}">
      <formula1>Tube_Type</formula1>
    </dataValidation>
    <dataValidation type="list" allowBlank="1" showInputMessage="1" showErrorMessage="1" sqref="F5" xr:uid="{00000000-0002-0000-0B00-000004000000}">
      <formula1>Material</formula1>
    </dataValidation>
    <dataValidation type="list" allowBlank="1" showInputMessage="1" showErrorMessage="1" promptTitle="Select Material" sqref="E5" xr:uid="{00000000-0002-0000-0B00-000005000000}">
      <formula1>Material</formula1>
    </dataValidation>
  </dataValidations>
  <hyperlinks>
    <hyperlink ref="K36" location="'Cover Sheet'!A1" display="BACK to COVER SHEET" xr:uid="{00000000-0004-0000-0B00-000000000000}"/>
    <hyperlink ref="K36:N36" location="'Cover Sheet'!A1" display="BACK to COVER SHEET" xr:uid="{00000000-0004-0000-0B00-000001000000}"/>
  </hyperlinks>
  <pageMargins left="0.75" right="0.75" top="1" bottom="1" header="0.5" footer="0.5"/>
  <pageSetup paperSize="9" scale="57" fitToWidth="2" fitToHeight="2" orientation="portrait" horizontalDpi="4294967294" r:id="rId1"/>
  <headerFooter alignWithMargins="0"/>
  <colBreaks count="1" manualBreakCount="1">
    <brk id="9" max="189"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pageSetUpPr fitToPage="1"/>
  </sheetPr>
  <dimension ref="B1:S190"/>
  <sheetViews>
    <sheetView showGridLines="0" view="pageBreakPreview" topLeftCell="A10" zoomScaleNormal="100" zoomScaleSheetLayoutView="100" workbookViewId="0">
      <selection activeCell="E28" sqref="E28"/>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4.28515625" style="56" bestFit="1" customWidth="1"/>
    <col min="10" max="10" width="11.7109375" style="56" customWidth="1"/>
    <col min="11" max="11" width="8.5703125" style="56" bestFit="1" customWidth="1"/>
    <col min="12" max="12" width="11.140625" style="56" bestFit="1" customWidth="1"/>
    <col min="13" max="15" width="9.140625" style="56"/>
    <col min="16" max="16" width="3.42578125" style="56" customWidth="1"/>
    <col min="17" max="16384" width="9.140625" style="56"/>
  </cols>
  <sheetData>
    <row r="1" spans="2:15" ht="15.75" x14ac:dyDescent="0.25">
      <c r="B1" s="55" t="s">
        <v>38</v>
      </c>
    </row>
    <row r="2" spans="2:15" x14ac:dyDescent="0.2">
      <c r="C2" s="639" t="s">
        <v>27</v>
      </c>
      <c r="D2" s="639"/>
      <c r="E2" s="639"/>
      <c r="F2" s="640" t="s">
        <v>28</v>
      </c>
      <c r="G2" s="641"/>
    </row>
    <row r="4" spans="2:15" ht="25.5" x14ac:dyDescent="0.2">
      <c r="B4" s="57" t="s">
        <v>18</v>
      </c>
      <c r="C4" s="57" t="s">
        <v>1</v>
      </c>
      <c r="D4" s="106"/>
      <c r="E4" s="71" t="s">
        <v>33</v>
      </c>
      <c r="F4" s="71" t="s">
        <v>34</v>
      </c>
      <c r="G4" s="71" t="s">
        <v>35</v>
      </c>
      <c r="H4" s="71" t="s">
        <v>32</v>
      </c>
      <c r="I4" s="119" t="s">
        <v>21</v>
      </c>
      <c r="J4" s="71" t="s">
        <v>22</v>
      </c>
      <c r="L4" s="127"/>
      <c r="M4" s="259" t="s">
        <v>290</v>
      </c>
      <c r="N4" s="259" t="s">
        <v>289</v>
      </c>
    </row>
    <row r="5" spans="2:15" x14ac:dyDescent="0.2">
      <c r="B5" s="58" t="s">
        <v>30</v>
      </c>
      <c r="C5" s="44" t="s">
        <v>7</v>
      </c>
      <c r="E5" s="22" t="s">
        <v>7</v>
      </c>
      <c r="F5" s="22" t="s">
        <v>7</v>
      </c>
      <c r="G5" s="22" t="s">
        <v>7</v>
      </c>
      <c r="H5" s="107"/>
      <c r="I5" s="52" t="s">
        <v>7</v>
      </c>
      <c r="J5" s="107"/>
      <c r="L5" s="239" t="s">
        <v>247</v>
      </c>
      <c r="M5" s="56">
        <f>I22/1000</f>
        <v>0.15</v>
      </c>
      <c r="N5" s="250">
        <f>M5</f>
        <v>0.15</v>
      </c>
    </row>
    <row r="6" spans="2:15" x14ac:dyDescent="0.2">
      <c r="B6" s="58" t="s">
        <v>46</v>
      </c>
      <c r="C6" s="44" t="s">
        <v>44</v>
      </c>
      <c r="E6" s="22" t="s">
        <v>44</v>
      </c>
      <c r="F6" s="22" t="s">
        <v>44</v>
      </c>
      <c r="G6" s="22" t="s">
        <v>44</v>
      </c>
      <c r="H6" s="109"/>
      <c r="I6" s="108" t="s">
        <v>23</v>
      </c>
      <c r="J6" s="109"/>
      <c r="L6" s="239" t="s">
        <v>248</v>
      </c>
      <c r="M6" s="56">
        <f>I21/1000</f>
        <v>2E-3</v>
      </c>
      <c r="N6" s="250">
        <f>I20/1000</f>
        <v>2E-3</v>
      </c>
    </row>
    <row r="7" spans="2:15"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46" t="str">
        <f>HLOOKUP(I5,MaterialData!$C$3:$O$4,2,FALSE)</f>
        <v>Steel</v>
      </c>
      <c r="J7" s="111"/>
    </row>
    <row r="8" spans="2:15"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46">
        <f>INDEX(Innertable,MATCH($B8,MaterialData!$B$5:$B$10,0),MATCH(I$7,MaterialData!$C$4:$O$4,0))</f>
        <v>200000000000</v>
      </c>
      <c r="J8" s="111"/>
      <c r="L8" s="239" t="s">
        <v>250</v>
      </c>
      <c r="M8" s="60">
        <f>M5*M6</f>
        <v>2.9999999999999997E-4</v>
      </c>
      <c r="N8" s="239" t="s">
        <v>269</v>
      </c>
      <c r="O8" s="60">
        <f>(M5*M6^3)/12</f>
        <v>1E-10</v>
      </c>
    </row>
    <row r="9" spans="2:15"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46">
        <f>INDEX(Innertable,MATCH($B9,MaterialData!$B$5:$B$10,0),MATCH(I$7,MaterialData!$C$4:$O$4,0))</f>
        <v>305000000</v>
      </c>
      <c r="J9" s="111"/>
      <c r="L9" s="239" t="s">
        <v>251</v>
      </c>
      <c r="M9" s="60">
        <f>N5*N6</f>
        <v>2.9999999999999997E-4</v>
      </c>
      <c r="N9" s="239" t="s">
        <v>270</v>
      </c>
      <c r="O9" s="60">
        <f>(N5*N6^3)/12</f>
        <v>1E-10</v>
      </c>
    </row>
    <row r="10" spans="2:15"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46">
        <f>INDEX(Innertable,MATCH($B10,MaterialData!$B$5:$B$10,0),MATCH(I$7,MaterialData!$C$4:$O$4,0))</f>
        <v>365000000</v>
      </c>
      <c r="J10" s="111"/>
      <c r="L10" s="239" t="s">
        <v>432</v>
      </c>
      <c r="M10" s="56">
        <f>M6/2</f>
        <v>1E-3</v>
      </c>
      <c r="N10" s="239" t="s">
        <v>254</v>
      </c>
      <c r="O10" s="60">
        <f>O8+(M8*($M$12-M10)^2)</f>
        <v>3.6399999999999995E-8</v>
      </c>
    </row>
    <row r="11" spans="2:15"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46">
        <f>INDEX(Innertable,MATCH($B11,MaterialData!$B$5:$B$10,0),MATCH(I$7,MaterialData!$C$4:$O$4,0))</f>
        <v>180000000</v>
      </c>
      <c r="J11" s="111"/>
      <c r="L11" s="239" t="s">
        <v>433</v>
      </c>
      <c r="M11" s="56">
        <f>(I18-0.5*I20)*0.001</f>
        <v>2.3E-2</v>
      </c>
      <c r="N11" s="239" t="s">
        <v>255</v>
      </c>
      <c r="O11" s="60">
        <f>O9+(M9*($M$12-M11)^2)</f>
        <v>3.6400000000000008E-8</v>
      </c>
    </row>
    <row r="12" spans="2:15"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46">
        <f>INDEX(Innertable,MATCH($B12,MaterialData!$B$5:$B$10,0),MATCH(I$7,MaterialData!$C$4:$O$4,0))</f>
        <v>300000000</v>
      </c>
      <c r="J12" s="111"/>
      <c r="L12" s="239" t="s">
        <v>249</v>
      </c>
      <c r="M12" s="252">
        <f>(M8*M10+M9*M11)/(M8+M9)</f>
        <v>1.1999999999999999E-2</v>
      </c>
      <c r="N12" s="239" t="s">
        <v>260</v>
      </c>
      <c r="O12" s="266">
        <f>SUM(O10:O11)</f>
        <v>7.2800000000000003E-8</v>
      </c>
    </row>
    <row r="13" spans="2:15" x14ac:dyDescent="0.2">
      <c r="C13" s="105"/>
      <c r="D13" s="56"/>
      <c r="E13" s="120"/>
      <c r="F13" s="105"/>
      <c r="G13" s="80"/>
      <c r="H13" s="109"/>
      <c r="J13" s="109"/>
      <c r="O13" s="60"/>
    </row>
    <row r="14" spans="2:15" x14ac:dyDescent="0.2">
      <c r="B14" s="59" t="s">
        <v>31</v>
      </c>
      <c r="C14" s="44">
        <v>3</v>
      </c>
      <c r="D14" s="56"/>
      <c r="E14" s="22">
        <v>2</v>
      </c>
      <c r="F14" s="22">
        <v>2</v>
      </c>
      <c r="G14" s="22">
        <v>2</v>
      </c>
      <c r="H14" s="109"/>
      <c r="J14" s="109"/>
      <c r="O14" s="60"/>
    </row>
    <row r="15" spans="2:15" x14ac:dyDescent="0.2">
      <c r="B15" s="59" t="s">
        <v>166</v>
      </c>
      <c r="C15" s="44">
        <v>25.4</v>
      </c>
      <c r="E15" s="22">
        <v>25</v>
      </c>
      <c r="F15" s="22">
        <v>25</v>
      </c>
      <c r="G15" s="22">
        <v>25</v>
      </c>
      <c r="H15" s="109"/>
      <c r="I15" s="105"/>
      <c r="J15" s="109"/>
      <c r="O15" s="60"/>
    </row>
    <row r="16" spans="2:15" x14ac:dyDescent="0.2">
      <c r="B16" s="59" t="s">
        <v>167</v>
      </c>
      <c r="C16" s="44">
        <v>1.2</v>
      </c>
      <c r="E16" s="22">
        <v>1.5</v>
      </c>
      <c r="F16" s="22">
        <v>1.5</v>
      </c>
      <c r="G16" s="22">
        <v>1.5</v>
      </c>
      <c r="H16" s="109"/>
      <c r="I16" s="105"/>
      <c r="J16" s="109"/>
      <c r="L16" s="191"/>
      <c r="O16" s="60"/>
    </row>
    <row r="17" spans="2:19" x14ac:dyDescent="0.2">
      <c r="B17" s="105"/>
      <c r="C17" s="105"/>
      <c r="E17" s="121"/>
      <c r="F17" s="122" t="s">
        <v>156</v>
      </c>
      <c r="G17" s="66" t="str">
        <f>IF(AND(K27&gt;=100,F2="tubing only",NOT(OR(E18="NO",F18="NO",G18="NO"))),"YES","NO")</f>
        <v>NO</v>
      </c>
      <c r="H17" s="109"/>
      <c r="I17" s="105"/>
      <c r="J17" s="109"/>
      <c r="O17" s="60"/>
    </row>
    <row r="18" spans="2:19" x14ac:dyDescent="0.2">
      <c r="B18" s="99" t="s">
        <v>24</v>
      </c>
      <c r="C18" s="105"/>
      <c r="E18" s="179" t="str">
        <f>IF(E14=0,"N/A",IF(AND(E5=$C$5,E15&gt;=25.4,E16&gt;=1.2),"YES","NO"))</f>
        <v>NO</v>
      </c>
      <c r="F18" s="180" t="str">
        <f>IF(F14=0,"N/A",IF(AND(F5=$C$5,F15&gt;=25.4,F16&gt;=1.2),"YES","NO"))</f>
        <v>NO</v>
      </c>
      <c r="G18" s="181" t="str">
        <f>IF(G14=0,"N/A",IF(AND(G5=$C$5,G15&gt;=25.4,G16&gt;=1.2),"YES","NO"))</f>
        <v>NO</v>
      </c>
      <c r="H18" s="109"/>
      <c r="I18" s="241">
        <f>I19+I20+I21</f>
        <v>24</v>
      </c>
      <c r="J18" s="109"/>
      <c r="O18" s="60"/>
    </row>
    <row r="19" spans="2:19" x14ac:dyDescent="0.2">
      <c r="B19" s="99" t="s">
        <v>25</v>
      </c>
      <c r="C19" s="105"/>
      <c r="E19" s="658"/>
      <c r="F19" s="659"/>
      <c r="G19" s="660"/>
      <c r="H19" s="109"/>
      <c r="I19" s="52">
        <v>20</v>
      </c>
      <c r="J19" s="109"/>
      <c r="O19" s="60"/>
    </row>
    <row r="20" spans="2:19" x14ac:dyDescent="0.2">
      <c r="B20" s="99" t="s">
        <v>287</v>
      </c>
      <c r="E20" s="658"/>
      <c r="F20" s="659"/>
      <c r="G20" s="660"/>
      <c r="H20" s="109"/>
      <c r="I20" s="52">
        <v>2</v>
      </c>
      <c r="J20" s="109"/>
      <c r="O20" s="60"/>
    </row>
    <row r="21" spans="2:19" x14ac:dyDescent="0.2">
      <c r="B21" s="264" t="s">
        <v>286</v>
      </c>
      <c r="E21" s="658"/>
      <c r="F21" s="659"/>
      <c r="G21" s="660"/>
      <c r="H21" s="109"/>
      <c r="I21" s="52">
        <v>2</v>
      </c>
      <c r="J21" s="109"/>
      <c r="O21" s="60"/>
    </row>
    <row r="22" spans="2:19" x14ac:dyDescent="0.2">
      <c r="B22" s="99" t="s">
        <v>26</v>
      </c>
      <c r="E22" s="658"/>
      <c r="F22" s="659"/>
      <c r="G22" s="660"/>
      <c r="H22" s="109"/>
      <c r="I22" s="52">
        <v>150</v>
      </c>
      <c r="J22" s="109"/>
      <c r="K22" s="186"/>
      <c r="O22" s="60"/>
    </row>
    <row r="23" spans="2:19" x14ac:dyDescent="0.2">
      <c r="B23" s="105"/>
      <c r="C23" s="105"/>
      <c r="E23" s="123"/>
      <c r="F23" s="124"/>
      <c r="G23" s="125"/>
      <c r="H23" s="109"/>
      <c r="I23" s="105"/>
      <c r="J23" s="109"/>
      <c r="O23" s="60"/>
    </row>
    <row r="24" spans="2:19" x14ac:dyDescent="0.2">
      <c r="B24" s="59" t="s">
        <v>4</v>
      </c>
      <c r="C24" s="44">
        <f>C15/1000</f>
        <v>2.5399999999999999E-2</v>
      </c>
      <c r="E24" s="44">
        <f>IF($F$2="composite only","No tubes",IF(E14=0,"No tubes",E15/1000))</f>
        <v>2.5000000000000001E-2</v>
      </c>
      <c r="F24" s="44">
        <f>IF($F$2="composite only","No tubes",IF(F14=0,"No tubes",F15/1000))</f>
        <v>2.5000000000000001E-2</v>
      </c>
      <c r="G24" s="44">
        <f>IF($F$2="composite only","No tubes",IF(G14=0,"No tubes",G15/1000))</f>
        <v>2.5000000000000001E-2</v>
      </c>
      <c r="H24" s="109"/>
      <c r="I24" s="105"/>
      <c r="J24" s="109"/>
      <c r="O24" s="60"/>
    </row>
    <row r="25" spans="2:19" x14ac:dyDescent="0.2">
      <c r="B25" s="59" t="s">
        <v>159</v>
      </c>
      <c r="C25" s="44">
        <f>C16/1000</f>
        <v>1.1999999999999999E-3</v>
      </c>
      <c r="E25" s="44">
        <f>IF(E24="no tubes","",IF(E14=0,"",E16/1000))</f>
        <v>1.5E-3</v>
      </c>
      <c r="F25" s="44">
        <f>IF(F24="no tubes","",IF(F14=0,"",F16/1000))</f>
        <v>1.5E-3</v>
      </c>
      <c r="G25" s="44">
        <f>IF(G24="no tubes","",IF(G14=0,"",G16/1000))</f>
        <v>1.5E-3</v>
      </c>
      <c r="H25" s="113"/>
      <c r="I25" s="105"/>
      <c r="J25" s="113"/>
      <c r="O25" s="60"/>
      <c r="S25" s="61"/>
    </row>
    <row r="26" spans="2:19" x14ac:dyDescent="0.2">
      <c r="B26" s="59" t="s">
        <v>3</v>
      </c>
      <c r="C26" s="46">
        <f>IF(C6="Round",((C24)^4-((C24-2*C25))^4)*3.142/64,((C24)^4-((C24-2*C25))^4)/12)</f>
        <v>6.6959174567999997E-9</v>
      </c>
      <c r="E26" s="46">
        <f>IF(E24="no tubes","",IF(E14=0,"",IF(E6="Round",(((E24)^4-((E24-2*E25))^4)*3.142/64),IF(E6="Square",(((E24)^4-((E24-2*E25))^4)/12),""))))</f>
        <v>7.6767405937500035E-9</v>
      </c>
      <c r="F26" s="46">
        <f>IF(F24="no tubes","",IF(F14=0,"",IF(F6="Round",(((F24)^4-((F24-2*F25))^4)*3.142/64),IF(F6="Square",(((F24)^4-((F24-2*F25))^4)/12),""))))</f>
        <v>7.6767405937500035E-9</v>
      </c>
      <c r="G26" s="46">
        <f>IF(G24="no tubes","",IF(G14=0,"",IF(G6="Round",(((G24)^4-((G24-2*G25))^4)*3.142/64),IF(G6="Square",(((G24)^4-((G24-2*G25))^4)/12),""))))</f>
        <v>7.6767405937500035E-9</v>
      </c>
      <c r="H26" s="46">
        <f>IF(SUM(E26:G26)&gt;0,SUM(E26:G26),"")</f>
        <v>2.3030221781250009E-8</v>
      </c>
      <c r="I26" s="115" t="str">
        <f>IF($F$2="Tubing only","Tubing Only",O12)</f>
        <v>Tubing Only</v>
      </c>
      <c r="J26" s="46">
        <f t="shared" ref="J26:J35" si="0">IF($F$2="Tubing only",H26,IF($F$2="Composite only",I26,IF($F$2="Tubes + Composite",H26+I26,"No Type Selected")))</f>
        <v>2.3030221781250009E-8</v>
      </c>
      <c r="O26" s="60"/>
      <c r="R26" s="60"/>
      <c r="S26" s="61"/>
    </row>
    <row r="27" spans="2:19" x14ac:dyDescent="0.2">
      <c r="B27" s="59" t="s">
        <v>0</v>
      </c>
      <c r="C27" s="46">
        <f>C8*C26*C14</f>
        <v>4017.5504740799997</v>
      </c>
      <c r="D27" s="110"/>
      <c r="E27" s="46">
        <f>IF(E24="no tubes","",IF(E14=0,"",E8*E26*E14))</f>
        <v>3070.6962375000012</v>
      </c>
      <c r="F27" s="46">
        <f>IF(F24="no tubes","",IF(F14=0,"",F8*F26*F14))</f>
        <v>3070.6962375000012</v>
      </c>
      <c r="G27" s="46">
        <f>IF(G24="no tubes","",IF(G14=0,"",G8*G26*G14))</f>
        <v>3070.6962375000012</v>
      </c>
      <c r="H27" s="46">
        <f t="shared" ref="H27:H35" si="1">IF(SUM(E27:G27)&gt;0,SUM(E27:G27),"")</f>
        <v>9212.0887125000045</v>
      </c>
      <c r="I27" s="115" t="str">
        <f>IF(I26="Tubing Only","",I26*I8)</f>
        <v/>
      </c>
      <c r="J27" s="46">
        <f t="shared" si="0"/>
        <v>9212.0887125000045</v>
      </c>
      <c r="K27" s="54">
        <f>IF(AND(NOT($F$2="tubes + composite"),OR(AND($G$14&gt;0,G27&lt;(C27/3)),AND($F$14&gt;0,F27&lt;(C27/3)),AND($E$14&gt;0,E27&lt;(C27/3)))),0,100*J27/C27)</f>
        <v>229.29615376169056</v>
      </c>
      <c r="L27" s="56" t="str">
        <f>IF((99.9&gt;K27)*AND(K27&gt;33.3),"For Composites Only, Additional Proof Required","")</f>
        <v/>
      </c>
    </row>
    <row r="28" spans="2:19" x14ac:dyDescent="0.2">
      <c r="B28" s="59" t="s">
        <v>160</v>
      </c>
      <c r="C28" s="47">
        <f>IF(C24="no tubes","",IF(C14=0,"",IF(C6="Round",C14*((C15^2-(C15-2*C16)^2)*PI()/4),IF(C6="Square",C14*(C15^2-(C15-2*C16)^2),""))))</f>
        <v>273.69555198074272</v>
      </c>
      <c r="D28" s="126"/>
      <c r="E28" s="47">
        <f>IF(E24="no tubes","",IF(E14=0,"",IF(E6="Round",E14*((E15^2-(E15-2*E16)^2)*PI()/4),IF(E6="Square",E14*(E15^2-(E15-2*E16)^2),""))))</f>
        <v>221.4822820780804</v>
      </c>
      <c r="F28" s="47">
        <f>IF(F24="no tubes","",IF(F14=0,"",IF(F6="Round",F14*((F15^2-(F15-2*F16)^2)*PI()/4),IF(F6="Square",F14*(F15^2-(F15-2*F16)^2),""))))</f>
        <v>221.4822820780804</v>
      </c>
      <c r="G28" s="47">
        <f>IF(G24="no tubes","",IF(G14=0,"",IF(G6="Round",G14*((G15^2-(G15-2*G16)^2)*PI()/4),IF(G6="Square",G14*(G15^2-(G15-2*G16)^2),""))))</f>
        <v>221.4822820780804</v>
      </c>
      <c r="H28" s="47">
        <f t="shared" si="1"/>
        <v>664.44684623424121</v>
      </c>
      <c r="I28" s="47" t="str">
        <f>IF(I26="Tubing Only","",(I18-I19)*I22)</f>
        <v/>
      </c>
      <c r="J28" s="47">
        <f t="shared" si="0"/>
        <v>664.44684623424121</v>
      </c>
      <c r="K28" s="54">
        <f>IF(AND($F$2="tubing only",AND(E5="steel",F5="steel",G5="steel")),100*J28/C28,"NA")</f>
        <v>242.76859504132236</v>
      </c>
      <c r="L28" s="56" t="str">
        <f>IF(AND(95&lt;K28,K28&lt;100),"For tubes only, provided your actual tube measures &gt;= your nominal OD and wall this is OK","")</f>
        <v/>
      </c>
      <c r="R28" s="60"/>
    </row>
    <row r="29" spans="2:19" x14ac:dyDescent="0.2">
      <c r="B29" s="59" t="s">
        <v>161</v>
      </c>
      <c r="C29" s="46">
        <f>C$28*C9/1000000</f>
        <v>83477.143354126529</v>
      </c>
      <c r="D29" s="110"/>
      <c r="E29" s="46">
        <f>IF(E24="no tubes","",IF(E14=0,"",E$28*E9/1000000))</f>
        <v>67552.096033814523</v>
      </c>
      <c r="F29" s="46">
        <f>IF(F24="no tubes","",IF(F14=0,"",F$28*F9/1000000))</f>
        <v>67552.096033814523</v>
      </c>
      <c r="G29" s="46">
        <f>IF(G24="no tubes","",IF(G14=0,"",G$28*G9/1000000))</f>
        <v>67552.096033814523</v>
      </c>
      <c r="H29" s="46">
        <f t="shared" si="1"/>
        <v>202656.28810144356</v>
      </c>
      <c r="I29" s="46" t="str">
        <f>IF(I26="Tubing Only","",I28*I9/1000000)</f>
        <v/>
      </c>
      <c r="J29" s="46">
        <f t="shared" si="0"/>
        <v>202656.28810144356</v>
      </c>
      <c r="K29" s="54">
        <f>IF(AND($F$2="tubing only",OR($E$29&lt;(E14/$C$14)*$C$29,$F$29&lt;(F14/$C$14)*$C$29,$G$29&lt;(G14/$C$14)*$C$29)),0,100*J29/C29)</f>
        <v>242.76859504132236</v>
      </c>
      <c r="L29" s="56" t="str">
        <f>IF(AND(95&lt;K29,K29&lt;100),"For tubes only, provided your actual tube measures &gt;= your nominal OD and wall this is OK","")</f>
        <v/>
      </c>
    </row>
    <row r="30" spans="2:19" x14ac:dyDescent="0.2">
      <c r="B30" s="59" t="s">
        <v>5</v>
      </c>
      <c r="C30" s="46">
        <f>C$28*C10/1000000</f>
        <v>99898.876472971097</v>
      </c>
      <c r="D30" s="110"/>
      <c r="E30" s="46">
        <f>IF(E24="no tubes","",IF(E14=0,"",E$28*E10/1000000))</f>
        <v>80841.032958499345</v>
      </c>
      <c r="F30" s="46">
        <f>IF(F24="no tubes","",IF(F14=0,"",F$28*F10/1000000))</f>
        <v>80841.032958499345</v>
      </c>
      <c r="G30" s="46">
        <f>IF(G24="no tubes","",IF(G14=0,"",G$28*G10/1000000))</f>
        <v>80841.032958499345</v>
      </c>
      <c r="H30" s="46">
        <f t="shared" si="1"/>
        <v>242523.09887549805</v>
      </c>
      <c r="I30" s="46" t="str">
        <f>IF(I26="Tubing Only","",I28*I10/1000000)</f>
        <v/>
      </c>
      <c r="J30" s="46">
        <f t="shared" si="0"/>
        <v>242523.09887549805</v>
      </c>
      <c r="K30" s="54">
        <f>IF(AND($F$2="tubing only",OR($E$30&lt;(E14/$C$14)*$C$30,$F$30&lt;(F14/$C$14)*$C$30,$G$30&lt;(G14/$C$14)*$C$30)),0,100*J30/C30)</f>
        <v>242.76859504132236</v>
      </c>
      <c r="L30" s="56" t="str">
        <f>IF(AND(95&lt;K30,K30&lt;100),"For tubes only, provided your actual tube measures &gt;= your nominal OD and wall this is OK","")</f>
        <v/>
      </c>
      <c r="R30" s="60"/>
    </row>
    <row r="31" spans="2:19" x14ac:dyDescent="0.2">
      <c r="B31" s="59" t="s">
        <v>162</v>
      </c>
      <c r="C31" s="46">
        <f>C$28*C11/1000000</f>
        <v>49265.199356533689</v>
      </c>
      <c r="D31" s="110"/>
      <c r="E31" s="46">
        <f>IF(E24="no tubes","",IF(E14=0,"",E$28*E11/1000000))</f>
        <v>39866.810774054473</v>
      </c>
      <c r="F31" s="46">
        <f>IF(F24="no tubes","",IF(F14=0,"",F$28*F11/1000000))</f>
        <v>39866.810774054473</v>
      </c>
      <c r="G31" s="46">
        <f>IF(G24="no tubes","",IF(G14=0,"",G$28*G11/1000000))</f>
        <v>39866.810774054473</v>
      </c>
      <c r="H31" s="46">
        <f t="shared" si="1"/>
        <v>119600.43232216343</v>
      </c>
      <c r="I31" s="46" t="str">
        <f>IF(I26="Tubing Only","",I28*I9/1000000)</f>
        <v/>
      </c>
      <c r="J31" s="46">
        <f t="shared" si="0"/>
        <v>119600.43232216343</v>
      </c>
      <c r="K31" s="54">
        <f>IF(AND($F$2="tubing only",OR($E$31&lt;(E14/$C$14)*$C$31,$F$31&lt;(F14/$C$14)*$C$31,$G$31&lt;(G14/$C$14)*$C$31)),0,100*J31/C31)</f>
        <v>242.76859504132238</v>
      </c>
      <c r="L31" s="56" t="str">
        <f>IF(AND(95&lt;K31,K31&lt;100),"For tubes only, provided your actual tube measures &gt;= your nominal OD and wall this is OK","")</f>
        <v/>
      </c>
      <c r="R31" s="60"/>
    </row>
    <row r="32" spans="2:19" x14ac:dyDescent="0.2">
      <c r="B32" s="59" t="s">
        <v>6</v>
      </c>
      <c r="C32" s="46">
        <f>IF(C14=0,"",C$28*C12/1000000)</f>
        <v>82108.66559422281</v>
      </c>
      <c r="D32" s="110"/>
      <c r="E32" s="46">
        <f>IF(E24="no tubes","",IF(E14=0,"",E$28*E12/1000000))</f>
        <v>66444.684623424124</v>
      </c>
      <c r="F32" s="46">
        <f>IF(F24="no tubes","",IF(F14=0,"",F$28*F12/1000000))</f>
        <v>66444.684623424124</v>
      </c>
      <c r="G32" s="46">
        <f>IF(G24="no tubes","",IF(G14=0,"",G$28*G12/1000000))</f>
        <v>66444.684623424124</v>
      </c>
      <c r="H32" s="46">
        <f t="shared" si="1"/>
        <v>199334.05387027236</v>
      </c>
      <c r="I32" s="46" t="str">
        <f>IF(I26="tubing only","",I28*I10/1000000)</f>
        <v/>
      </c>
      <c r="J32" s="46">
        <f t="shared" si="0"/>
        <v>199334.05387027236</v>
      </c>
      <c r="K32" s="54">
        <f>IF(AND($F$2="tubing only",OR($E$32&lt;(E14/$C$14)*$C$32,$F$32&lt;(F14/$C$14)*$C$32,$G$32&lt;(G14/$C$14)*$C$32)),0,100*J32/C32)</f>
        <v>242.76859504132233</v>
      </c>
      <c r="L32" s="56" t="str">
        <f>IF(AND(95&lt;K32,K32&lt;100),"For tubes only, provided your actual tube measures &gt;= your nominal OD and wall this is OK","")</f>
        <v/>
      </c>
      <c r="R32" s="60"/>
    </row>
    <row r="33" spans="2:15" x14ac:dyDescent="0.2">
      <c r="B33" s="59" t="s">
        <v>163</v>
      </c>
      <c r="C33" s="46">
        <f>C14*4*C10*C26/(0.5*C24*1)</f>
        <v>2309.3006662034645</v>
      </c>
      <c r="E33" s="46">
        <f>IF(E24="no tubes","",IF(E14=0,"",E14*4*E10*E26/(0.5*E24*1)))</f>
        <v>1793.2866027000007</v>
      </c>
      <c r="F33" s="46">
        <f>IF(F24="no tubes","",IF(F14=0,"",F14*4*F10*F26/(0.5*F24*1)))</f>
        <v>1793.2866027000007</v>
      </c>
      <c r="G33" s="46">
        <f>IF(G24="no tubes","",IF(G14=0,"",G14*4*G10*G26/(0.5*G24*1)))</f>
        <v>1793.2866027000007</v>
      </c>
      <c r="H33" s="46">
        <f t="shared" si="1"/>
        <v>5379.8598081000018</v>
      </c>
      <c r="I33" s="46" t="str">
        <f>IF(I26="tubing only","",4*I10*(I26*2/(I18/1000))/1)</f>
        <v/>
      </c>
      <c r="J33" s="46">
        <f t="shared" si="0"/>
        <v>5379.8598081000018</v>
      </c>
      <c r="K33" s="54">
        <f>IF(AND($F$2="tubing only",OR($E$33&lt;(E14/$C$14)*$C$33,$F$33&lt;(F14/$C$14)*$C$33,$G$33&lt;(G14/$C$14)*$C$33)),0,100*J33/C33)</f>
        <v>232.96489222187759</v>
      </c>
      <c r="L33" s="56" t="str">
        <f>IF((99.9&gt;K33)*AND(K33&gt;33.3),"For Composites Only, Additional Proof Required","")</f>
        <v/>
      </c>
    </row>
    <row r="34" spans="2:15" x14ac:dyDescent="0.2">
      <c r="B34" s="59" t="s">
        <v>164</v>
      </c>
      <c r="C34" s="46">
        <f>IF(C14=0,"",C33*1^3/(48*C27))</f>
        <v>1.1975065616797899E-2</v>
      </c>
      <c r="E34" s="46">
        <f>IF(E24="no tubes","",IF(E14=0,"",($C$33*1^3/(48*E27))))</f>
        <v>1.5667596800481468E-2</v>
      </c>
      <c r="F34" s="46">
        <f>IF(F24="no tubes","",IF(F14=0,"",($C$33*1^3/(48*F27))))</f>
        <v>1.5667596800481468E-2</v>
      </c>
      <c r="G34" s="46">
        <f>IF(G24="no tubes","",IF(G14=0,"",($C$33*1^3/(48*G27))))</f>
        <v>1.5667596800481468E-2</v>
      </c>
      <c r="H34" s="46">
        <f>IF(F2="composite only","",$C$33*1^3/(48*H27))</f>
        <v>5.2225322668271569E-3</v>
      </c>
      <c r="I34" s="46" t="str">
        <f>IF(NOT($F$2="tubing only"),$C$33*1^3/(48*I27),"")</f>
        <v/>
      </c>
      <c r="J34" s="46">
        <f>IF($F$2="Tubing only",H34,IF($F$2="Composite only",I34,IF($F$2="Tubes + Composite",$C$33*1^3/(48*J27),"No Type Selected")))</f>
        <v>5.2225322668271569E-3</v>
      </c>
      <c r="K34" s="54">
        <f>IF(AND($F$2="tubing only",J34&gt;1.05*C34),101,100*J34/C34)</f>
        <v>43.611721504901851</v>
      </c>
      <c r="L34" s="56" t="str">
        <f>IF((100.1&lt;K34)*AND(K34&lt;300.1),"For Composites Only, Additional Proof Required","")</f>
        <v/>
      </c>
      <c r="M34" s="60"/>
    </row>
    <row r="35" spans="2:15" x14ac:dyDescent="0.2">
      <c r="B35" s="59" t="s">
        <v>165</v>
      </c>
      <c r="C35" s="46">
        <f>0.5*C33*(C33*1^3/(48*C27))</f>
        <v>13.827013503350795</v>
      </c>
      <c r="E35" s="46">
        <f>IF(E24="no tubes","",0.5*E33*(E33*1^3/(48*E27)))</f>
        <v>10.909160166425004</v>
      </c>
      <c r="F35" s="46">
        <f>IF(F24="no tubes","",0.5*F33*(F33*1^3/(48*F27)))</f>
        <v>10.909160166425004</v>
      </c>
      <c r="G35" s="46">
        <f>IF(G24="no tubes","",0.5*G33*(G33*1^3/(48*G27)))</f>
        <v>10.909160166425004</v>
      </c>
      <c r="H35" s="46">
        <f t="shared" si="1"/>
        <v>32.727480499275011</v>
      </c>
      <c r="I35" s="46" t="str">
        <f>IF(I26="tubing only","",0.5*I33*(I33*1^3/(48*I27)))</f>
        <v/>
      </c>
      <c r="J35" s="46">
        <f t="shared" si="0"/>
        <v>32.727480499275011</v>
      </c>
      <c r="K35" s="54">
        <f>IF(AND($F$2="tubing only",OR($E$36&lt;$C$36,$F$36&lt;$C$36,$G$36&lt;$C$36)),0,100*J35/C35)</f>
        <v>236.69233049742763</v>
      </c>
      <c r="L35" s="56" t="str">
        <f>IF((99.9&gt;K35)*AND(K35&gt;33.3),"For Composites Only, Additional Proof Required","")</f>
        <v/>
      </c>
    </row>
    <row r="36" spans="2:15" x14ac:dyDescent="0.2">
      <c r="C36" s="207">
        <f>0.99*C27/C14</f>
        <v>1325.7916564463999</v>
      </c>
      <c r="D36" s="208"/>
      <c r="E36" s="207">
        <f>IF(AND($F$2="tubing only",E14&gt;0),E27/E14,9E+99)</f>
        <v>1535.3481187500006</v>
      </c>
      <c r="F36" s="207">
        <f>IF(AND($F$2="tubing only",F14&gt;0),F27/F14,9E+99)</f>
        <v>1535.3481187500006</v>
      </c>
      <c r="G36" s="207">
        <f>IF(AND($F$2="tubing only",G14&gt;0),G27/G14,9E+99)</f>
        <v>1535.3481187500006</v>
      </c>
      <c r="H36" s="186"/>
      <c r="M36" s="298" t="s">
        <v>565</v>
      </c>
      <c r="N36" s="298"/>
      <c r="O36" s="298"/>
    </row>
    <row r="37" spans="2:15" x14ac:dyDescent="0.2">
      <c r="B37" s="127" t="s">
        <v>281</v>
      </c>
      <c r="E37" s="60"/>
    </row>
    <row r="38" spans="2:15" x14ac:dyDescent="0.2">
      <c r="B38" s="509"/>
      <c r="C38" s="510" t="s">
        <v>627</v>
      </c>
      <c r="D38" s="511"/>
      <c r="E38" s="511"/>
      <c r="F38" s="511"/>
      <c r="G38" s="511"/>
      <c r="H38" s="511"/>
      <c r="I38" s="511"/>
      <c r="J38" s="511"/>
      <c r="K38" s="511"/>
      <c r="L38" s="511"/>
      <c r="M38" s="511"/>
      <c r="N38" s="511"/>
      <c r="O38" s="512"/>
    </row>
    <row r="39" spans="2:15" x14ac:dyDescent="0.2">
      <c r="B39" s="513" t="s">
        <v>480</v>
      </c>
      <c r="C39" s="514" t="s">
        <v>626</v>
      </c>
      <c r="D39" s="515"/>
      <c r="E39" s="515"/>
      <c r="F39" s="515"/>
      <c r="G39" s="515"/>
      <c r="H39" s="515"/>
      <c r="I39" s="515"/>
      <c r="J39" s="515"/>
      <c r="K39" s="515"/>
      <c r="L39" s="515"/>
      <c r="M39" s="515"/>
      <c r="N39" s="515"/>
      <c r="O39" s="516"/>
    </row>
    <row r="40" spans="2:15" x14ac:dyDescent="0.2">
      <c r="B40" s="30"/>
      <c r="C40" s="31"/>
      <c r="D40" s="31"/>
      <c r="E40" s="31"/>
      <c r="F40" s="31"/>
      <c r="G40" s="31"/>
      <c r="H40" s="31"/>
      <c r="I40" s="31"/>
      <c r="J40" s="31"/>
      <c r="K40" s="31"/>
      <c r="L40" s="31"/>
      <c r="M40" s="31"/>
      <c r="N40" s="31"/>
      <c r="O40" s="32"/>
    </row>
    <row r="41" spans="2:15" x14ac:dyDescent="0.2">
      <c r="B41" s="30"/>
      <c r="C41" s="31"/>
      <c r="D41" s="31"/>
      <c r="E41" s="31"/>
      <c r="F41" s="31"/>
      <c r="G41" s="31"/>
      <c r="H41" s="31"/>
      <c r="I41" s="31"/>
      <c r="J41" s="31"/>
      <c r="K41" s="31"/>
      <c r="L41" s="31"/>
      <c r="M41" s="31"/>
      <c r="N41" s="31"/>
      <c r="O41" s="32"/>
    </row>
    <row r="42" spans="2:15" x14ac:dyDescent="0.2">
      <c r="B42" s="30"/>
      <c r="C42" s="31"/>
      <c r="D42" s="31"/>
      <c r="E42" s="31"/>
      <c r="F42" s="31"/>
      <c r="G42" s="31"/>
      <c r="H42" s="31"/>
      <c r="I42" s="31"/>
      <c r="J42" s="31"/>
      <c r="K42" s="31"/>
      <c r="L42" s="31"/>
      <c r="M42" s="31"/>
      <c r="N42" s="31"/>
      <c r="O42" s="32"/>
    </row>
    <row r="43" spans="2:15" x14ac:dyDescent="0.2">
      <c r="B43" s="30"/>
      <c r="C43" s="31"/>
      <c r="D43" s="31"/>
      <c r="E43" s="31"/>
      <c r="F43" s="31"/>
      <c r="G43" s="31"/>
      <c r="H43" s="31"/>
      <c r="I43" s="31"/>
      <c r="J43" s="31"/>
      <c r="K43" s="31"/>
      <c r="L43" s="31"/>
      <c r="M43" s="31"/>
      <c r="N43" s="31"/>
      <c r="O43" s="32"/>
    </row>
    <row r="44" spans="2:15" x14ac:dyDescent="0.2">
      <c r="B44" s="30"/>
      <c r="C44" s="31"/>
      <c r="D44" s="31"/>
      <c r="E44" s="31"/>
      <c r="F44" s="31"/>
      <c r="G44" s="31"/>
      <c r="H44" s="31"/>
      <c r="I44" s="31"/>
      <c r="J44" s="31"/>
      <c r="K44" s="31"/>
      <c r="L44" s="31"/>
      <c r="M44" s="31"/>
      <c r="N44" s="31"/>
      <c r="O44" s="32"/>
    </row>
    <row r="45" spans="2:15" x14ac:dyDescent="0.2">
      <c r="B45" s="30"/>
      <c r="C45" s="31"/>
      <c r="D45" s="31"/>
      <c r="E45" s="31"/>
      <c r="F45" s="31"/>
      <c r="G45" s="31"/>
      <c r="H45" s="31"/>
      <c r="I45" s="31"/>
      <c r="J45" s="31"/>
      <c r="K45" s="31"/>
      <c r="L45" s="31"/>
      <c r="M45" s="31"/>
      <c r="N45" s="31"/>
      <c r="O45" s="32"/>
    </row>
    <row r="46" spans="2:15" x14ac:dyDescent="0.2">
      <c r="B46" s="30"/>
      <c r="C46" s="31"/>
      <c r="D46" s="31"/>
      <c r="E46" s="31"/>
      <c r="F46" s="31"/>
      <c r="G46" s="31"/>
      <c r="H46" s="31"/>
      <c r="I46" s="31"/>
      <c r="J46" s="31"/>
      <c r="K46" s="31"/>
      <c r="L46" s="31"/>
      <c r="M46" s="31"/>
      <c r="N46" s="31"/>
      <c r="O46" s="32"/>
    </row>
    <row r="47" spans="2:15" x14ac:dyDescent="0.2">
      <c r="B47" s="30"/>
      <c r="C47" s="31"/>
      <c r="D47" s="31"/>
      <c r="E47" s="31"/>
      <c r="F47" s="31"/>
      <c r="G47" s="31"/>
      <c r="H47" s="31"/>
      <c r="I47" s="31"/>
      <c r="J47" s="31"/>
      <c r="K47" s="31"/>
      <c r="L47" s="31"/>
      <c r="M47" s="31"/>
      <c r="N47" s="31"/>
      <c r="O47" s="32"/>
    </row>
    <row r="48" spans="2:15" x14ac:dyDescent="0.2">
      <c r="B48" s="30"/>
      <c r="C48" s="31"/>
      <c r="D48" s="31"/>
      <c r="E48" s="31"/>
      <c r="F48" s="31"/>
      <c r="G48" s="31"/>
      <c r="H48" s="31"/>
      <c r="I48" s="31"/>
      <c r="J48" s="31"/>
      <c r="K48" s="31"/>
      <c r="L48" s="31"/>
      <c r="M48" s="31"/>
      <c r="N48" s="31"/>
      <c r="O48" s="32"/>
    </row>
    <row r="49" spans="2:15" x14ac:dyDescent="0.2">
      <c r="B49" s="30"/>
      <c r="C49" s="31"/>
      <c r="D49" s="31"/>
      <c r="E49" s="31"/>
      <c r="F49" s="31"/>
      <c r="G49" s="31"/>
      <c r="H49" s="31"/>
      <c r="I49" s="31"/>
      <c r="J49" s="31"/>
      <c r="K49" s="31"/>
      <c r="L49" s="31"/>
      <c r="M49" s="31"/>
      <c r="N49" s="31"/>
      <c r="O49" s="32"/>
    </row>
    <row r="50" spans="2:15" x14ac:dyDescent="0.2">
      <c r="B50" s="30"/>
      <c r="C50" s="31"/>
      <c r="D50" s="31"/>
      <c r="E50" s="31"/>
      <c r="F50" s="31"/>
      <c r="G50" s="31"/>
      <c r="H50" s="31"/>
      <c r="I50" s="31"/>
      <c r="J50" s="31"/>
      <c r="K50" s="31"/>
      <c r="L50" s="31"/>
      <c r="M50" s="31"/>
      <c r="N50" s="31"/>
      <c r="O50" s="32"/>
    </row>
    <row r="51" spans="2:15" x14ac:dyDescent="0.2">
      <c r="B51" s="30"/>
      <c r="C51" s="31"/>
      <c r="D51" s="31"/>
      <c r="E51" s="31"/>
      <c r="F51" s="31"/>
      <c r="G51" s="31"/>
      <c r="H51" s="31"/>
      <c r="I51" s="31"/>
      <c r="J51" s="31"/>
      <c r="K51" s="31"/>
      <c r="L51" s="31"/>
      <c r="M51" s="31"/>
      <c r="N51" s="31"/>
      <c r="O51" s="32"/>
    </row>
    <row r="52" spans="2:15" x14ac:dyDescent="0.2">
      <c r="B52" s="30"/>
      <c r="C52" s="31"/>
      <c r="D52" s="31"/>
      <c r="E52" s="31"/>
      <c r="F52" s="31"/>
      <c r="G52" s="31"/>
      <c r="H52" s="31"/>
      <c r="I52" s="31"/>
      <c r="J52" s="31"/>
      <c r="K52" s="31"/>
      <c r="L52" s="31"/>
      <c r="M52" s="31"/>
      <c r="N52" s="31"/>
      <c r="O52" s="32"/>
    </row>
    <row r="53" spans="2:15" x14ac:dyDescent="0.2">
      <c r="B53" s="30"/>
      <c r="C53" s="31"/>
      <c r="D53" s="31"/>
      <c r="E53" s="31"/>
      <c r="F53" s="31"/>
      <c r="G53" s="31"/>
      <c r="H53" s="31"/>
      <c r="I53" s="31"/>
      <c r="J53" s="31"/>
      <c r="K53" s="31"/>
      <c r="L53" s="31"/>
      <c r="M53" s="31"/>
      <c r="N53" s="31"/>
      <c r="O53" s="32"/>
    </row>
    <row r="54" spans="2:15" x14ac:dyDescent="0.2">
      <c r="B54" s="30"/>
      <c r="C54" s="31"/>
      <c r="D54" s="31"/>
      <c r="E54" s="31"/>
      <c r="F54" s="31"/>
      <c r="G54" s="31"/>
      <c r="H54" s="31"/>
      <c r="I54" s="31"/>
      <c r="J54" s="31"/>
      <c r="K54" s="31"/>
      <c r="L54" s="31"/>
      <c r="M54" s="31"/>
      <c r="N54" s="31"/>
      <c r="O54" s="32"/>
    </row>
    <row r="55" spans="2:15" x14ac:dyDescent="0.2">
      <c r="B55" s="30"/>
      <c r="C55" s="31"/>
      <c r="D55" s="31"/>
      <c r="E55" s="31"/>
      <c r="F55" s="31"/>
      <c r="G55" s="31"/>
      <c r="H55" s="31"/>
      <c r="I55" s="31"/>
      <c r="J55" s="31"/>
      <c r="K55" s="31"/>
      <c r="L55" s="31"/>
      <c r="M55" s="31"/>
      <c r="N55" s="31"/>
      <c r="O55" s="32"/>
    </row>
    <row r="56" spans="2:15" x14ac:dyDescent="0.2">
      <c r="B56" s="30"/>
      <c r="C56" s="31"/>
      <c r="D56" s="31"/>
      <c r="E56" s="31"/>
      <c r="F56" s="31"/>
      <c r="G56" s="31"/>
      <c r="H56" s="31"/>
      <c r="I56" s="31"/>
      <c r="J56" s="31"/>
      <c r="K56" s="31"/>
      <c r="L56" s="31"/>
      <c r="M56" s="31"/>
      <c r="N56" s="31"/>
      <c r="O56" s="32"/>
    </row>
    <row r="57" spans="2:15" x14ac:dyDescent="0.2">
      <c r="B57" s="30"/>
      <c r="C57" s="31"/>
      <c r="D57" s="31"/>
      <c r="E57" s="31"/>
      <c r="F57" s="31"/>
      <c r="G57" s="31"/>
      <c r="H57" s="31"/>
      <c r="I57" s="31"/>
      <c r="J57" s="31"/>
      <c r="K57" s="31"/>
      <c r="L57" s="31"/>
      <c r="M57" s="31"/>
      <c r="N57" s="31"/>
      <c r="O57" s="32"/>
    </row>
    <row r="58" spans="2:15" x14ac:dyDescent="0.2">
      <c r="B58" s="30"/>
      <c r="C58" s="31"/>
      <c r="D58" s="31"/>
      <c r="E58" s="31"/>
      <c r="F58" s="31"/>
      <c r="G58" s="31"/>
      <c r="H58" s="31"/>
      <c r="I58" s="31"/>
      <c r="J58" s="31"/>
      <c r="K58" s="31"/>
      <c r="L58" s="31"/>
      <c r="M58" s="31"/>
      <c r="N58" s="31"/>
      <c r="O58" s="32"/>
    </row>
    <row r="59" spans="2:15" x14ac:dyDescent="0.2">
      <c r="B59" s="30"/>
      <c r="C59" s="31"/>
      <c r="D59" s="31"/>
      <c r="E59" s="31"/>
      <c r="F59" s="31"/>
      <c r="G59" s="31"/>
      <c r="H59" s="31"/>
      <c r="I59" s="31"/>
      <c r="J59" s="31"/>
      <c r="K59" s="31"/>
      <c r="L59" s="31"/>
      <c r="M59" s="31"/>
      <c r="N59" s="31"/>
      <c r="O59" s="32"/>
    </row>
    <row r="60" spans="2:15" x14ac:dyDescent="0.2">
      <c r="B60" s="30"/>
      <c r="C60" s="31"/>
      <c r="D60" s="31"/>
      <c r="E60" s="31"/>
      <c r="F60" s="31"/>
      <c r="G60" s="31"/>
      <c r="H60" s="31"/>
      <c r="I60" s="31"/>
      <c r="J60" s="31"/>
      <c r="K60" s="31"/>
      <c r="L60" s="31"/>
      <c r="M60" s="31"/>
      <c r="N60" s="31"/>
      <c r="O60" s="32"/>
    </row>
    <row r="61" spans="2:15" x14ac:dyDescent="0.2">
      <c r="B61" s="30"/>
      <c r="C61" s="31"/>
      <c r="D61" s="31"/>
      <c r="E61" s="31"/>
      <c r="F61" s="31"/>
      <c r="G61" s="31"/>
      <c r="H61" s="31"/>
      <c r="I61" s="31"/>
      <c r="J61" s="31"/>
      <c r="K61" s="31"/>
      <c r="L61" s="31"/>
      <c r="M61" s="31"/>
      <c r="N61" s="31"/>
      <c r="O61" s="32"/>
    </row>
    <row r="62" spans="2:15" x14ac:dyDescent="0.2">
      <c r="B62" s="30"/>
      <c r="C62" s="31"/>
      <c r="D62" s="31"/>
      <c r="E62" s="31"/>
      <c r="F62" s="31"/>
      <c r="G62" s="31"/>
      <c r="H62" s="31"/>
      <c r="I62" s="31"/>
      <c r="J62" s="31"/>
      <c r="K62" s="31"/>
      <c r="L62" s="31"/>
      <c r="M62" s="31"/>
      <c r="N62" s="31"/>
      <c r="O62" s="32"/>
    </row>
    <row r="63" spans="2:15" x14ac:dyDescent="0.2">
      <c r="B63" s="30"/>
      <c r="C63" s="31"/>
      <c r="D63" s="31"/>
      <c r="E63" s="31"/>
      <c r="F63" s="31"/>
      <c r="G63" s="31"/>
      <c r="H63" s="31"/>
      <c r="I63" s="31"/>
      <c r="J63" s="31"/>
      <c r="K63" s="31"/>
      <c r="L63" s="31"/>
      <c r="M63" s="31"/>
      <c r="N63" s="31"/>
      <c r="O63" s="32"/>
    </row>
    <row r="64" spans="2:15" x14ac:dyDescent="0.2">
      <c r="B64" s="30"/>
      <c r="C64" s="31"/>
      <c r="D64" s="31"/>
      <c r="E64" s="31"/>
      <c r="F64" s="31"/>
      <c r="G64" s="31"/>
      <c r="H64" s="31"/>
      <c r="I64" s="31"/>
      <c r="J64" s="31"/>
      <c r="K64" s="31"/>
      <c r="L64" s="31"/>
      <c r="M64" s="31"/>
      <c r="N64" s="31"/>
      <c r="O64" s="32"/>
    </row>
    <row r="65" spans="2:15" x14ac:dyDescent="0.2">
      <c r="B65" s="30"/>
      <c r="C65" s="31"/>
      <c r="D65" s="31"/>
      <c r="E65" s="31"/>
      <c r="F65" s="31"/>
      <c r="G65" s="31"/>
      <c r="H65" s="31"/>
      <c r="I65" s="31"/>
      <c r="J65" s="31"/>
      <c r="K65" s="31"/>
      <c r="L65" s="31"/>
      <c r="M65" s="31"/>
      <c r="N65" s="31"/>
      <c r="O65" s="32"/>
    </row>
    <row r="66" spans="2:15" x14ac:dyDescent="0.2">
      <c r="B66" s="30"/>
      <c r="C66" s="31"/>
      <c r="D66" s="31"/>
      <c r="E66" s="31"/>
      <c r="F66" s="31"/>
      <c r="G66" s="31"/>
      <c r="H66" s="31"/>
      <c r="I66" s="31"/>
      <c r="J66" s="31"/>
      <c r="K66" s="31"/>
      <c r="L66" s="31"/>
      <c r="M66" s="31"/>
      <c r="N66" s="31"/>
      <c r="O66" s="32"/>
    </row>
    <row r="67" spans="2:15" x14ac:dyDescent="0.2">
      <c r="B67" s="30"/>
      <c r="C67" s="31"/>
      <c r="D67" s="31"/>
      <c r="E67" s="31"/>
      <c r="F67" s="31"/>
      <c r="G67" s="31"/>
      <c r="H67" s="31"/>
      <c r="I67" s="31"/>
      <c r="J67" s="31"/>
      <c r="K67" s="31"/>
      <c r="L67" s="31"/>
      <c r="M67" s="31"/>
      <c r="N67" s="31"/>
      <c r="O67" s="32"/>
    </row>
    <row r="68" spans="2:15" x14ac:dyDescent="0.2">
      <c r="B68" s="30"/>
      <c r="C68" s="31"/>
      <c r="D68" s="31"/>
      <c r="E68" s="31"/>
      <c r="F68" s="31"/>
      <c r="G68" s="31"/>
      <c r="H68" s="31"/>
      <c r="I68" s="31"/>
      <c r="J68" s="31"/>
      <c r="K68" s="31"/>
      <c r="L68" s="31"/>
      <c r="M68" s="31"/>
      <c r="N68" s="31"/>
      <c r="O68" s="32"/>
    </row>
    <row r="69" spans="2:15" x14ac:dyDescent="0.2">
      <c r="B69" s="30"/>
      <c r="C69" s="31"/>
      <c r="D69" s="31"/>
      <c r="E69" s="31"/>
      <c r="F69" s="31"/>
      <c r="G69" s="31"/>
      <c r="H69" s="31"/>
      <c r="I69" s="31"/>
      <c r="J69" s="31"/>
      <c r="K69" s="31"/>
      <c r="L69" s="31"/>
      <c r="M69" s="31"/>
      <c r="N69" s="31"/>
      <c r="O69" s="32"/>
    </row>
    <row r="70" spans="2:15" x14ac:dyDescent="0.2">
      <c r="B70" s="30"/>
      <c r="C70" s="31"/>
      <c r="D70" s="31"/>
      <c r="E70" s="31"/>
      <c r="F70" s="31"/>
      <c r="G70" s="31"/>
      <c r="H70" s="31"/>
      <c r="I70" s="31"/>
      <c r="J70" s="31"/>
      <c r="K70" s="31"/>
      <c r="L70" s="31"/>
      <c r="M70" s="31"/>
      <c r="N70" s="31"/>
      <c r="O70" s="32"/>
    </row>
    <row r="71" spans="2:15" x14ac:dyDescent="0.2">
      <c r="B71" s="30"/>
      <c r="C71" s="31"/>
      <c r="D71" s="31"/>
      <c r="E71" s="31"/>
      <c r="F71" s="31"/>
      <c r="G71" s="31"/>
      <c r="H71" s="31"/>
      <c r="I71" s="31"/>
      <c r="J71" s="31"/>
      <c r="K71" s="31"/>
      <c r="L71" s="31"/>
      <c r="M71" s="31"/>
      <c r="N71" s="31"/>
      <c r="O71" s="32"/>
    </row>
    <row r="72" spans="2:15" x14ac:dyDescent="0.2">
      <c r="B72" s="30"/>
      <c r="C72" s="31"/>
      <c r="D72" s="31"/>
      <c r="E72" s="31"/>
      <c r="F72" s="31"/>
      <c r="G72" s="31"/>
      <c r="H72" s="31"/>
      <c r="I72" s="31"/>
      <c r="J72" s="31"/>
      <c r="K72" s="31"/>
      <c r="L72" s="31"/>
      <c r="M72" s="31"/>
      <c r="N72" s="31"/>
      <c r="O72" s="32"/>
    </row>
    <row r="73" spans="2:15" x14ac:dyDescent="0.2">
      <c r="B73" s="30"/>
      <c r="C73" s="31"/>
      <c r="D73" s="31"/>
      <c r="E73" s="31"/>
      <c r="F73" s="31"/>
      <c r="G73" s="31"/>
      <c r="H73" s="31"/>
      <c r="I73" s="31"/>
      <c r="J73" s="31"/>
      <c r="K73" s="31"/>
      <c r="L73" s="31"/>
      <c r="M73" s="31"/>
      <c r="N73" s="31"/>
      <c r="O73" s="32"/>
    </row>
    <row r="74" spans="2:15" x14ac:dyDescent="0.2">
      <c r="B74" s="30"/>
      <c r="C74" s="31"/>
      <c r="D74" s="31"/>
      <c r="E74" s="31"/>
      <c r="F74" s="31"/>
      <c r="G74" s="31"/>
      <c r="H74" s="31"/>
      <c r="I74" s="31"/>
      <c r="J74" s="31"/>
      <c r="K74" s="31"/>
      <c r="L74" s="31"/>
      <c r="M74" s="31"/>
      <c r="N74" s="31"/>
      <c r="O74" s="32"/>
    </row>
    <row r="75" spans="2:15" x14ac:dyDescent="0.2">
      <c r="B75" s="30"/>
      <c r="C75" s="31"/>
      <c r="D75" s="31"/>
      <c r="E75" s="31"/>
      <c r="F75" s="31"/>
      <c r="G75" s="31"/>
      <c r="H75" s="31"/>
      <c r="I75" s="31"/>
      <c r="J75" s="31"/>
      <c r="K75" s="31"/>
      <c r="L75" s="31"/>
      <c r="M75" s="31"/>
      <c r="N75" s="31"/>
      <c r="O75" s="32"/>
    </row>
    <row r="76" spans="2:15" x14ac:dyDescent="0.2">
      <c r="B76" s="30"/>
      <c r="C76" s="31"/>
      <c r="D76" s="31"/>
      <c r="E76" s="31"/>
      <c r="F76" s="31"/>
      <c r="G76" s="31"/>
      <c r="H76" s="31"/>
      <c r="I76" s="31"/>
      <c r="J76" s="31"/>
      <c r="K76" s="31"/>
      <c r="L76" s="31"/>
      <c r="M76" s="31"/>
      <c r="N76" s="31"/>
      <c r="O76" s="32"/>
    </row>
    <row r="77" spans="2:15" x14ac:dyDescent="0.2">
      <c r="B77" s="30"/>
      <c r="C77" s="31"/>
      <c r="D77" s="31"/>
      <c r="E77" s="31"/>
      <c r="F77" s="31"/>
      <c r="G77" s="31"/>
      <c r="H77" s="31"/>
      <c r="I77" s="31"/>
      <c r="J77" s="31"/>
      <c r="K77" s="31"/>
      <c r="L77" s="31"/>
      <c r="M77" s="31"/>
      <c r="N77" s="31"/>
      <c r="O77" s="32"/>
    </row>
    <row r="78" spans="2:15" x14ac:dyDescent="0.2">
      <c r="B78" s="30"/>
      <c r="C78" s="31"/>
      <c r="D78" s="31"/>
      <c r="E78" s="31"/>
      <c r="F78" s="31"/>
      <c r="G78" s="31"/>
      <c r="H78" s="31"/>
      <c r="I78" s="31"/>
      <c r="J78" s="31"/>
      <c r="K78" s="31"/>
      <c r="L78" s="31"/>
      <c r="M78" s="31"/>
      <c r="N78" s="31"/>
      <c r="O78" s="32"/>
    </row>
    <row r="79" spans="2:15" x14ac:dyDescent="0.2">
      <c r="B79" s="30"/>
      <c r="C79" s="31"/>
      <c r="D79" s="31"/>
      <c r="E79" s="31"/>
      <c r="F79" s="31"/>
      <c r="G79" s="31"/>
      <c r="H79" s="31"/>
      <c r="I79" s="31"/>
      <c r="J79" s="31"/>
      <c r="K79" s="31"/>
      <c r="L79" s="31"/>
      <c r="M79" s="31"/>
      <c r="N79" s="31"/>
      <c r="O79" s="32"/>
    </row>
    <row r="80" spans="2:15" x14ac:dyDescent="0.2">
      <c r="B80" s="30"/>
      <c r="C80" s="31"/>
      <c r="D80" s="31"/>
      <c r="E80" s="31"/>
      <c r="F80" s="31"/>
      <c r="G80" s="31"/>
      <c r="H80" s="31"/>
      <c r="I80" s="31"/>
      <c r="J80" s="31"/>
      <c r="K80" s="31"/>
      <c r="L80" s="31"/>
      <c r="M80" s="31"/>
      <c r="N80" s="31"/>
      <c r="O80" s="32"/>
    </row>
    <row r="81" spans="2:15" x14ac:dyDescent="0.2">
      <c r="B81" s="30"/>
      <c r="C81" s="31"/>
      <c r="D81" s="31"/>
      <c r="E81" s="31"/>
      <c r="F81" s="31"/>
      <c r="G81" s="31"/>
      <c r="H81" s="31"/>
      <c r="I81" s="31"/>
      <c r="J81" s="31"/>
      <c r="K81" s="31"/>
      <c r="L81" s="31"/>
      <c r="M81" s="31"/>
      <c r="N81" s="31"/>
      <c r="O81" s="32"/>
    </row>
    <row r="82" spans="2:15" x14ac:dyDescent="0.2">
      <c r="B82" s="30"/>
      <c r="C82" s="31"/>
      <c r="D82" s="31"/>
      <c r="E82" s="31"/>
      <c r="F82" s="31"/>
      <c r="G82" s="31"/>
      <c r="H82" s="31"/>
      <c r="I82" s="31"/>
      <c r="J82" s="31"/>
      <c r="K82" s="31"/>
      <c r="L82" s="31"/>
      <c r="M82" s="31"/>
      <c r="N82" s="31"/>
      <c r="O82" s="32"/>
    </row>
    <row r="83" spans="2:15" x14ac:dyDescent="0.2">
      <c r="B83" s="30"/>
      <c r="C83" s="31"/>
      <c r="D83" s="31"/>
      <c r="E83" s="31"/>
      <c r="F83" s="31"/>
      <c r="G83" s="31"/>
      <c r="H83" s="31"/>
      <c r="I83" s="31"/>
      <c r="J83" s="31"/>
      <c r="K83" s="31"/>
      <c r="L83" s="31"/>
      <c r="M83" s="31"/>
      <c r="N83" s="31"/>
      <c r="O83" s="32"/>
    </row>
    <row r="84" spans="2:15" x14ac:dyDescent="0.2">
      <c r="B84" s="30"/>
      <c r="C84" s="31"/>
      <c r="D84" s="31"/>
      <c r="E84" s="31"/>
      <c r="F84" s="31"/>
      <c r="G84" s="31"/>
      <c r="H84" s="31"/>
      <c r="I84" s="31"/>
      <c r="J84" s="31"/>
      <c r="K84" s="31"/>
      <c r="L84" s="31"/>
      <c r="M84" s="31"/>
      <c r="N84" s="31"/>
      <c r="O84" s="32"/>
    </row>
    <row r="85" spans="2:15" x14ac:dyDescent="0.2">
      <c r="B85" s="30"/>
      <c r="C85" s="31"/>
      <c r="D85" s="31"/>
      <c r="E85" s="31"/>
      <c r="F85" s="31"/>
      <c r="G85" s="31"/>
      <c r="H85" s="31"/>
      <c r="I85" s="31"/>
      <c r="J85" s="31"/>
      <c r="K85" s="31"/>
      <c r="L85" s="31"/>
      <c r="M85" s="31"/>
      <c r="N85" s="31"/>
      <c r="O85" s="32"/>
    </row>
    <row r="86" spans="2:15" x14ac:dyDescent="0.2">
      <c r="B86" s="30"/>
      <c r="C86" s="31"/>
      <c r="D86" s="31"/>
      <c r="E86" s="31"/>
      <c r="F86" s="31"/>
      <c r="G86" s="31"/>
      <c r="H86" s="31"/>
      <c r="I86" s="31"/>
      <c r="J86" s="31"/>
      <c r="K86" s="31"/>
      <c r="L86" s="31"/>
      <c r="M86" s="31"/>
      <c r="N86" s="31"/>
      <c r="O86" s="32"/>
    </row>
    <row r="87" spans="2:15" x14ac:dyDescent="0.2">
      <c r="B87" s="30"/>
      <c r="C87" s="31"/>
      <c r="D87" s="31"/>
      <c r="E87" s="31"/>
      <c r="F87" s="31"/>
      <c r="G87" s="31"/>
      <c r="H87" s="31"/>
      <c r="I87" s="31"/>
      <c r="J87" s="31"/>
      <c r="K87" s="31"/>
      <c r="L87" s="31"/>
      <c r="M87" s="31"/>
      <c r="N87" s="31"/>
      <c r="O87" s="32"/>
    </row>
    <row r="88" spans="2:15" x14ac:dyDescent="0.2">
      <c r="B88" s="30"/>
      <c r="C88" s="31"/>
      <c r="D88" s="31"/>
      <c r="E88" s="31"/>
      <c r="F88" s="31"/>
      <c r="G88" s="31"/>
      <c r="H88" s="31"/>
      <c r="I88" s="31"/>
      <c r="J88" s="31"/>
      <c r="K88" s="31"/>
      <c r="L88" s="31"/>
      <c r="M88" s="31"/>
      <c r="N88" s="31"/>
      <c r="O88" s="32"/>
    </row>
    <row r="89" spans="2:15" x14ac:dyDescent="0.2">
      <c r="B89" s="30"/>
      <c r="C89" s="31"/>
      <c r="D89" s="31"/>
      <c r="E89" s="31"/>
      <c r="F89" s="31"/>
      <c r="G89" s="31"/>
      <c r="H89" s="31"/>
      <c r="I89" s="31"/>
      <c r="J89" s="31"/>
      <c r="K89" s="31"/>
      <c r="L89" s="31"/>
      <c r="M89" s="31"/>
      <c r="N89" s="31"/>
      <c r="O89" s="32"/>
    </row>
    <row r="90" spans="2:15" x14ac:dyDescent="0.2">
      <c r="B90" s="30"/>
      <c r="C90" s="31"/>
      <c r="D90" s="31"/>
      <c r="E90" s="31"/>
      <c r="F90" s="31"/>
      <c r="G90" s="31"/>
      <c r="H90" s="31"/>
      <c r="I90" s="31"/>
      <c r="J90" s="31"/>
      <c r="K90" s="31"/>
      <c r="L90" s="31"/>
      <c r="M90" s="31"/>
      <c r="N90" s="31"/>
      <c r="O90" s="32"/>
    </row>
    <row r="91" spans="2:15" x14ac:dyDescent="0.2">
      <c r="B91" s="30"/>
      <c r="C91" s="31"/>
      <c r="D91" s="31"/>
      <c r="E91" s="31"/>
      <c r="F91" s="31"/>
      <c r="G91" s="31"/>
      <c r="H91" s="31"/>
      <c r="I91" s="31"/>
      <c r="J91" s="31"/>
      <c r="K91" s="31"/>
      <c r="L91" s="31"/>
      <c r="M91" s="31"/>
      <c r="N91" s="31"/>
      <c r="O91" s="32"/>
    </row>
    <row r="92" spans="2:15" x14ac:dyDescent="0.2">
      <c r="B92" s="30"/>
      <c r="C92" s="31"/>
      <c r="D92" s="31"/>
      <c r="E92" s="31"/>
      <c r="F92" s="31"/>
      <c r="G92" s="31"/>
      <c r="H92" s="31"/>
      <c r="I92" s="31"/>
      <c r="J92" s="31"/>
      <c r="K92" s="31"/>
      <c r="L92" s="31"/>
      <c r="M92" s="31"/>
      <c r="N92" s="31"/>
      <c r="O92" s="32"/>
    </row>
    <row r="93" spans="2:15" x14ac:dyDescent="0.2">
      <c r="B93" s="30"/>
      <c r="C93" s="31"/>
      <c r="D93" s="31"/>
      <c r="E93" s="31"/>
      <c r="F93" s="31"/>
      <c r="G93" s="31"/>
      <c r="H93" s="31"/>
      <c r="I93" s="31"/>
      <c r="J93" s="31"/>
      <c r="K93" s="31"/>
      <c r="L93" s="31"/>
      <c r="M93" s="31"/>
      <c r="N93" s="31"/>
      <c r="O93" s="32"/>
    </row>
    <row r="94" spans="2:15" x14ac:dyDescent="0.2">
      <c r="B94" s="30"/>
      <c r="C94" s="31"/>
      <c r="D94" s="31"/>
      <c r="E94" s="31"/>
      <c r="F94" s="31"/>
      <c r="G94" s="31"/>
      <c r="H94" s="31"/>
      <c r="I94" s="31"/>
      <c r="J94" s="31"/>
      <c r="K94" s="31"/>
      <c r="L94" s="31"/>
      <c r="M94" s="31"/>
      <c r="N94" s="31"/>
      <c r="O94" s="32"/>
    </row>
    <row r="95" spans="2:15" x14ac:dyDescent="0.2">
      <c r="B95" s="30"/>
      <c r="C95" s="31"/>
      <c r="D95" s="31"/>
      <c r="E95" s="31"/>
      <c r="F95" s="31"/>
      <c r="G95" s="31"/>
      <c r="H95" s="31"/>
      <c r="I95" s="31"/>
      <c r="J95" s="31"/>
      <c r="K95" s="31"/>
      <c r="L95" s="31"/>
      <c r="M95" s="31"/>
      <c r="N95" s="31"/>
      <c r="O95" s="32"/>
    </row>
    <row r="96" spans="2:15" x14ac:dyDescent="0.2">
      <c r="B96" s="30"/>
      <c r="C96" s="31"/>
      <c r="D96" s="31"/>
      <c r="E96" s="31"/>
      <c r="F96" s="31"/>
      <c r="G96" s="31"/>
      <c r="H96" s="31"/>
      <c r="I96" s="31"/>
      <c r="J96" s="31"/>
      <c r="K96" s="31"/>
      <c r="L96" s="31"/>
      <c r="M96" s="31"/>
      <c r="N96" s="31"/>
      <c r="O96" s="32"/>
    </row>
    <row r="97" spans="2:15" x14ac:dyDescent="0.2">
      <c r="B97" s="30"/>
      <c r="C97" s="31"/>
      <c r="D97" s="31"/>
      <c r="E97" s="31"/>
      <c r="F97" s="31"/>
      <c r="G97" s="31"/>
      <c r="H97" s="31"/>
      <c r="I97" s="31"/>
      <c r="J97" s="31"/>
      <c r="K97" s="31"/>
      <c r="L97" s="31"/>
      <c r="M97" s="31"/>
      <c r="N97" s="31"/>
      <c r="O97" s="32"/>
    </row>
    <row r="98" spans="2:15" x14ac:dyDescent="0.2">
      <c r="B98" s="30"/>
      <c r="C98" s="31"/>
      <c r="D98" s="31"/>
      <c r="E98" s="31"/>
      <c r="F98" s="31"/>
      <c r="G98" s="31"/>
      <c r="H98" s="31"/>
      <c r="I98" s="31"/>
      <c r="J98" s="31"/>
      <c r="K98" s="31"/>
      <c r="L98" s="31"/>
      <c r="M98" s="31"/>
      <c r="N98" s="31"/>
      <c r="O98" s="32"/>
    </row>
    <row r="99" spans="2:15" x14ac:dyDescent="0.2">
      <c r="B99" s="30"/>
      <c r="C99" s="31"/>
      <c r="D99" s="31"/>
      <c r="E99" s="31"/>
      <c r="F99" s="31"/>
      <c r="G99" s="31"/>
      <c r="H99" s="31"/>
      <c r="I99" s="31"/>
      <c r="J99" s="31"/>
      <c r="K99" s="31"/>
      <c r="L99" s="31"/>
      <c r="M99" s="31"/>
      <c r="N99" s="31"/>
      <c r="O99" s="32"/>
    </row>
    <row r="100" spans="2:15" x14ac:dyDescent="0.2">
      <c r="B100" s="30"/>
      <c r="C100" s="31"/>
      <c r="D100" s="31"/>
      <c r="E100" s="31"/>
      <c r="F100" s="31"/>
      <c r="G100" s="31"/>
      <c r="H100" s="31"/>
      <c r="I100" s="31"/>
      <c r="J100" s="31"/>
      <c r="K100" s="31"/>
      <c r="L100" s="31"/>
      <c r="M100" s="31"/>
      <c r="N100" s="31"/>
      <c r="O100" s="32"/>
    </row>
    <row r="101" spans="2:15" x14ac:dyDescent="0.2">
      <c r="B101" s="30"/>
      <c r="C101" s="31"/>
      <c r="D101" s="31"/>
      <c r="E101" s="31"/>
      <c r="F101" s="31"/>
      <c r="G101" s="31"/>
      <c r="H101" s="31"/>
      <c r="I101" s="31"/>
      <c r="J101" s="31"/>
      <c r="K101" s="31"/>
      <c r="L101" s="31"/>
      <c r="M101" s="31"/>
      <c r="N101" s="31"/>
      <c r="O101" s="32"/>
    </row>
    <row r="102" spans="2:15" x14ac:dyDescent="0.2">
      <c r="B102" s="30"/>
      <c r="C102" s="31"/>
      <c r="D102" s="31"/>
      <c r="E102" s="31"/>
      <c r="F102" s="31"/>
      <c r="G102" s="31"/>
      <c r="H102" s="31"/>
      <c r="I102" s="31"/>
      <c r="J102" s="31"/>
      <c r="K102" s="31"/>
      <c r="L102" s="31"/>
      <c r="M102" s="31"/>
      <c r="N102" s="31"/>
      <c r="O102" s="32"/>
    </row>
    <row r="103" spans="2:15" x14ac:dyDescent="0.2">
      <c r="B103" s="30"/>
      <c r="C103" s="31"/>
      <c r="D103" s="31"/>
      <c r="E103" s="31"/>
      <c r="F103" s="31"/>
      <c r="G103" s="31"/>
      <c r="H103" s="31"/>
      <c r="I103" s="31"/>
      <c r="J103" s="31"/>
      <c r="K103" s="31"/>
      <c r="L103" s="31"/>
      <c r="M103" s="31"/>
      <c r="N103" s="31"/>
      <c r="O103" s="32"/>
    </row>
    <row r="104" spans="2:15" x14ac:dyDescent="0.2">
      <c r="B104" s="30"/>
      <c r="C104" s="31"/>
      <c r="D104" s="31"/>
      <c r="E104" s="31"/>
      <c r="F104" s="31"/>
      <c r="G104" s="31"/>
      <c r="H104" s="31"/>
      <c r="I104" s="31"/>
      <c r="J104" s="31"/>
      <c r="K104" s="31"/>
      <c r="L104" s="31"/>
      <c r="M104" s="31"/>
      <c r="N104" s="31"/>
      <c r="O104" s="32"/>
    </row>
    <row r="105" spans="2:15" x14ac:dyDescent="0.2">
      <c r="B105" s="30"/>
      <c r="C105" s="31"/>
      <c r="D105" s="31"/>
      <c r="E105" s="31"/>
      <c r="F105" s="31"/>
      <c r="G105" s="31"/>
      <c r="H105" s="31"/>
      <c r="I105" s="31"/>
      <c r="J105" s="31"/>
      <c r="K105" s="31"/>
      <c r="L105" s="31"/>
      <c r="M105" s="31"/>
      <c r="N105" s="31"/>
      <c r="O105" s="32"/>
    </row>
    <row r="106" spans="2:15" x14ac:dyDescent="0.2">
      <c r="B106" s="30"/>
      <c r="C106" s="31"/>
      <c r="D106" s="31"/>
      <c r="E106" s="31"/>
      <c r="F106" s="31"/>
      <c r="G106" s="31"/>
      <c r="H106" s="31"/>
      <c r="I106" s="31"/>
      <c r="J106" s="31"/>
      <c r="K106" s="31"/>
      <c r="L106" s="31"/>
      <c r="M106" s="31"/>
      <c r="N106" s="31"/>
      <c r="O106" s="32"/>
    </row>
    <row r="107" spans="2:15" x14ac:dyDescent="0.2">
      <c r="B107" s="30"/>
      <c r="C107" s="31"/>
      <c r="D107" s="31"/>
      <c r="E107" s="31"/>
      <c r="F107" s="31"/>
      <c r="G107" s="31"/>
      <c r="H107" s="31"/>
      <c r="I107" s="31"/>
      <c r="J107" s="31"/>
      <c r="K107" s="31"/>
      <c r="L107" s="31"/>
      <c r="M107" s="31"/>
      <c r="N107" s="31"/>
      <c r="O107" s="32"/>
    </row>
    <row r="108" spans="2:15" x14ac:dyDescent="0.2">
      <c r="B108" s="30"/>
      <c r="C108" s="31"/>
      <c r="D108" s="31"/>
      <c r="E108" s="31"/>
      <c r="F108" s="31"/>
      <c r="G108" s="31"/>
      <c r="H108" s="31"/>
      <c r="I108" s="31"/>
      <c r="J108" s="31"/>
      <c r="K108" s="31"/>
      <c r="L108" s="31"/>
      <c r="M108" s="31"/>
      <c r="N108" s="31"/>
      <c r="O108" s="32"/>
    </row>
    <row r="109" spans="2:15" x14ac:dyDescent="0.2">
      <c r="B109" s="30"/>
      <c r="C109" s="31"/>
      <c r="D109" s="31"/>
      <c r="E109" s="31"/>
      <c r="F109" s="31"/>
      <c r="G109" s="31"/>
      <c r="H109" s="31"/>
      <c r="I109" s="31"/>
      <c r="J109" s="31"/>
      <c r="K109" s="31"/>
      <c r="L109" s="31"/>
      <c r="M109" s="31"/>
      <c r="N109" s="31"/>
      <c r="O109" s="32"/>
    </row>
    <row r="110" spans="2:15" x14ac:dyDescent="0.2">
      <c r="B110" s="30"/>
      <c r="C110" s="31"/>
      <c r="D110" s="31"/>
      <c r="E110" s="31"/>
      <c r="F110" s="31"/>
      <c r="G110" s="31"/>
      <c r="H110" s="31"/>
      <c r="I110" s="31"/>
      <c r="J110" s="31"/>
      <c r="K110" s="31"/>
      <c r="L110" s="31"/>
      <c r="M110" s="31"/>
      <c r="N110" s="31"/>
      <c r="O110" s="32"/>
    </row>
    <row r="111" spans="2:15" x14ac:dyDescent="0.2">
      <c r="B111" s="30"/>
      <c r="C111" s="31"/>
      <c r="D111" s="31"/>
      <c r="E111" s="31"/>
      <c r="F111" s="31"/>
      <c r="G111" s="31"/>
      <c r="H111" s="31"/>
      <c r="I111" s="31"/>
      <c r="J111" s="31"/>
      <c r="K111" s="31"/>
      <c r="L111" s="31"/>
      <c r="M111" s="31"/>
      <c r="N111" s="31"/>
      <c r="O111" s="32"/>
    </row>
    <row r="112" spans="2:15" x14ac:dyDescent="0.2">
      <c r="B112" s="30"/>
      <c r="C112" s="31"/>
      <c r="D112" s="31"/>
      <c r="E112" s="31"/>
      <c r="F112" s="31"/>
      <c r="G112" s="31"/>
      <c r="H112" s="31"/>
      <c r="I112" s="31"/>
      <c r="J112" s="31"/>
      <c r="K112" s="31"/>
      <c r="L112" s="31"/>
      <c r="M112" s="31"/>
      <c r="N112" s="31"/>
      <c r="O112" s="32"/>
    </row>
    <row r="113" spans="2:15" x14ac:dyDescent="0.2">
      <c r="B113" s="30"/>
      <c r="C113" s="31"/>
      <c r="D113" s="31"/>
      <c r="E113" s="31"/>
      <c r="F113" s="31"/>
      <c r="G113" s="31"/>
      <c r="H113" s="31"/>
      <c r="I113" s="31"/>
      <c r="J113" s="31"/>
      <c r="K113" s="31"/>
      <c r="L113" s="31"/>
      <c r="M113" s="31"/>
      <c r="N113" s="31"/>
      <c r="O113" s="32"/>
    </row>
    <row r="114" spans="2:15" x14ac:dyDescent="0.2">
      <c r="B114" s="30"/>
      <c r="C114" s="31"/>
      <c r="D114" s="31"/>
      <c r="E114" s="31"/>
      <c r="F114" s="31"/>
      <c r="G114" s="31"/>
      <c r="H114" s="31"/>
      <c r="I114" s="31"/>
      <c r="J114" s="31"/>
      <c r="K114" s="31"/>
      <c r="L114" s="31"/>
      <c r="M114" s="31"/>
      <c r="N114" s="31"/>
      <c r="O114" s="32"/>
    </row>
    <row r="115" spans="2:15" x14ac:dyDescent="0.2">
      <c r="B115" s="30"/>
      <c r="C115" s="31"/>
      <c r="D115" s="31"/>
      <c r="E115" s="31"/>
      <c r="F115" s="31"/>
      <c r="G115" s="31"/>
      <c r="H115" s="31"/>
      <c r="I115" s="31"/>
      <c r="J115" s="31"/>
      <c r="K115" s="31"/>
      <c r="L115" s="31"/>
      <c r="M115" s="31"/>
      <c r="N115" s="31"/>
      <c r="O115" s="32"/>
    </row>
    <row r="116" spans="2:15" x14ac:dyDescent="0.2">
      <c r="B116" s="30"/>
      <c r="C116" s="31"/>
      <c r="D116" s="31"/>
      <c r="E116" s="31"/>
      <c r="F116" s="31"/>
      <c r="G116" s="31"/>
      <c r="H116" s="31"/>
      <c r="I116" s="31"/>
      <c r="J116" s="31"/>
      <c r="K116" s="31"/>
      <c r="L116" s="31"/>
      <c r="M116" s="31"/>
      <c r="N116" s="31"/>
      <c r="O116" s="32"/>
    </row>
    <row r="117" spans="2:15" x14ac:dyDescent="0.2">
      <c r="B117" s="30"/>
      <c r="C117" s="31"/>
      <c r="D117" s="31"/>
      <c r="E117" s="31"/>
      <c r="F117" s="31"/>
      <c r="G117" s="31"/>
      <c r="H117" s="31"/>
      <c r="I117" s="31"/>
      <c r="J117" s="31"/>
      <c r="K117" s="31"/>
      <c r="L117" s="31"/>
      <c r="M117" s="31"/>
      <c r="N117" s="31"/>
      <c r="O117" s="32"/>
    </row>
    <row r="118" spans="2:15" x14ac:dyDescent="0.2">
      <c r="B118" s="30"/>
      <c r="C118" s="31"/>
      <c r="D118" s="31"/>
      <c r="E118" s="31"/>
      <c r="F118" s="31"/>
      <c r="G118" s="31"/>
      <c r="H118" s="31"/>
      <c r="I118" s="31"/>
      <c r="J118" s="31"/>
      <c r="K118" s="31"/>
      <c r="L118" s="31"/>
      <c r="M118" s="31"/>
      <c r="N118" s="31"/>
      <c r="O118" s="32"/>
    </row>
    <row r="119" spans="2:15" x14ac:dyDescent="0.2">
      <c r="B119" s="30"/>
      <c r="C119" s="31"/>
      <c r="D119" s="31"/>
      <c r="E119" s="31"/>
      <c r="F119" s="31"/>
      <c r="G119" s="31"/>
      <c r="H119" s="31"/>
      <c r="I119" s="31"/>
      <c r="J119" s="31"/>
      <c r="K119" s="31"/>
      <c r="L119" s="31"/>
      <c r="M119" s="31"/>
      <c r="N119" s="31"/>
      <c r="O119" s="32"/>
    </row>
    <row r="120" spans="2:15" x14ac:dyDescent="0.2">
      <c r="B120" s="30"/>
      <c r="C120" s="31"/>
      <c r="D120" s="31"/>
      <c r="E120" s="31"/>
      <c r="F120" s="31"/>
      <c r="G120" s="31"/>
      <c r="H120" s="31"/>
      <c r="I120" s="31"/>
      <c r="J120" s="31"/>
      <c r="K120" s="31"/>
      <c r="L120" s="31"/>
      <c r="M120" s="31"/>
      <c r="N120" s="31"/>
      <c r="O120" s="32"/>
    </row>
    <row r="121" spans="2:15" x14ac:dyDescent="0.2">
      <c r="B121" s="30"/>
      <c r="C121" s="31"/>
      <c r="D121" s="31"/>
      <c r="E121" s="31"/>
      <c r="F121" s="31"/>
      <c r="G121" s="31"/>
      <c r="H121" s="31"/>
      <c r="I121" s="31"/>
      <c r="J121" s="31"/>
      <c r="K121" s="31"/>
      <c r="L121" s="31"/>
      <c r="M121" s="31"/>
      <c r="N121" s="31"/>
      <c r="O121" s="32"/>
    </row>
    <row r="122" spans="2:15" x14ac:dyDescent="0.2">
      <c r="B122" s="30"/>
      <c r="C122" s="31"/>
      <c r="D122" s="31"/>
      <c r="E122" s="31"/>
      <c r="F122" s="31"/>
      <c r="G122" s="31"/>
      <c r="H122" s="31"/>
      <c r="I122" s="31"/>
      <c r="J122" s="31"/>
      <c r="K122" s="31"/>
      <c r="L122" s="31"/>
      <c r="M122" s="31"/>
      <c r="N122" s="31"/>
      <c r="O122" s="32"/>
    </row>
    <row r="123" spans="2:15" x14ac:dyDescent="0.2">
      <c r="B123" s="30"/>
      <c r="C123" s="31"/>
      <c r="D123" s="31"/>
      <c r="E123" s="31"/>
      <c r="F123" s="31"/>
      <c r="G123" s="31"/>
      <c r="H123" s="31"/>
      <c r="I123" s="31"/>
      <c r="J123" s="31"/>
      <c r="K123" s="31"/>
      <c r="L123" s="31"/>
      <c r="M123" s="31"/>
      <c r="N123" s="31"/>
      <c r="O123" s="32"/>
    </row>
    <row r="124" spans="2:15" x14ac:dyDescent="0.2">
      <c r="B124" s="30"/>
      <c r="C124" s="31"/>
      <c r="D124" s="31"/>
      <c r="E124" s="31"/>
      <c r="F124" s="31"/>
      <c r="G124" s="31"/>
      <c r="H124" s="31"/>
      <c r="I124" s="31"/>
      <c r="J124" s="31"/>
      <c r="K124" s="31"/>
      <c r="L124" s="31"/>
      <c r="M124" s="31"/>
      <c r="N124" s="31"/>
      <c r="O124" s="32"/>
    </row>
    <row r="125" spans="2:15" x14ac:dyDescent="0.2">
      <c r="B125" s="30"/>
      <c r="C125" s="31"/>
      <c r="D125" s="31"/>
      <c r="E125" s="31"/>
      <c r="F125" s="31"/>
      <c r="G125" s="31"/>
      <c r="H125" s="31"/>
      <c r="I125" s="31"/>
      <c r="J125" s="31"/>
      <c r="K125" s="31"/>
      <c r="L125" s="31"/>
      <c r="M125" s="31"/>
      <c r="N125" s="31"/>
      <c r="O125" s="32"/>
    </row>
    <row r="126" spans="2:15" x14ac:dyDescent="0.2">
      <c r="B126" s="30"/>
      <c r="C126" s="31"/>
      <c r="D126" s="31"/>
      <c r="E126" s="31"/>
      <c r="F126" s="31"/>
      <c r="G126" s="31"/>
      <c r="H126" s="31"/>
      <c r="I126" s="31"/>
      <c r="J126" s="31"/>
      <c r="K126" s="31"/>
      <c r="L126" s="31"/>
      <c r="M126" s="31"/>
      <c r="N126" s="31"/>
      <c r="O126" s="32"/>
    </row>
    <row r="127" spans="2:15" x14ac:dyDescent="0.2">
      <c r="B127" s="30"/>
      <c r="C127" s="31"/>
      <c r="D127" s="31"/>
      <c r="E127" s="31"/>
      <c r="F127" s="31"/>
      <c r="G127" s="31"/>
      <c r="H127" s="31"/>
      <c r="I127" s="31"/>
      <c r="J127" s="31"/>
      <c r="K127" s="31"/>
      <c r="L127" s="31"/>
      <c r="M127" s="31"/>
      <c r="N127" s="31"/>
      <c r="O127" s="32"/>
    </row>
    <row r="128" spans="2:15" x14ac:dyDescent="0.2">
      <c r="B128" s="30"/>
      <c r="C128" s="31"/>
      <c r="D128" s="31"/>
      <c r="E128" s="31"/>
      <c r="F128" s="31"/>
      <c r="G128" s="31"/>
      <c r="H128" s="31"/>
      <c r="I128" s="31"/>
      <c r="J128" s="31"/>
      <c r="K128" s="31"/>
      <c r="L128" s="31"/>
      <c r="M128" s="31"/>
      <c r="N128" s="31"/>
      <c r="O128" s="32"/>
    </row>
    <row r="129" spans="2:15" x14ac:dyDescent="0.2">
      <c r="B129" s="30"/>
      <c r="C129" s="31"/>
      <c r="D129" s="31"/>
      <c r="E129" s="31"/>
      <c r="F129" s="31"/>
      <c r="G129" s="31"/>
      <c r="H129" s="31"/>
      <c r="I129" s="31"/>
      <c r="J129" s="31"/>
      <c r="K129" s="31"/>
      <c r="L129" s="31"/>
      <c r="M129" s="31"/>
      <c r="N129" s="31"/>
      <c r="O129" s="32"/>
    </row>
    <row r="130" spans="2:15" x14ac:dyDescent="0.2">
      <c r="B130" s="30"/>
      <c r="C130" s="31"/>
      <c r="D130" s="31"/>
      <c r="E130" s="31"/>
      <c r="F130" s="31"/>
      <c r="G130" s="31"/>
      <c r="H130" s="31"/>
      <c r="I130" s="31"/>
      <c r="J130" s="31"/>
      <c r="K130" s="31"/>
      <c r="L130" s="31"/>
      <c r="M130" s="31"/>
      <c r="N130" s="31"/>
      <c r="O130" s="32"/>
    </row>
    <row r="131" spans="2:15" x14ac:dyDescent="0.2">
      <c r="B131" s="30"/>
      <c r="C131" s="31"/>
      <c r="D131" s="31"/>
      <c r="E131" s="31"/>
      <c r="F131" s="31"/>
      <c r="G131" s="31"/>
      <c r="H131" s="31"/>
      <c r="I131" s="31"/>
      <c r="J131" s="31"/>
      <c r="K131" s="31"/>
      <c r="L131" s="31"/>
      <c r="M131" s="31"/>
      <c r="N131" s="31"/>
      <c r="O131" s="32"/>
    </row>
    <row r="132" spans="2:15" x14ac:dyDescent="0.2">
      <c r="B132" s="30"/>
      <c r="C132" s="31"/>
      <c r="D132" s="31"/>
      <c r="E132" s="31"/>
      <c r="F132" s="31"/>
      <c r="G132" s="31"/>
      <c r="H132" s="31"/>
      <c r="I132" s="31"/>
      <c r="J132" s="31"/>
      <c r="K132" s="31"/>
      <c r="L132" s="31"/>
      <c r="M132" s="31"/>
      <c r="N132" s="31"/>
      <c r="O132" s="32"/>
    </row>
    <row r="133" spans="2:15" x14ac:dyDescent="0.2">
      <c r="B133" s="30"/>
      <c r="C133" s="31"/>
      <c r="D133" s="31"/>
      <c r="E133" s="31"/>
      <c r="F133" s="31"/>
      <c r="G133" s="31"/>
      <c r="H133" s="31"/>
      <c r="I133" s="31"/>
      <c r="J133" s="31"/>
      <c r="K133" s="31"/>
      <c r="L133" s="31"/>
      <c r="M133" s="31"/>
      <c r="N133" s="31"/>
      <c r="O133" s="32"/>
    </row>
    <row r="134" spans="2:15" x14ac:dyDescent="0.2">
      <c r="B134" s="30"/>
      <c r="C134" s="31"/>
      <c r="D134" s="31"/>
      <c r="E134" s="31"/>
      <c r="F134" s="31"/>
      <c r="G134" s="31"/>
      <c r="H134" s="31"/>
      <c r="I134" s="31"/>
      <c r="J134" s="31"/>
      <c r="K134" s="31"/>
      <c r="L134" s="31"/>
      <c r="M134" s="31"/>
      <c r="N134" s="31"/>
      <c r="O134" s="32"/>
    </row>
    <row r="135" spans="2:15" x14ac:dyDescent="0.2">
      <c r="B135" s="30"/>
      <c r="C135" s="31"/>
      <c r="D135" s="31"/>
      <c r="E135" s="31"/>
      <c r="F135" s="31"/>
      <c r="G135" s="31"/>
      <c r="H135" s="31"/>
      <c r="I135" s="31"/>
      <c r="J135" s="31"/>
      <c r="K135" s="31"/>
      <c r="L135" s="31"/>
      <c r="M135" s="31"/>
      <c r="N135" s="31"/>
      <c r="O135" s="32"/>
    </row>
    <row r="136" spans="2:15" x14ac:dyDescent="0.2">
      <c r="B136" s="30"/>
      <c r="C136" s="31"/>
      <c r="D136" s="31"/>
      <c r="E136" s="31"/>
      <c r="F136" s="31"/>
      <c r="G136" s="31"/>
      <c r="H136" s="31"/>
      <c r="I136" s="31"/>
      <c r="J136" s="31"/>
      <c r="K136" s="31"/>
      <c r="L136" s="31"/>
      <c r="M136" s="31"/>
      <c r="N136" s="31"/>
      <c r="O136" s="32"/>
    </row>
    <row r="137" spans="2:15" x14ac:dyDescent="0.2">
      <c r="B137" s="30"/>
      <c r="C137" s="31"/>
      <c r="D137" s="31"/>
      <c r="E137" s="31"/>
      <c r="F137" s="31"/>
      <c r="G137" s="31"/>
      <c r="H137" s="31"/>
      <c r="I137" s="31"/>
      <c r="J137" s="31"/>
      <c r="K137" s="31"/>
      <c r="L137" s="31"/>
      <c r="M137" s="31"/>
      <c r="N137" s="31"/>
      <c r="O137" s="32"/>
    </row>
    <row r="138" spans="2:15" x14ac:dyDescent="0.2">
      <c r="B138" s="30"/>
      <c r="C138" s="31"/>
      <c r="D138" s="31"/>
      <c r="E138" s="31"/>
      <c r="F138" s="31"/>
      <c r="G138" s="31"/>
      <c r="H138" s="31"/>
      <c r="I138" s="31"/>
      <c r="J138" s="31"/>
      <c r="K138" s="31"/>
      <c r="L138" s="31"/>
      <c r="M138" s="31"/>
      <c r="N138" s="31"/>
      <c r="O138" s="32"/>
    </row>
    <row r="139" spans="2:15" x14ac:dyDescent="0.2">
      <c r="B139" s="30"/>
      <c r="C139" s="31"/>
      <c r="D139" s="31"/>
      <c r="E139" s="31"/>
      <c r="F139" s="31"/>
      <c r="G139" s="31"/>
      <c r="H139" s="31"/>
      <c r="I139" s="31"/>
      <c r="J139" s="31"/>
      <c r="K139" s="31"/>
      <c r="L139" s="31"/>
      <c r="M139" s="31"/>
      <c r="N139" s="31"/>
      <c r="O139" s="32"/>
    </row>
    <row r="140" spans="2:15" x14ac:dyDescent="0.2">
      <c r="B140" s="30"/>
      <c r="C140" s="31"/>
      <c r="D140" s="31"/>
      <c r="E140" s="31"/>
      <c r="F140" s="31"/>
      <c r="G140" s="31"/>
      <c r="H140" s="31"/>
      <c r="I140" s="31"/>
      <c r="J140" s="31"/>
      <c r="K140" s="31"/>
      <c r="L140" s="31"/>
      <c r="M140" s="31"/>
      <c r="N140" s="31"/>
      <c r="O140" s="32"/>
    </row>
    <row r="141" spans="2:15" x14ac:dyDescent="0.2">
      <c r="B141" s="30"/>
      <c r="C141" s="31"/>
      <c r="D141" s="31"/>
      <c r="E141" s="31"/>
      <c r="F141" s="31"/>
      <c r="G141" s="31"/>
      <c r="H141" s="31"/>
      <c r="I141" s="31"/>
      <c r="J141" s="31"/>
      <c r="K141" s="31"/>
      <c r="L141" s="31"/>
      <c r="M141" s="31"/>
      <c r="N141" s="31"/>
      <c r="O141" s="32"/>
    </row>
    <row r="142" spans="2:15" x14ac:dyDescent="0.2">
      <c r="B142" s="30"/>
      <c r="C142" s="31"/>
      <c r="D142" s="31"/>
      <c r="E142" s="31"/>
      <c r="F142" s="31"/>
      <c r="G142" s="31"/>
      <c r="H142" s="31"/>
      <c r="I142" s="31"/>
      <c r="J142" s="31"/>
      <c r="K142" s="31"/>
      <c r="L142" s="31"/>
      <c r="M142" s="31"/>
      <c r="N142" s="31"/>
      <c r="O142" s="32"/>
    </row>
    <row r="143" spans="2:15" x14ac:dyDescent="0.2">
      <c r="B143" s="30"/>
      <c r="C143" s="31"/>
      <c r="D143" s="31"/>
      <c r="E143" s="31"/>
      <c r="F143" s="31"/>
      <c r="G143" s="31"/>
      <c r="H143" s="31"/>
      <c r="I143" s="31"/>
      <c r="J143" s="31"/>
      <c r="K143" s="31"/>
      <c r="L143" s="31"/>
      <c r="M143" s="31"/>
      <c r="N143" s="31"/>
      <c r="O143" s="32"/>
    </row>
    <row r="144" spans="2:15" x14ac:dyDescent="0.2">
      <c r="B144" s="30"/>
      <c r="C144" s="31"/>
      <c r="D144" s="31"/>
      <c r="E144" s="31"/>
      <c r="F144" s="31"/>
      <c r="G144" s="31"/>
      <c r="H144" s="31"/>
      <c r="I144" s="31"/>
      <c r="J144" s="31"/>
      <c r="K144" s="31"/>
      <c r="L144" s="31"/>
      <c r="M144" s="31"/>
      <c r="N144" s="31"/>
      <c r="O144" s="32"/>
    </row>
    <row r="145" spans="2:15" x14ac:dyDescent="0.2">
      <c r="B145" s="30"/>
      <c r="C145" s="31"/>
      <c r="D145" s="31"/>
      <c r="E145" s="31"/>
      <c r="F145" s="31"/>
      <c r="G145" s="31"/>
      <c r="H145" s="31"/>
      <c r="I145" s="31"/>
      <c r="J145" s="31"/>
      <c r="K145" s="31"/>
      <c r="L145" s="31"/>
      <c r="M145" s="31"/>
      <c r="N145" s="31"/>
      <c r="O145" s="32"/>
    </row>
    <row r="146" spans="2:15" x14ac:dyDescent="0.2">
      <c r="B146" s="30"/>
      <c r="C146" s="31"/>
      <c r="D146" s="31"/>
      <c r="E146" s="31"/>
      <c r="F146" s="31"/>
      <c r="G146" s="31"/>
      <c r="H146" s="31"/>
      <c r="I146" s="31"/>
      <c r="J146" s="31"/>
      <c r="K146" s="31"/>
      <c r="L146" s="31"/>
      <c r="M146" s="31"/>
      <c r="N146" s="31"/>
      <c r="O146" s="32"/>
    </row>
    <row r="147" spans="2:15" x14ac:dyDescent="0.2">
      <c r="B147" s="30"/>
      <c r="C147" s="31"/>
      <c r="D147" s="31"/>
      <c r="E147" s="31"/>
      <c r="F147" s="31"/>
      <c r="G147" s="31"/>
      <c r="H147" s="31"/>
      <c r="I147" s="31"/>
      <c r="J147" s="31"/>
      <c r="K147" s="31"/>
      <c r="L147" s="31"/>
      <c r="M147" s="31"/>
      <c r="N147" s="31"/>
      <c r="O147" s="32"/>
    </row>
    <row r="148" spans="2:15" x14ac:dyDescent="0.2">
      <c r="B148" s="30"/>
      <c r="C148" s="31"/>
      <c r="D148" s="31"/>
      <c r="E148" s="31"/>
      <c r="F148" s="31"/>
      <c r="G148" s="31"/>
      <c r="H148" s="31"/>
      <c r="I148" s="31"/>
      <c r="J148" s="31"/>
      <c r="K148" s="31"/>
      <c r="L148" s="31"/>
      <c r="M148" s="31"/>
      <c r="N148" s="31"/>
      <c r="O148" s="32"/>
    </row>
    <row r="149" spans="2:15" x14ac:dyDescent="0.2">
      <c r="B149" s="30"/>
      <c r="C149" s="31"/>
      <c r="D149" s="31"/>
      <c r="E149" s="31"/>
      <c r="F149" s="31"/>
      <c r="G149" s="31"/>
      <c r="H149" s="31"/>
      <c r="I149" s="31"/>
      <c r="J149" s="31"/>
      <c r="K149" s="31"/>
      <c r="L149" s="31"/>
      <c r="M149" s="31"/>
      <c r="N149" s="31"/>
      <c r="O149" s="32"/>
    </row>
    <row r="150" spans="2:15" x14ac:dyDescent="0.2">
      <c r="B150" s="30"/>
      <c r="C150" s="31"/>
      <c r="D150" s="31"/>
      <c r="E150" s="31"/>
      <c r="F150" s="31"/>
      <c r="G150" s="31"/>
      <c r="H150" s="31"/>
      <c r="I150" s="31"/>
      <c r="J150" s="31"/>
      <c r="K150" s="31"/>
      <c r="L150" s="31"/>
      <c r="M150" s="31"/>
      <c r="N150" s="31"/>
      <c r="O150" s="32"/>
    </row>
    <row r="151" spans="2:15" x14ac:dyDescent="0.2">
      <c r="B151" s="30"/>
      <c r="C151" s="31"/>
      <c r="D151" s="31"/>
      <c r="E151" s="31"/>
      <c r="F151" s="31"/>
      <c r="G151" s="31"/>
      <c r="H151" s="31"/>
      <c r="I151" s="31"/>
      <c r="J151" s="31"/>
      <c r="K151" s="31"/>
      <c r="L151" s="31"/>
      <c r="M151" s="31"/>
      <c r="N151" s="31"/>
      <c r="O151" s="32"/>
    </row>
    <row r="152" spans="2:15" x14ac:dyDescent="0.2">
      <c r="B152" s="30"/>
      <c r="C152" s="31"/>
      <c r="D152" s="31"/>
      <c r="E152" s="31"/>
      <c r="F152" s="31"/>
      <c r="G152" s="31"/>
      <c r="H152" s="31"/>
      <c r="I152" s="31"/>
      <c r="J152" s="31"/>
      <c r="K152" s="31"/>
      <c r="L152" s="31"/>
      <c r="M152" s="31"/>
      <c r="N152" s="31"/>
      <c r="O152" s="32"/>
    </row>
    <row r="153" spans="2:15" x14ac:dyDescent="0.2">
      <c r="B153" s="30"/>
      <c r="C153" s="31"/>
      <c r="D153" s="31"/>
      <c r="E153" s="31"/>
      <c r="F153" s="31"/>
      <c r="G153" s="31"/>
      <c r="H153" s="31"/>
      <c r="I153" s="31"/>
      <c r="J153" s="31"/>
      <c r="K153" s="31"/>
      <c r="L153" s="31"/>
      <c r="M153" s="31"/>
      <c r="N153" s="31"/>
      <c r="O153" s="32"/>
    </row>
    <row r="154" spans="2:15" x14ac:dyDescent="0.2">
      <c r="B154" s="30"/>
      <c r="C154" s="31"/>
      <c r="D154" s="31"/>
      <c r="E154" s="31"/>
      <c r="F154" s="31"/>
      <c r="G154" s="31"/>
      <c r="H154" s="31"/>
      <c r="I154" s="31"/>
      <c r="J154" s="31"/>
      <c r="K154" s="31"/>
      <c r="L154" s="31"/>
      <c r="M154" s="31"/>
      <c r="N154" s="31"/>
      <c r="O154" s="32"/>
    </row>
    <row r="155" spans="2:15" x14ac:dyDescent="0.2">
      <c r="B155" s="30"/>
      <c r="C155" s="31"/>
      <c r="D155" s="31"/>
      <c r="E155" s="31"/>
      <c r="F155" s="31"/>
      <c r="G155" s="31"/>
      <c r="H155" s="31"/>
      <c r="I155" s="31"/>
      <c r="J155" s="31"/>
      <c r="K155" s="31"/>
      <c r="L155" s="31"/>
      <c r="M155" s="31"/>
      <c r="N155" s="31"/>
      <c r="O155" s="32"/>
    </row>
    <row r="156" spans="2:15" x14ac:dyDescent="0.2">
      <c r="B156" s="30"/>
      <c r="C156" s="31"/>
      <c r="D156" s="31"/>
      <c r="E156" s="31"/>
      <c r="F156" s="31"/>
      <c r="G156" s="31"/>
      <c r="H156" s="31"/>
      <c r="I156" s="31"/>
      <c r="J156" s="31"/>
      <c r="K156" s="31"/>
      <c r="L156" s="31"/>
      <c r="M156" s="31"/>
      <c r="N156" s="31"/>
      <c r="O156" s="32"/>
    </row>
    <row r="157" spans="2:15" x14ac:dyDescent="0.2">
      <c r="B157" s="30"/>
      <c r="C157" s="31"/>
      <c r="D157" s="31"/>
      <c r="E157" s="31"/>
      <c r="F157" s="31"/>
      <c r="G157" s="31"/>
      <c r="H157" s="31"/>
      <c r="I157" s="31"/>
      <c r="J157" s="31"/>
      <c r="K157" s="31"/>
      <c r="L157" s="31"/>
      <c r="M157" s="31"/>
      <c r="N157" s="31"/>
      <c r="O157" s="32"/>
    </row>
    <row r="158" spans="2:15" x14ac:dyDescent="0.2">
      <c r="B158" s="30"/>
      <c r="C158" s="31"/>
      <c r="D158" s="31"/>
      <c r="E158" s="31"/>
      <c r="F158" s="31"/>
      <c r="G158" s="31"/>
      <c r="H158" s="31"/>
      <c r="I158" s="31"/>
      <c r="J158" s="31"/>
      <c r="K158" s="31"/>
      <c r="L158" s="31"/>
      <c r="M158" s="31"/>
      <c r="N158" s="31"/>
      <c r="O158" s="32"/>
    </row>
    <row r="159" spans="2:15" x14ac:dyDescent="0.2">
      <c r="B159" s="30"/>
      <c r="C159" s="31"/>
      <c r="D159" s="31"/>
      <c r="E159" s="31"/>
      <c r="F159" s="31"/>
      <c r="G159" s="31"/>
      <c r="H159" s="31"/>
      <c r="I159" s="31"/>
      <c r="J159" s="31"/>
      <c r="K159" s="31"/>
      <c r="L159" s="31"/>
      <c r="M159" s="31"/>
      <c r="N159" s="31"/>
      <c r="O159" s="32"/>
    </row>
    <row r="160" spans="2:15" x14ac:dyDescent="0.2">
      <c r="B160" s="30"/>
      <c r="C160" s="31"/>
      <c r="D160" s="31"/>
      <c r="E160" s="31"/>
      <c r="F160" s="31"/>
      <c r="G160" s="31"/>
      <c r="H160" s="31"/>
      <c r="I160" s="31"/>
      <c r="J160" s="31"/>
      <c r="K160" s="31"/>
      <c r="L160" s="31"/>
      <c r="M160" s="31"/>
      <c r="N160" s="31"/>
      <c r="O160" s="32"/>
    </row>
    <row r="161" spans="2:15" x14ac:dyDescent="0.2">
      <c r="B161" s="30"/>
      <c r="C161" s="31"/>
      <c r="D161" s="31"/>
      <c r="E161" s="31"/>
      <c r="F161" s="31"/>
      <c r="G161" s="31"/>
      <c r="H161" s="31"/>
      <c r="I161" s="31"/>
      <c r="J161" s="31"/>
      <c r="K161" s="31"/>
      <c r="L161" s="31"/>
      <c r="M161" s="31"/>
      <c r="N161" s="31"/>
      <c r="O161" s="32"/>
    </row>
    <row r="162" spans="2:15" x14ac:dyDescent="0.2">
      <c r="B162" s="30"/>
      <c r="C162" s="31"/>
      <c r="D162" s="31"/>
      <c r="E162" s="31"/>
      <c r="F162" s="31"/>
      <c r="G162" s="31"/>
      <c r="H162" s="31"/>
      <c r="I162" s="31"/>
      <c r="J162" s="31"/>
      <c r="K162" s="31"/>
      <c r="L162" s="31"/>
      <c r="M162" s="31"/>
      <c r="N162" s="31"/>
      <c r="O162" s="32"/>
    </row>
    <row r="163" spans="2:15" x14ac:dyDescent="0.2">
      <c r="B163" s="30"/>
      <c r="C163" s="31"/>
      <c r="D163" s="31"/>
      <c r="E163" s="31"/>
      <c r="F163" s="31"/>
      <c r="G163" s="31"/>
      <c r="H163" s="31"/>
      <c r="I163" s="31"/>
      <c r="J163" s="31"/>
      <c r="K163" s="31"/>
      <c r="L163" s="31"/>
      <c r="M163" s="31"/>
      <c r="N163" s="31"/>
      <c r="O163" s="32"/>
    </row>
    <row r="164" spans="2:15" x14ac:dyDescent="0.2">
      <c r="B164" s="30"/>
      <c r="C164" s="31"/>
      <c r="D164" s="31"/>
      <c r="E164" s="31"/>
      <c r="F164" s="31"/>
      <c r="G164" s="31"/>
      <c r="H164" s="31"/>
      <c r="I164" s="31"/>
      <c r="J164" s="31"/>
      <c r="K164" s="31"/>
      <c r="L164" s="31"/>
      <c r="M164" s="31"/>
      <c r="N164" s="31"/>
      <c r="O164" s="32"/>
    </row>
    <row r="165" spans="2:15" x14ac:dyDescent="0.2">
      <c r="B165" s="30"/>
      <c r="C165" s="31"/>
      <c r="D165" s="31"/>
      <c r="E165" s="31"/>
      <c r="F165" s="31"/>
      <c r="G165" s="31"/>
      <c r="H165" s="31"/>
      <c r="I165" s="31"/>
      <c r="J165" s="31"/>
      <c r="K165" s="31"/>
      <c r="L165" s="31"/>
      <c r="M165" s="31"/>
      <c r="N165" s="31"/>
      <c r="O165" s="32"/>
    </row>
    <row r="166" spans="2:15" x14ac:dyDescent="0.2">
      <c r="B166" s="30"/>
      <c r="C166" s="31"/>
      <c r="D166" s="31"/>
      <c r="E166" s="31"/>
      <c r="F166" s="31"/>
      <c r="G166" s="31"/>
      <c r="H166" s="31"/>
      <c r="I166" s="31"/>
      <c r="J166" s="31"/>
      <c r="K166" s="31"/>
      <c r="L166" s="31"/>
      <c r="M166" s="31"/>
      <c r="N166" s="31"/>
      <c r="O166" s="32"/>
    </row>
    <row r="167" spans="2:15" x14ac:dyDescent="0.2">
      <c r="B167" s="30"/>
      <c r="C167" s="31"/>
      <c r="D167" s="31"/>
      <c r="E167" s="31"/>
      <c r="F167" s="31"/>
      <c r="G167" s="31"/>
      <c r="H167" s="31"/>
      <c r="I167" s="31"/>
      <c r="J167" s="31"/>
      <c r="K167" s="31"/>
      <c r="L167" s="31"/>
      <c r="M167" s="31"/>
      <c r="N167" s="31"/>
      <c r="O167" s="32"/>
    </row>
    <row r="168" spans="2:15" x14ac:dyDescent="0.2">
      <c r="B168" s="30"/>
      <c r="C168" s="31"/>
      <c r="D168" s="31"/>
      <c r="E168" s="31"/>
      <c r="F168" s="31"/>
      <c r="G168" s="31"/>
      <c r="H168" s="31"/>
      <c r="I168" s="31"/>
      <c r="J168" s="31"/>
      <c r="K168" s="31"/>
      <c r="L168" s="31"/>
      <c r="M168" s="31"/>
      <c r="N168" s="31"/>
      <c r="O168" s="32"/>
    </row>
    <row r="169" spans="2:15" x14ac:dyDescent="0.2">
      <c r="B169" s="30"/>
      <c r="C169" s="31"/>
      <c r="D169" s="31"/>
      <c r="E169" s="31"/>
      <c r="F169" s="31"/>
      <c r="G169" s="31"/>
      <c r="H169" s="31"/>
      <c r="I169" s="31"/>
      <c r="J169" s="31"/>
      <c r="K169" s="31"/>
      <c r="L169" s="31"/>
      <c r="M169" s="31"/>
      <c r="N169" s="31"/>
      <c r="O169" s="32"/>
    </row>
    <row r="170" spans="2:15" x14ac:dyDescent="0.2">
      <c r="B170" s="30"/>
      <c r="C170" s="31"/>
      <c r="D170" s="31"/>
      <c r="E170" s="31"/>
      <c r="F170" s="31"/>
      <c r="G170" s="31"/>
      <c r="H170" s="31"/>
      <c r="I170" s="31"/>
      <c r="J170" s="31"/>
      <c r="K170" s="31"/>
      <c r="L170" s="31"/>
      <c r="M170" s="31"/>
      <c r="N170" s="31"/>
      <c r="O170" s="32"/>
    </row>
    <row r="171" spans="2:15" x14ac:dyDescent="0.2">
      <c r="B171" s="30"/>
      <c r="C171" s="31"/>
      <c r="D171" s="31"/>
      <c r="E171" s="31"/>
      <c r="F171" s="31"/>
      <c r="G171" s="31"/>
      <c r="H171" s="31"/>
      <c r="I171" s="31"/>
      <c r="J171" s="31"/>
      <c r="K171" s="31"/>
      <c r="L171" s="31"/>
      <c r="M171" s="31"/>
      <c r="N171" s="31"/>
      <c r="O171" s="32"/>
    </row>
    <row r="172" spans="2:15" x14ac:dyDescent="0.2">
      <c r="B172" s="30"/>
      <c r="C172" s="31"/>
      <c r="D172" s="31"/>
      <c r="E172" s="31"/>
      <c r="F172" s="31"/>
      <c r="G172" s="31"/>
      <c r="H172" s="31"/>
      <c r="I172" s="31"/>
      <c r="J172" s="31"/>
      <c r="K172" s="31"/>
      <c r="L172" s="31"/>
      <c r="M172" s="31"/>
      <c r="N172" s="31"/>
      <c r="O172" s="32"/>
    </row>
    <row r="173" spans="2:15" x14ac:dyDescent="0.2">
      <c r="B173" s="30"/>
      <c r="C173" s="31"/>
      <c r="D173" s="31"/>
      <c r="E173" s="31"/>
      <c r="F173" s="31"/>
      <c r="G173" s="31"/>
      <c r="H173" s="31"/>
      <c r="I173" s="31"/>
      <c r="J173" s="31"/>
      <c r="K173" s="31"/>
      <c r="L173" s="31"/>
      <c r="M173" s="31"/>
      <c r="N173" s="31"/>
      <c r="O173" s="32"/>
    </row>
    <row r="174" spans="2:15" x14ac:dyDescent="0.2">
      <c r="B174" s="30"/>
      <c r="C174" s="31"/>
      <c r="D174" s="31"/>
      <c r="E174" s="31"/>
      <c r="F174" s="31"/>
      <c r="G174" s="31"/>
      <c r="H174" s="31"/>
      <c r="I174" s="31"/>
      <c r="J174" s="31"/>
      <c r="K174" s="31"/>
      <c r="L174" s="31"/>
      <c r="M174" s="31"/>
      <c r="N174" s="31"/>
      <c r="O174" s="32"/>
    </row>
    <row r="175" spans="2:15" x14ac:dyDescent="0.2">
      <c r="B175" s="30"/>
      <c r="C175" s="31"/>
      <c r="D175" s="31"/>
      <c r="E175" s="31"/>
      <c r="F175" s="31"/>
      <c r="G175" s="31"/>
      <c r="H175" s="31"/>
      <c r="I175" s="31"/>
      <c r="J175" s="31"/>
      <c r="K175" s="31"/>
      <c r="L175" s="31"/>
      <c r="M175" s="31"/>
      <c r="N175" s="31"/>
      <c r="O175" s="32"/>
    </row>
    <row r="176" spans="2:15" x14ac:dyDescent="0.2">
      <c r="B176" s="30"/>
      <c r="C176" s="31"/>
      <c r="D176" s="31"/>
      <c r="E176" s="31"/>
      <c r="F176" s="31"/>
      <c r="G176" s="31"/>
      <c r="H176" s="31"/>
      <c r="I176" s="31"/>
      <c r="J176" s="31"/>
      <c r="K176" s="31"/>
      <c r="L176" s="31"/>
      <c r="M176" s="31"/>
      <c r="N176" s="31"/>
      <c r="O176" s="32"/>
    </row>
    <row r="177" spans="2:15" x14ac:dyDescent="0.2">
      <c r="B177" s="30"/>
      <c r="C177" s="31"/>
      <c r="D177" s="31"/>
      <c r="E177" s="31"/>
      <c r="F177" s="31"/>
      <c r="G177" s="31"/>
      <c r="H177" s="31"/>
      <c r="I177" s="31"/>
      <c r="J177" s="31"/>
      <c r="K177" s="31"/>
      <c r="L177" s="31"/>
      <c r="M177" s="31"/>
      <c r="N177" s="31"/>
      <c r="O177" s="32"/>
    </row>
    <row r="178" spans="2:15" x14ac:dyDescent="0.2">
      <c r="B178" s="30"/>
      <c r="C178" s="31"/>
      <c r="D178" s="31"/>
      <c r="E178" s="31"/>
      <c r="F178" s="31"/>
      <c r="G178" s="31"/>
      <c r="H178" s="31"/>
      <c r="I178" s="31"/>
      <c r="J178" s="31"/>
      <c r="K178" s="31"/>
      <c r="L178" s="31"/>
      <c r="M178" s="31"/>
      <c r="N178" s="31"/>
      <c r="O178" s="32"/>
    </row>
    <row r="179" spans="2:15" x14ac:dyDescent="0.2">
      <c r="B179" s="30"/>
      <c r="C179" s="31"/>
      <c r="D179" s="31"/>
      <c r="E179" s="31"/>
      <c r="F179" s="31"/>
      <c r="G179" s="31"/>
      <c r="H179" s="31"/>
      <c r="I179" s="31"/>
      <c r="J179" s="31"/>
      <c r="K179" s="31"/>
      <c r="L179" s="31"/>
      <c r="M179" s="31"/>
      <c r="N179" s="31"/>
      <c r="O179" s="32"/>
    </row>
    <row r="180" spans="2:15" x14ac:dyDescent="0.2">
      <c r="B180" s="30"/>
      <c r="C180" s="31"/>
      <c r="D180" s="31"/>
      <c r="E180" s="31"/>
      <c r="F180" s="31"/>
      <c r="G180" s="31"/>
      <c r="H180" s="31"/>
      <c r="I180" s="31"/>
      <c r="J180" s="31"/>
      <c r="K180" s="31"/>
      <c r="L180" s="31"/>
      <c r="M180" s="31"/>
      <c r="N180" s="31"/>
      <c r="O180" s="32"/>
    </row>
    <row r="181" spans="2:15" x14ac:dyDescent="0.2">
      <c r="B181" s="30"/>
      <c r="C181" s="31"/>
      <c r="D181" s="31"/>
      <c r="E181" s="31"/>
      <c r="F181" s="31"/>
      <c r="G181" s="31"/>
      <c r="H181" s="31"/>
      <c r="I181" s="31"/>
      <c r="J181" s="31"/>
      <c r="K181" s="31"/>
      <c r="L181" s="31"/>
      <c r="M181" s="31"/>
      <c r="N181" s="31"/>
      <c r="O181" s="32"/>
    </row>
    <row r="182" spans="2:15" x14ac:dyDescent="0.2">
      <c r="B182" s="30"/>
      <c r="C182" s="31"/>
      <c r="D182" s="31"/>
      <c r="E182" s="31"/>
      <c r="F182" s="31"/>
      <c r="G182" s="31"/>
      <c r="H182" s="31"/>
      <c r="I182" s="31"/>
      <c r="J182" s="31"/>
      <c r="K182" s="31"/>
      <c r="L182" s="31"/>
      <c r="M182" s="31"/>
      <c r="N182" s="31"/>
      <c r="O182" s="32"/>
    </row>
    <row r="183" spans="2:15" x14ac:dyDescent="0.2">
      <c r="B183" s="30"/>
      <c r="C183" s="31"/>
      <c r="D183" s="31"/>
      <c r="E183" s="31"/>
      <c r="F183" s="31"/>
      <c r="G183" s="31"/>
      <c r="H183" s="31"/>
      <c r="I183" s="31"/>
      <c r="J183" s="31"/>
      <c r="K183" s="31"/>
      <c r="L183" s="31"/>
      <c r="M183" s="31"/>
      <c r="N183" s="31"/>
      <c r="O183" s="32"/>
    </row>
    <row r="184" spans="2:15" x14ac:dyDescent="0.2">
      <c r="B184" s="30"/>
      <c r="C184" s="31"/>
      <c r="D184" s="31"/>
      <c r="E184" s="31"/>
      <c r="F184" s="31"/>
      <c r="G184" s="31"/>
      <c r="H184" s="31"/>
      <c r="I184" s="31"/>
      <c r="J184" s="31"/>
      <c r="K184" s="31"/>
      <c r="L184" s="31"/>
      <c r="M184" s="31"/>
      <c r="N184" s="31"/>
      <c r="O184" s="32"/>
    </row>
    <row r="185" spans="2:15" x14ac:dyDescent="0.2">
      <c r="B185" s="30"/>
      <c r="C185" s="31"/>
      <c r="D185" s="31"/>
      <c r="E185" s="31"/>
      <c r="F185" s="31"/>
      <c r="G185" s="31"/>
      <c r="H185" s="31"/>
      <c r="I185" s="31"/>
      <c r="J185" s="31"/>
      <c r="K185" s="31"/>
      <c r="L185" s="31"/>
      <c r="M185" s="31"/>
      <c r="N185" s="31"/>
      <c r="O185" s="32"/>
    </row>
    <row r="186" spans="2:15" x14ac:dyDescent="0.2">
      <c r="B186" s="30"/>
      <c r="C186" s="31"/>
      <c r="D186" s="31"/>
      <c r="E186" s="31"/>
      <c r="F186" s="31"/>
      <c r="G186" s="31"/>
      <c r="H186" s="31"/>
      <c r="I186" s="31"/>
      <c r="J186" s="31"/>
      <c r="K186" s="31"/>
      <c r="L186" s="31"/>
      <c r="M186" s="31"/>
      <c r="N186" s="31"/>
      <c r="O186" s="32"/>
    </row>
    <row r="187" spans="2:15" x14ac:dyDescent="0.2">
      <c r="B187" s="30"/>
      <c r="C187" s="31"/>
      <c r="D187" s="31"/>
      <c r="E187" s="31"/>
      <c r="F187" s="31"/>
      <c r="G187" s="31"/>
      <c r="H187" s="31"/>
      <c r="I187" s="31"/>
      <c r="J187" s="31"/>
      <c r="K187" s="31"/>
      <c r="L187" s="31"/>
      <c r="M187" s="31"/>
      <c r="N187" s="31"/>
      <c r="O187" s="32"/>
    </row>
    <row r="188" spans="2:15" x14ac:dyDescent="0.2">
      <c r="B188" s="30"/>
      <c r="C188" s="31"/>
      <c r="D188" s="31"/>
      <c r="E188" s="31"/>
      <c r="F188" s="31"/>
      <c r="G188" s="31"/>
      <c r="H188" s="31"/>
      <c r="I188" s="31"/>
      <c r="J188" s="31"/>
      <c r="K188" s="31"/>
      <c r="L188" s="31"/>
      <c r="M188" s="31"/>
      <c r="N188" s="31"/>
      <c r="O188" s="32"/>
    </row>
    <row r="189" spans="2:15" x14ac:dyDescent="0.2">
      <c r="B189" s="30"/>
      <c r="C189" s="31"/>
      <c r="D189" s="31"/>
      <c r="E189" s="31"/>
      <c r="F189" s="31"/>
      <c r="G189" s="31"/>
      <c r="H189" s="31"/>
      <c r="I189" s="31"/>
      <c r="J189" s="31"/>
      <c r="K189" s="31"/>
      <c r="L189" s="31"/>
      <c r="M189" s="31"/>
      <c r="N189" s="31"/>
      <c r="O189" s="32"/>
    </row>
    <row r="190" spans="2:15" x14ac:dyDescent="0.2">
      <c r="B190" s="38"/>
      <c r="C190" s="36"/>
      <c r="D190" s="36"/>
      <c r="E190" s="36"/>
      <c r="F190" s="36"/>
      <c r="G190" s="36"/>
      <c r="H190" s="36"/>
      <c r="I190" s="36"/>
      <c r="J190" s="36"/>
      <c r="K190" s="36"/>
      <c r="L190" s="36"/>
      <c r="M190" s="36"/>
      <c r="N190" s="36"/>
      <c r="O190" s="39"/>
    </row>
  </sheetData>
  <sheetProtection password="E10F" sheet="1"/>
  <mergeCells count="3">
    <mergeCell ref="C2:E2"/>
    <mergeCell ref="F2:G2"/>
    <mergeCell ref="E19:G22"/>
  </mergeCells>
  <phoneticPr fontId="2" type="noConversion"/>
  <conditionalFormatting sqref="K28:K32">
    <cfRule type="cellIs" dxfId="214" priority="44" stopIfTrue="1" operator="greaterThanOrEqual">
      <formula>100</formula>
    </cfRule>
    <cfRule type="cellIs" dxfId="213" priority="45" stopIfTrue="1" operator="lessThan">
      <formula>100</formula>
    </cfRule>
  </conditionalFormatting>
  <conditionalFormatting sqref="K34">
    <cfRule type="cellIs" dxfId="212" priority="8" stopIfTrue="1" operator="between">
      <formula>100.1</formula>
      <formula>300</formula>
    </cfRule>
    <cfRule type="cellIs" dxfId="211" priority="46" stopIfTrue="1" operator="greaterThan">
      <formula>300</formula>
    </cfRule>
    <cfRule type="cellIs" dxfId="210" priority="47" stopIfTrue="1" operator="lessThanOrEqual">
      <formula>100</formula>
    </cfRule>
  </conditionalFormatting>
  <conditionalFormatting sqref="K27">
    <cfRule type="cellIs" dxfId="209" priority="48" stopIfTrue="1" operator="greaterThanOrEqual">
      <formula>100</formula>
    </cfRule>
    <cfRule type="cellIs" dxfId="208" priority="49" stopIfTrue="1" operator="lessThan">
      <formula>33.3</formula>
    </cfRule>
    <cfRule type="cellIs" dxfId="207" priority="50" stopIfTrue="1" operator="between">
      <formula>33.3</formula>
      <formula>100</formula>
    </cfRule>
  </conditionalFormatting>
  <conditionalFormatting sqref="E27:E33 E35">
    <cfRule type="cellIs" dxfId="206" priority="36" stopIfTrue="1" operator="lessThan">
      <formula>0.95*$C27*(E$14/$C$14)</formula>
    </cfRule>
  </conditionalFormatting>
  <conditionalFormatting sqref="K33">
    <cfRule type="cellIs" dxfId="205" priority="15" stopIfTrue="1" operator="greaterThanOrEqual">
      <formula>100</formula>
    </cfRule>
    <cfRule type="cellIs" dxfId="204" priority="16" stopIfTrue="1" operator="lessThan">
      <formula>33.3</formula>
    </cfRule>
    <cfRule type="cellIs" dxfId="203" priority="17" stopIfTrue="1" operator="between">
      <formula>33.3</formula>
      <formula>100</formula>
    </cfRule>
  </conditionalFormatting>
  <conditionalFormatting sqref="K35">
    <cfRule type="cellIs" dxfId="202" priority="9" stopIfTrue="1" operator="greaterThanOrEqual">
      <formula>100</formula>
    </cfRule>
    <cfRule type="cellIs" dxfId="201" priority="10" stopIfTrue="1" operator="lessThan">
      <formula>33.3</formula>
    </cfRule>
    <cfRule type="cellIs" dxfId="200" priority="11" stopIfTrue="1" operator="between">
      <formula>33.3</formula>
      <formula>100</formula>
    </cfRule>
  </conditionalFormatting>
  <conditionalFormatting sqref="F27:F33">
    <cfRule type="cellIs" dxfId="199" priority="6" stopIfTrue="1" operator="lessThan">
      <formula>0.95*$C27*(F$14/$C$14)</formula>
    </cfRule>
  </conditionalFormatting>
  <conditionalFormatting sqref="G27:G33">
    <cfRule type="cellIs" dxfId="198" priority="5" stopIfTrue="1" operator="lessThan">
      <formula>0.95*$C27*(G$14/$C$14)</formula>
    </cfRule>
  </conditionalFormatting>
  <conditionalFormatting sqref="F35">
    <cfRule type="cellIs" dxfId="197" priority="4" stopIfTrue="1" operator="lessThan">
      <formula>0.95*$C35*(F$14/$C$14)</formula>
    </cfRule>
  </conditionalFormatting>
  <conditionalFormatting sqref="G35">
    <cfRule type="cellIs" dxfId="196" priority="3" stopIfTrue="1" operator="lessThan">
      <formula>0.95*$C35*(G$14/$C$14)</formula>
    </cfRule>
  </conditionalFormatting>
  <dataValidations count="6">
    <dataValidation type="list" allowBlank="1" showInputMessage="1" showErrorMessage="1" sqref="F2" xr:uid="{00000000-0002-0000-0C00-000000000000}">
      <formula1>ConstructionType</formula1>
    </dataValidation>
    <dataValidation type="list" allowBlank="1" showInputMessage="1" showErrorMessage="1" promptTitle="Select Material" sqref="J13:J14 D6 C5:D5" xr:uid="{00000000-0002-0000-0C00-000001000000}">
      <formula1>Materials</formula1>
    </dataValidation>
    <dataValidation allowBlank="1" showInputMessage="1" showErrorMessage="1" promptTitle="Select Material" sqref="C6 I6" xr:uid="{00000000-0002-0000-0C00-000002000000}"/>
    <dataValidation type="list" allowBlank="1" showInputMessage="1" showErrorMessage="1" promptTitle="Select Material" sqref="E6:G6" xr:uid="{00000000-0002-0000-0C00-000003000000}">
      <formula1>Tube_Type</formula1>
    </dataValidation>
    <dataValidation type="list" allowBlank="1" showInputMessage="1" showErrorMessage="1" sqref="I5" xr:uid="{00000000-0002-0000-0C00-000004000000}">
      <formula1>Material</formula1>
    </dataValidation>
    <dataValidation type="list" allowBlank="1" showInputMessage="1" showErrorMessage="1" promptTitle="Select Material" sqref="G5 F5 E5" xr:uid="{00000000-0002-0000-0C00-000005000000}">
      <formula1>Material</formula1>
    </dataValidation>
  </dataValidations>
  <hyperlinks>
    <hyperlink ref="B39" location="'T2.15 T2.6 Guidance Notes'!A1" display="Link to guidance notes" xr:uid="{00000000-0004-0000-0C00-000000000000}"/>
    <hyperlink ref="M36" location="'Cover Sheet'!A1" display="BACK to COVER SHEET" xr:uid="{00000000-0004-0000-0C00-000001000000}"/>
    <hyperlink ref="M36:O36" location="'Cover Sheet'!A1" display="BACK to COVER SHEET" xr:uid="{00000000-0004-0000-0C00-000002000000}"/>
  </hyperlinks>
  <pageMargins left="0.75" right="0.75" top="1" bottom="1" header="0.5" footer="0.5"/>
  <pageSetup paperSize="9" scale="46" fitToHeight="0" orientation="portrait" horizontalDpi="4294967294" r:id="rId1"/>
  <headerFooter alignWithMargins="0"/>
  <colBreaks count="1" manualBreakCount="1">
    <brk id="6" max="56" man="1"/>
  </colBreak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B1:T190"/>
  <sheetViews>
    <sheetView showGridLines="0" view="pageBreakPreview" topLeftCell="A10" zoomScaleNormal="100" zoomScaleSheetLayoutView="100" workbookViewId="0">
      <selection activeCell="G17" sqref="G17"/>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5.7109375" style="56" customWidth="1"/>
    <col min="10" max="10" width="16" style="56" bestFit="1" customWidth="1"/>
    <col min="11" max="11" width="11.7109375" style="56" customWidth="1"/>
    <col min="12" max="12" width="6.7109375" style="56" customWidth="1"/>
    <col min="13" max="13" width="11.140625" style="56" bestFit="1" customWidth="1"/>
    <col min="14" max="16" width="9.140625" style="56"/>
    <col min="17" max="17" width="4" style="56" customWidth="1"/>
    <col min="18" max="16384" width="9.140625" style="56"/>
  </cols>
  <sheetData>
    <row r="1" spans="2:16" ht="15.75" x14ac:dyDescent="0.25">
      <c r="B1" s="55" t="s">
        <v>226</v>
      </c>
    </row>
    <row r="2" spans="2:16" x14ac:dyDescent="0.2">
      <c r="C2" s="661" t="s">
        <v>27</v>
      </c>
      <c r="D2" s="662"/>
      <c r="E2" s="663"/>
      <c r="F2" s="640" t="s">
        <v>28</v>
      </c>
      <c r="G2" s="641"/>
    </row>
    <row r="4" spans="2:16" ht="25.5" customHeight="1" x14ac:dyDescent="0.2">
      <c r="B4" s="57" t="s">
        <v>18</v>
      </c>
      <c r="C4" s="71" t="s">
        <v>1</v>
      </c>
      <c r="D4" s="106"/>
      <c r="E4" s="71" t="s">
        <v>516</v>
      </c>
      <c r="F4" s="71" t="s">
        <v>34</v>
      </c>
      <c r="G4" s="71" t="s">
        <v>35</v>
      </c>
      <c r="H4" s="71" t="s">
        <v>32</v>
      </c>
      <c r="I4" s="71" t="s">
        <v>373</v>
      </c>
      <c r="J4" s="128" t="s">
        <v>369</v>
      </c>
      <c r="K4" s="71" t="s">
        <v>22</v>
      </c>
      <c r="M4" s="127" t="s">
        <v>371</v>
      </c>
      <c r="N4" s="259" t="s">
        <v>290</v>
      </c>
      <c r="O4" s="259" t="s">
        <v>289</v>
      </c>
    </row>
    <row r="5" spans="2:16" x14ac:dyDescent="0.2">
      <c r="B5" s="58" t="s">
        <v>30</v>
      </c>
      <c r="C5" s="44" t="s">
        <v>7</v>
      </c>
      <c r="E5" s="22" t="s">
        <v>7</v>
      </c>
      <c r="F5" s="22" t="s">
        <v>7</v>
      </c>
      <c r="G5" s="22" t="s">
        <v>7</v>
      </c>
      <c r="H5" s="107"/>
      <c r="I5" s="22" t="s">
        <v>288</v>
      </c>
      <c r="J5" s="52" t="s">
        <v>288</v>
      </c>
      <c r="K5" s="109"/>
      <c r="M5" s="239" t="s">
        <v>247</v>
      </c>
      <c r="N5" s="56">
        <f>I22/1000</f>
        <v>0.32</v>
      </c>
      <c r="O5" s="250">
        <f>N5</f>
        <v>0.32</v>
      </c>
    </row>
    <row r="6" spans="2:16" x14ac:dyDescent="0.2">
      <c r="B6" s="58" t="s">
        <v>46</v>
      </c>
      <c r="C6" s="45" t="s">
        <v>44</v>
      </c>
      <c r="E6" s="22" t="s">
        <v>44</v>
      </c>
      <c r="F6" s="22" t="s">
        <v>45</v>
      </c>
      <c r="G6" s="22" t="s">
        <v>44</v>
      </c>
      <c r="H6" s="109"/>
      <c r="I6" s="112" t="s">
        <v>23</v>
      </c>
      <c r="J6" s="45" t="s">
        <v>23</v>
      </c>
      <c r="K6" s="109"/>
      <c r="M6" s="239" t="s">
        <v>248</v>
      </c>
      <c r="N6" s="56">
        <f>I21/1000</f>
        <v>5.0000000000000001E-3</v>
      </c>
      <c r="O6" s="250">
        <f>I20/1000</f>
        <v>5.0000000000000001E-3</v>
      </c>
    </row>
    <row r="7" spans="2:16"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296" t="str">
        <f>HLOOKUP(I5,MaterialData!$C$3:$O$4,2,FALSE)</f>
        <v>T2.6_Laminate</v>
      </c>
      <c r="J7" s="296" t="str">
        <f>HLOOKUP(J5,MaterialData!$C$3:$O$4,2,FALSE)</f>
        <v>T2.6_Laminate</v>
      </c>
      <c r="K7" s="111"/>
    </row>
    <row r="8" spans="2:16"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296">
        <f>INDEX(Innertable,MATCH($B8,MaterialData!$B$5:$B$10,0),MATCH(I$7,MaterialData!$C$4:$O$4,0))</f>
        <v>0</v>
      </c>
      <c r="J8" s="296">
        <f>INDEX(Innertable,MATCH($B8,MaterialData!$B$5:$B$10,0),MATCH(J$7,MaterialData!$C$4:$O$4,0))</f>
        <v>0</v>
      </c>
      <c r="K8" s="109"/>
      <c r="M8" s="239" t="s">
        <v>250</v>
      </c>
      <c r="N8" s="60">
        <f>N5*N6</f>
        <v>1.6000000000000001E-3</v>
      </c>
      <c r="O8" s="239" t="s">
        <v>269</v>
      </c>
      <c r="P8" s="60">
        <f>(N5*N6^3)/12</f>
        <v>3.3333333333333338E-9</v>
      </c>
    </row>
    <row r="9" spans="2:16"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296">
        <f>INDEX(Innertable,MATCH($B9,MaterialData!$B$5:$B$10,0),MATCH(I$7,MaterialData!$C$4:$O$4,0))</f>
        <v>0</v>
      </c>
      <c r="J9" s="296">
        <f>INDEX(Innertable,MATCH($B9,MaterialData!$B$5:$B$10,0),MATCH(J$7,MaterialData!$C$4:$O$4,0))</f>
        <v>0</v>
      </c>
      <c r="K9" s="111"/>
      <c r="M9" s="239" t="s">
        <v>251</v>
      </c>
      <c r="N9" s="60">
        <f>O5*O6</f>
        <v>1.6000000000000001E-3</v>
      </c>
      <c r="O9" s="239" t="s">
        <v>270</v>
      </c>
      <c r="P9" s="60">
        <f>(O5*O6^3)/12</f>
        <v>3.3333333333333338E-9</v>
      </c>
    </row>
    <row r="10" spans="2:16"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296">
        <f>INDEX(Innertable,MATCH($B10,MaterialData!$B$5:$B$10,0),MATCH(I$7,MaterialData!$C$4:$O$4,0))</f>
        <v>0</v>
      </c>
      <c r="J10" s="296">
        <f>INDEX(Innertable,MATCH($B10,MaterialData!$B$5:$B$10,0),MATCH(J$7,MaterialData!$C$4:$O$4,0))</f>
        <v>0</v>
      </c>
      <c r="K10" s="111"/>
      <c r="M10" s="239" t="s">
        <v>432</v>
      </c>
      <c r="N10" s="56">
        <f>N6/2</f>
        <v>2.5000000000000001E-3</v>
      </c>
      <c r="O10" s="239" t="s">
        <v>254</v>
      </c>
      <c r="P10" s="60">
        <f>P8+(N8*($N$12-N10)^2)</f>
        <v>3.6333333333333344E-7</v>
      </c>
    </row>
    <row r="11" spans="2:16"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296" t="str">
        <f>INDEX(Innertable,MATCH($B11,MaterialData!$B$5:$B$10,0),MATCH(I$7,MaterialData!$C$4:$O$4,0))</f>
        <v>N/A</v>
      </c>
      <c r="J11" s="296" t="str">
        <f>INDEX(Innertable,MATCH($B11,MaterialData!$B$5:$B$10,0),MATCH(J$7,MaterialData!$C$4:$O$4,0))</f>
        <v>N/A</v>
      </c>
      <c r="K11" s="111"/>
      <c r="M11" s="239" t="s">
        <v>433</v>
      </c>
      <c r="N11" s="56">
        <f>(I18-0.5*I20)*0.001</f>
        <v>3.2500000000000001E-2</v>
      </c>
      <c r="O11" s="239" t="s">
        <v>255</v>
      </c>
      <c r="P11" s="60">
        <f>P9+(N9*($N$12-N11)^2)</f>
        <v>3.6333333333333333E-7</v>
      </c>
    </row>
    <row r="12" spans="2:16"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296" t="str">
        <f>INDEX(Innertable,MATCH($B12,MaterialData!$B$5:$B$10,0),MATCH(I$7,MaterialData!$C$4:$O$4,0))</f>
        <v>N/A</v>
      </c>
      <c r="J12" s="296" t="str">
        <f>INDEX(Innertable,MATCH($B12,MaterialData!$B$5:$B$10,0),MATCH(J$7,MaterialData!$C$4:$O$4,0))</f>
        <v>N/A</v>
      </c>
      <c r="K12" s="111"/>
      <c r="M12" s="239" t="s">
        <v>249</v>
      </c>
      <c r="N12" s="252">
        <f>(N8*N10+N9*N11)/(N8+N9)</f>
        <v>1.7500000000000002E-2</v>
      </c>
      <c r="O12" s="239" t="s">
        <v>260</v>
      </c>
      <c r="P12" s="266">
        <f>SUM(P10:P11)</f>
        <v>7.2666666666666677E-7</v>
      </c>
    </row>
    <row r="13" spans="2:16" x14ac:dyDescent="0.2">
      <c r="B13" s="264" t="s">
        <v>518</v>
      </c>
      <c r="C13" s="343" t="s">
        <v>153</v>
      </c>
      <c r="D13" s="56"/>
      <c r="E13" s="22" t="s">
        <v>517</v>
      </c>
      <c r="F13" s="343" t="s">
        <v>153</v>
      </c>
      <c r="G13" s="343" t="s">
        <v>153</v>
      </c>
      <c r="H13" s="109"/>
      <c r="I13" s="107"/>
      <c r="K13" s="109"/>
      <c r="P13" s="60"/>
    </row>
    <row r="14" spans="2:16" x14ac:dyDescent="0.2">
      <c r="B14" s="59" t="s">
        <v>31</v>
      </c>
      <c r="C14" s="44">
        <v>3</v>
      </c>
      <c r="D14" s="56"/>
      <c r="E14" s="22">
        <v>1</v>
      </c>
      <c r="F14" s="22">
        <v>1</v>
      </c>
      <c r="G14" s="22">
        <v>1</v>
      </c>
      <c r="H14" s="109"/>
      <c r="I14" s="109"/>
      <c r="K14" s="109"/>
      <c r="M14" s="127" t="s">
        <v>372</v>
      </c>
      <c r="N14" s="259" t="s">
        <v>290</v>
      </c>
      <c r="O14" s="259" t="s">
        <v>289</v>
      </c>
    </row>
    <row r="15" spans="2:16" x14ac:dyDescent="0.2">
      <c r="B15" s="59" t="s">
        <v>166</v>
      </c>
      <c r="C15" s="44">
        <v>25.4</v>
      </c>
      <c r="E15" s="22">
        <v>30</v>
      </c>
      <c r="F15" s="22">
        <v>30</v>
      </c>
      <c r="G15" s="22">
        <v>30</v>
      </c>
      <c r="H15" s="109"/>
      <c r="I15" s="109"/>
      <c r="J15" s="105"/>
      <c r="K15" s="109"/>
      <c r="M15" s="239" t="s">
        <v>247</v>
      </c>
      <c r="N15" s="56">
        <f>J21/1000</f>
        <v>2.5000000000000001E-3</v>
      </c>
      <c r="O15" s="250">
        <f>J20/1000</f>
        <v>2.5000000000000001E-3</v>
      </c>
    </row>
    <row r="16" spans="2:16" x14ac:dyDescent="0.2">
      <c r="B16" s="59" t="s">
        <v>167</v>
      </c>
      <c r="C16" s="44">
        <v>1.6</v>
      </c>
      <c r="E16" s="22">
        <v>1.5</v>
      </c>
      <c r="F16" s="22">
        <v>1.5</v>
      </c>
      <c r="G16" s="22">
        <v>1.5</v>
      </c>
      <c r="H16" s="109"/>
      <c r="I16" s="109"/>
      <c r="J16" s="105"/>
      <c r="K16" s="109"/>
      <c r="M16" s="239" t="s">
        <v>248</v>
      </c>
      <c r="N16" s="56">
        <f>J22/1000</f>
        <v>0.2</v>
      </c>
      <c r="O16" s="250">
        <f>J22/1000</f>
        <v>0.2</v>
      </c>
    </row>
    <row r="17" spans="2:20" x14ac:dyDescent="0.2">
      <c r="B17" s="105"/>
      <c r="E17" s="121"/>
      <c r="F17" s="129" t="s">
        <v>156</v>
      </c>
      <c r="G17" s="66" t="str">
        <f>IF(AND(L27&gt;=100,F2="tubing only",NOT(OR(E18="NO",F18="NO",G18="NO"))),"YES","NO")</f>
        <v>NO</v>
      </c>
      <c r="H17" s="109"/>
      <c r="I17" s="113"/>
      <c r="J17" s="105"/>
      <c r="K17" s="109"/>
    </row>
    <row r="18" spans="2:20" ht="15.75" x14ac:dyDescent="0.3">
      <c r="B18" s="99" t="s">
        <v>24</v>
      </c>
      <c r="C18" s="105"/>
      <c r="E18" s="177" t="str">
        <f>IF(E14=0,"N/A",IF(AND(E5=$C$5,OR(OR(E15&gt;=$C$15,AND(E15&gt;=25,E15&lt;25.4,E16&gt;=1.75)),AND(E6="square",E15&gt;=25,E16&gt;=1.25)),OR(AND(E6="round",E16&gt;=1.6),OR(AND(E6="square",E16&gt;=1.25,E15&gt;=25),AND(E6="square",E16&gt;=1.2,E15&gt;=26)))),"YES","NO"))</f>
        <v>NO</v>
      </c>
      <c r="F18" s="178" t="str">
        <f>IF(F14=0,"N/A",IF(AND(F5=$C$5,OR(OR(F15&gt;=$C$15,AND(F15&gt;=25,F15&lt;25.4,F16&gt;=1.75)),AND(F6="square",F15&gt;=25,F16&gt;=1.25)),OR(AND(F6="round",F16&gt;=1.6),OR(AND(F6="square",F16&gt;=1.25,F15&gt;=25),AND(F6="square",F16&gt;=1.2,F15&gt;=26)))),"YES","NO"))</f>
        <v>YES</v>
      </c>
      <c r="G18" s="178" t="str">
        <f>IF(G14=0,"N/A",IF(AND(G5=$C$5,OR(OR(G15&gt;=$C$15,AND(G15&gt;=25,G15&lt;25.4,G16&gt;=1.75)),AND(G6="square",G15&gt;=25,G16&gt;=1.25)),OR(AND(G6="round",G16&gt;=1.6),OR(AND(G6="square",G16&gt;=1.25,G15&gt;=25),AND(G6="square",G16&gt;=1.2,G15&gt;=26)))),"YES","NO"))</f>
        <v>NO</v>
      </c>
      <c r="H18" s="109"/>
      <c r="I18" s="287">
        <f>I19+I20+I21</f>
        <v>35</v>
      </c>
      <c r="J18" s="241">
        <f>J19+J20+J21</f>
        <v>15</v>
      </c>
      <c r="K18" s="109"/>
      <c r="M18" s="239" t="s">
        <v>250</v>
      </c>
      <c r="N18" s="60">
        <f>N15*N16</f>
        <v>5.0000000000000001E-4</v>
      </c>
      <c r="O18" s="239" t="s">
        <v>269</v>
      </c>
      <c r="P18" s="60">
        <f>(N15^3*N16)/12</f>
        <v>2.6041666666666672E-10</v>
      </c>
    </row>
    <row r="19" spans="2:20" ht="15.75" x14ac:dyDescent="0.3">
      <c r="B19" s="99" t="s">
        <v>25</v>
      </c>
      <c r="C19" s="105"/>
      <c r="E19" s="120"/>
      <c r="F19" s="105"/>
      <c r="G19" s="80"/>
      <c r="H19" s="109"/>
      <c r="I19" s="52">
        <v>25</v>
      </c>
      <c r="J19" s="22">
        <v>10</v>
      </c>
      <c r="K19" s="109"/>
      <c r="M19" s="239" t="s">
        <v>251</v>
      </c>
      <c r="N19" s="60">
        <f>O15*O16</f>
        <v>5.0000000000000001E-4</v>
      </c>
      <c r="O19" s="239" t="s">
        <v>270</v>
      </c>
      <c r="P19" s="60">
        <f>(O15^3*O16)/12</f>
        <v>2.6041666666666672E-10</v>
      </c>
    </row>
    <row r="20" spans="2:20" ht="15.75" x14ac:dyDescent="0.3">
      <c r="B20" s="99" t="s">
        <v>287</v>
      </c>
      <c r="E20" s="120"/>
      <c r="F20" s="105"/>
      <c r="G20" s="80"/>
      <c r="H20" s="109"/>
      <c r="I20" s="52">
        <v>5</v>
      </c>
      <c r="J20" s="22">
        <v>2.5</v>
      </c>
      <c r="K20" s="109"/>
      <c r="M20" s="239" t="s">
        <v>477</v>
      </c>
      <c r="N20" s="56">
        <f>J21/2000</f>
        <v>1.25E-3</v>
      </c>
      <c r="O20" s="239" t="s">
        <v>254</v>
      </c>
      <c r="P20" s="60">
        <f>P18+(N18*($N$22-N20)^2)</f>
        <v>1.9791666666666664E-8</v>
      </c>
    </row>
    <row r="21" spans="2:20" ht="15.75" x14ac:dyDescent="0.3">
      <c r="B21" s="264" t="s">
        <v>286</v>
      </c>
      <c r="E21" s="120"/>
      <c r="F21" s="105"/>
      <c r="G21" s="80"/>
      <c r="H21" s="109"/>
      <c r="I21" s="52">
        <v>5</v>
      </c>
      <c r="J21" s="22">
        <v>2.5</v>
      </c>
      <c r="K21" s="109"/>
      <c r="M21" s="239" t="s">
        <v>478</v>
      </c>
      <c r="N21" s="56">
        <f>(J18-0.5*J20)*0.001</f>
        <v>1.375E-2</v>
      </c>
      <c r="O21" s="239" t="s">
        <v>255</v>
      </c>
      <c r="P21" s="60">
        <f>P19+(N19*($N$22-N21)^2)</f>
        <v>1.979166666666667E-8</v>
      </c>
    </row>
    <row r="22" spans="2:20" ht="15.75" x14ac:dyDescent="0.3">
      <c r="B22" s="264" t="s">
        <v>370</v>
      </c>
      <c r="E22" s="120"/>
      <c r="F22" s="105"/>
      <c r="G22" s="80"/>
      <c r="H22" s="109"/>
      <c r="I22" s="52">
        <v>320</v>
      </c>
      <c r="J22" s="22">
        <v>200</v>
      </c>
      <c r="K22" s="109"/>
      <c r="M22" s="239" t="s">
        <v>249</v>
      </c>
      <c r="N22" s="252">
        <f>(N18*N20+N19*N21)/(N18+N19)</f>
        <v>7.4999999999999997E-3</v>
      </c>
      <c r="O22" s="239" t="s">
        <v>260</v>
      </c>
      <c r="P22" s="266">
        <f>SUM(P20:P21)</f>
        <v>3.9583333333333334E-8</v>
      </c>
    </row>
    <row r="23" spans="2:20" x14ac:dyDescent="0.2">
      <c r="B23" s="105"/>
      <c r="C23" s="105"/>
      <c r="E23" s="123"/>
      <c r="F23" s="124"/>
      <c r="G23" s="125"/>
      <c r="H23" s="109"/>
      <c r="I23" s="107"/>
      <c r="J23" s="105"/>
      <c r="K23" s="109"/>
      <c r="P23" s="60"/>
    </row>
    <row r="24" spans="2:20" x14ac:dyDescent="0.2">
      <c r="B24" s="59" t="s">
        <v>4</v>
      </c>
      <c r="C24" s="44">
        <f>C15/1000</f>
        <v>2.5399999999999999E-2</v>
      </c>
      <c r="E24" s="44">
        <f>IF($F$2="composite only","No tubes",IF(E14=0,"No tubes",E15/1000))</f>
        <v>0.03</v>
      </c>
      <c r="F24" s="44">
        <f>IF($F$2="composite only","No tubes",IF(F14=0,"No tubes",F15/1000))</f>
        <v>0.03</v>
      </c>
      <c r="G24" s="44">
        <f>IF($F$2="composite only","No tubes",IF(G14=0,"No tubes",G15/1000))</f>
        <v>0.03</v>
      </c>
      <c r="H24" s="109"/>
      <c r="I24" s="109"/>
      <c r="J24" s="105"/>
      <c r="K24" s="109"/>
      <c r="P24" s="60"/>
    </row>
    <row r="25" spans="2:20" x14ac:dyDescent="0.2">
      <c r="B25" s="59" t="s">
        <v>159</v>
      </c>
      <c r="C25" s="44">
        <f>C16/1000</f>
        <v>1.6000000000000001E-3</v>
      </c>
      <c r="E25" s="44">
        <f>IF(E24="no tubes","",IF(E14=0,"",E16/1000))</f>
        <v>1.5E-3</v>
      </c>
      <c r="F25" s="44">
        <f>IF(F24="no tubes","",IF(F14=0,"",F16/1000))</f>
        <v>1.5E-3</v>
      </c>
      <c r="G25" s="44">
        <f>IF(G24="no tubes","",IF(G14=0,"",G16/1000))</f>
        <v>1.5E-3</v>
      </c>
      <c r="H25" s="113"/>
      <c r="I25" s="113"/>
      <c r="J25" s="105"/>
      <c r="K25" s="113"/>
      <c r="P25" s="60"/>
      <c r="T25" s="61"/>
    </row>
    <row r="26" spans="2:20" x14ac:dyDescent="0.2">
      <c r="B26" s="59" t="s">
        <v>3</v>
      </c>
      <c r="C26" s="46">
        <f>IF(C6="Round",((C24)^4-((C24-2*C25))^4)*3.142/64,((C24)^4-((C24-2*C25))^4)/12)</f>
        <v>8.5099184800000022E-9</v>
      </c>
      <c r="E26" s="46">
        <f>IF(E24="no tubes","",IF(E14=0,"",IF(E6="Round",(((E24)^4-((E24-2*E25))^4)*3.142/64),IF(E6="Square",(((E24)^4-((E24-2*E25))^4)/12),""))))</f>
        <v>1.3675505906250005E-8</v>
      </c>
      <c r="F26" s="46">
        <f>IF(F24="no tubes","",IF(F14=0,"",IF(F6="Round",(((F24)^4-((F24-2*F25))^4)*3.142/64),IF(F6="Square",(((F24)^4-((F24-2*F25))^4)/12),""))))</f>
        <v>2.3213250000000008E-8</v>
      </c>
      <c r="G26" s="46">
        <f>IF(G24="no tubes","",IF(G14=0,"",IF(G6="Round",(((G24)^4-((G24-2*G25))^4)*3.142/64),IF(G6="Square",(((G24)^4-((G24-2*G25))^4)/12),""))))</f>
        <v>1.3675505906250005E-8</v>
      </c>
      <c r="H26" s="46">
        <f>IF(SUM(E26:G26)&gt;0,SUM(E26:G26),"")</f>
        <v>5.0564261812500019E-8</v>
      </c>
      <c r="I26" s="115" t="str">
        <f>IF($F$2="Tubing only","Tubing Only",P12)</f>
        <v>Tubing Only</v>
      </c>
      <c r="J26" s="115" t="str">
        <f>IF($F$2="Tubing only","Tubing Only",P22)</f>
        <v>Tubing Only</v>
      </c>
      <c r="K26" s="46">
        <f>IF($F$2="Tubing only",H26,IF($F$2="Composite only",I26+J26,IF($F$2="Tubes + Composite",H26+I26+J26,"No Type Selected")))</f>
        <v>5.0564261812500019E-8</v>
      </c>
      <c r="P26" s="60"/>
      <c r="S26" s="60"/>
      <c r="T26" s="61"/>
    </row>
    <row r="27" spans="2:20" x14ac:dyDescent="0.2">
      <c r="B27" s="59" t="s">
        <v>0</v>
      </c>
      <c r="C27" s="46">
        <f>C8*C26*C14</f>
        <v>5105.9510880000016</v>
      </c>
      <c r="D27" s="110"/>
      <c r="E27" s="46">
        <f>IF(E24="no tubes","",IF(E14=0,"",IF(AND(E13="bent/multi",E15&lt;35),0,IF(AND(E13="bent/multi",E16&lt;1.2),0,E8*E26*E14))))</f>
        <v>2735.101181250001</v>
      </c>
      <c r="F27" s="46">
        <f>IF(F24="no tubes","",IF(F14=0,"",F8*F26*F14))</f>
        <v>4642.6500000000015</v>
      </c>
      <c r="G27" s="46">
        <f>IF(G24="no tubes","",IF(G14=0,"",G8*G26*G14))</f>
        <v>2735.101181250001</v>
      </c>
      <c r="H27" s="46">
        <f t="shared" ref="H27:H35" si="0">IF(SUM(E27:G27)&gt;0,SUM(E27:G27),"")</f>
        <v>10112.852362500003</v>
      </c>
      <c r="I27" s="115" t="str">
        <f>IF(I26="Tubing Only","",IF(I22&gt;325,0,I26*I8))</f>
        <v/>
      </c>
      <c r="J27" s="115" t="str">
        <f>IF(J26="Tubing Only","",J26*J8)</f>
        <v/>
      </c>
      <c r="K27" s="46">
        <f>IF($F$2="Tubing only",H27,IF($F$2="Composite only",I27+J27,IF($F$2="Tubes + Composite",H27+I27+J27,"No Type Selected")))</f>
        <v>10112.852362500003</v>
      </c>
      <c r="L27" s="54">
        <f>IF(AND(NOT($F$2="tubes + composite"),OR(AND($G$14&gt;0,G27&lt;(C27/3)),AND($F$14&gt;0,F27&lt;(C27/3)),AND($E$14&gt;0,E27&lt;(C27/3)))),0,100*K27/C27)</f>
        <v>198.06011041247953</v>
      </c>
      <c r="M27" s="56" t="str">
        <f>IF((99.9&gt;L27)*AND(L27&gt;50),"For Composites Only, Additional Proof Required","")</f>
        <v/>
      </c>
    </row>
    <row r="28" spans="2:20" x14ac:dyDescent="0.2">
      <c r="B28" s="59" t="s">
        <v>160</v>
      </c>
      <c r="C28" s="47">
        <f>IF(C24="no tubes","",IF(C14=0,"",IF(C6="Round",C14*((C15^2-(C15-2*C16)^2)*PI()/4),IF(C6="Square",C14*(C15^2-(C15-2*C16)^2),""))))</f>
        <v>358.89554474609793</v>
      </c>
      <c r="D28" s="126"/>
      <c r="E28" s="47">
        <f>IF(E24="no tubes","",IF(E14=0,"",IF(E6="Round",E14*((E15^2-(E15-2*E16)^2)*PI()/4),IF(E6="Square",E14*(E15^2-(E15-2*E16)^2),""))))</f>
        <v>134.30308594096365</v>
      </c>
      <c r="F28" s="47">
        <f>IF(F24="no tubes","",IF(F14=0,"",IF(F6="Round",F14*((F15^2-(F15-2*F16)^2)*PI()/4),IF(F6="Square",F14*(F15^2-(F15-2*F16)^2),""))))</f>
        <v>171</v>
      </c>
      <c r="G28" s="47">
        <f>IF(G24="no tubes","",IF(G14=0,"",IF(G6="Round",G14*((G15^2-(G15-2*G16)^2)*PI()/4),IF(G6="Square",G14*(G15^2-(G15-2*G16)^2),""))))</f>
        <v>134.30308594096365</v>
      </c>
      <c r="H28" s="47">
        <f t="shared" si="0"/>
        <v>439.60617188192737</v>
      </c>
      <c r="I28" s="47" t="str">
        <f>IF(I26="Tubing Only","",(I18-I19)*I22)</f>
        <v/>
      </c>
      <c r="J28" s="47" t="str">
        <f>IF(J26="Tubing Only","",(J18-J19)*J22)</f>
        <v/>
      </c>
      <c r="K28" s="46">
        <f>IF($F$2="Tubing only",H28,IF($F$2="Composite only",I28+J28,IF($F$2="Tubes + Composite",H28+I28+J28,"No Type Selected")))</f>
        <v>439.60617188192737</v>
      </c>
      <c r="L28" s="297">
        <f>IF(AND($F$2="tubing only",AND(E5="steel",F5="steel",G5="steel")),100*K28/C28,"NA")</f>
        <v>122.48861216511575</v>
      </c>
      <c r="M28" s="56" t="str">
        <f>IF(AND(95&lt;L28,L28&lt;100),"For tubes only, provided your actual tube measures &gt;= your nominal OD and wall this is OK","")</f>
        <v/>
      </c>
      <c r="S28" s="60"/>
    </row>
    <row r="29" spans="2:20" x14ac:dyDescent="0.2">
      <c r="B29" s="59" t="s">
        <v>161</v>
      </c>
      <c r="C29" s="46">
        <f>C$28*C9/1000000</f>
        <v>109463.14114755986</v>
      </c>
      <c r="D29" s="110"/>
      <c r="E29" s="46">
        <f>IF(E24="no tubes","",IF(E14=0,"",E$28*E9/1000000))</f>
        <v>40962.441211993915</v>
      </c>
      <c r="F29" s="46">
        <f>IF(F24="no tubes","",IF(F14=0,"",F$28*F9/1000000))</f>
        <v>52155</v>
      </c>
      <c r="G29" s="46">
        <f>IF(G24="no tubes","",IF(G14=0,"",G$28*G9/1000000))</f>
        <v>40962.441211993915</v>
      </c>
      <c r="H29" s="46">
        <f t="shared" si="0"/>
        <v>134079.88242398784</v>
      </c>
      <c r="I29" s="46" t="str">
        <f>IF(I26="Tubing Only","","N/A")</f>
        <v/>
      </c>
      <c r="J29" s="46" t="str">
        <f>IF(J26="Tubing Only","","N/A")</f>
        <v/>
      </c>
      <c r="K29" s="46">
        <f>IF($F$2="Tubing only",H29,"N/A")</f>
        <v>134079.88242398784</v>
      </c>
      <c r="L29" s="54">
        <f>IF(AND($F$2="tubing only",OR($E29&lt;0.95*($E$14/$C$14)*$C29,$F29&lt;0.95*($F$14/$C$14)*$C29,$G29&lt;0.95*($G$14/$C$14)*$C29)),0,IF(NOT($F$2="tubing only"),"NA",100*H29/C29))</f>
        <v>122.48861216511575</v>
      </c>
      <c r="M29" s="56" t="str">
        <f>IF(AND(95&lt;L29,L29&lt;100),"For tubes only, provided your actual tube measures &gt;= your nominal OD and wall this is OK","")</f>
        <v/>
      </c>
    </row>
    <row r="30" spans="2:20" x14ac:dyDescent="0.2">
      <c r="B30" s="59" t="s">
        <v>5</v>
      </c>
      <c r="C30" s="46">
        <f>C$28*C10/1000000</f>
        <v>130996.87383232574</v>
      </c>
      <c r="D30" s="110"/>
      <c r="E30" s="46">
        <f>IF(E24="no tubes","",IF(E14=0,"",E$28*E10/1000000))</f>
        <v>49020.62636845174</v>
      </c>
      <c r="F30" s="46">
        <f>IF(F24="no tubes","",IF(F14=0,"",F$28*F10/1000000))</f>
        <v>62415</v>
      </c>
      <c r="G30" s="46">
        <f>IF(G24="no tubes","",IF(G14=0,"",G$28*G10/1000000))</f>
        <v>49020.62636845174</v>
      </c>
      <c r="H30" s="46">
        <f t="shared" si="0"/>
        <v>160456.25273690349</v>
      </c>
      <c r="I30" s="46" t="str">
        <f>IF(I26="Tubing Only","","N/A")</f>
        <v/>
      </c>
      <c r="J30" s="46" t="str">
        <f>IF(J26="Tubing Only","","N/A")</f>
        <v/>
      </c>
      <c r="K30" s="46">
        <f>IF($F$2="Tubing only",H30,"N/A")</f>
        <v>160456.25273690349</v>
      </c>
      <c r="L30" s="54">
        <f>IF(AND($F$2="tubing only",OR($E30&lt;0.95*($E$14/$C$14)*$C30,$F30&lt;0.95*($F$14/$C$14)*$C30,$G30&lt;0.95*($G$14/$C$14)*$C30)),0,IF(NOT($F$2="tubing only"),"NA",100*H30/C30))</f>
        <v>122.48861216511577</v>
      </c>
      <c r="M30" s="56" t="str">
        <f>IF(AND(95&lt;L30,L30&lt;100),"For tubes only, provided your actual tube measures &gt;= your nominal OD and wall this is OK","")</f>
        <v/>
      </c>
      <c r="S30" s="60"/>
    </row>
    <row r="31" spans="2:20" x14ac:dyDescent="0.2">
      <c r="B31" s="59" t="s">
        <v>162</v>
      </c>
      <c r="C31" s="46">
        <f>C$28*C11/1000000</f>
        <v>64601.198054297631</v>
      </c>
      <c r="D31" s="110"/>
      <c r="E31" s="46">
        <f>IF(E24="no tubes","",IF(E14=0,"",E$28*E11/1000000))</f>
        <v>24174.555469373459</v>
      </c>
      <c r="F31" s="46">
        <f>IF(F24="no tubes","",IF(F14=0,"",F$28*F11/1000000))</f>
        <v>30780</v>
      </c>
      <c r="G31" s="46">
        <f>IF(G24="no tubes","",IF(G14=0,"",G$28*G11/1000000))</f>
        <v>24174.555469373459</v>
      </c>
      <c r="H31" s="46">
        <f t="shared" si="0"/>
        <v>79129.110938746919</v>
      </c>
      <c r="I31" s="46" t="str">
        <f>IF(I26="Tubing Only","","N/A")</f>
        <v/>
      </c>
      <c r="J31" s="46" t="str">
        <f>IF(J26="Tubing Only","","N/A")</f>
        <v/>
      </c>
      <c r="K31" s="46">
        <f>IF($F$2="Tubing only",H31,"N/A")</f>
        <v>79129.110938746919</v>
      </c>
      <c r="L31" s="54">
        <f>IF(AND($F$2="tubing only",OR($E31&lt;0.95*($E$14/$C$14)*$C31,$F31&lt;0.95*($F$14/$C$14)*$C31,$G31&lt;0.95*($G$14/$C$14)*$C31)),0,IF(NOT($F$2="tubing only"),"NA",100*H31/C31))</f>
        <v>122.48861216511574</v>
      </c>
      <c r="M31" s="56" t="str">
        <f>IF(AND(95&lt;L31,L31&lt;100),"For tubes only, provided your actual tube measures &gt;= your nominal OD and wall this is OK","")</f>
        <v/>
      </c>
      <c r="S31" s="60"/>
    </row>
    <row r="32" spans="2:20" x14ac:dyDescent="0.2">
      <c r="B32" s="59" t="s">
        <v>6</v>
      </c>
      <c r="C32" s="46">
        <f>IF(C14=0,"",C$28*C12/1000000)</f>
        <v>107668.66342382938</v>
      </c>
      <c r="D32" s="110"/>
      <c r="E32" s="46">
        <f>IF(E24="no tubes","",IF(E14=0,"",E$28*E12/1000000))</f>
        <v>40290.925782289094</v>
      </c>
      <c r="F32" s="46">
        <f>IF(F24="no tubes","",IF(F14=0,"",F$28*F12/1000000))</f>
        <v>51300</v>
      </c>
      <c r="G32" s="46">
        <f>IF(G24="no tubes","",IF(G14=0,"",G$28*G12/1000000))</f>
        <v>40290.925782289094</v>
      </c>
      <c r="H32" s="46">
        <f t="shared" si="0"/>
        <v>131881.85156457819</v>
      </c>
      <c r="I32" s="46" t="str">
        <f>IF(I26="tubing only","","N/A")</f>
        <v/>
      </c>
      <c r="J32" s="46" t="str">
        <f>IF(J26="tubing only","","N/A")</f>
        <v/>
      </c>
      <c r="K32" s="46">
        <f>IF($F$2="Tubing only",H32,"N/A")</f>
        <v>131881.85156457819</v>
      </c>
      <c r="L32" s="54">
        <f>IF(AND($F$2="tubing only",OR($E32&lt;0.95*($E$14/$C$14)*$C32,$F32&lt;0.95*($F$14/$C$14)*$C32,$G32&lt;0.95*($G$14/$C$14)*$C32)),0,IF(NOT($F$2="tubing only"),"NA",100*H32/C32))</f>
        <v>122.48861216511574</v>
      </c>
      <c r="M32" s="56" t="str">
        <f>IF(AND(95&lt;L32,L32&lt;100),"For tubes only, provided your actual tube measures &gt;= your nominal OD and wall this is OK","")</f>
        <v/>
      </c>
      <c r="S32" s="60"/>
    </row>
    <row r="33" spans="2:16" x14ac:dyDescent="0.2">
      <c r="B33" s="59" t="s">
        <v>163</v>
      </c>
      <c r="C33" s="46">
        <f>C14*4*C10*C26/(0.5*C24*1)</f>
        <v>2934.9167671181112</v>
      </c>
      <c r="E33" s="46">
        <f>IF(E24="no tubes","",IF(E14=0,"",E14*4*E10*E26/(0.5*E24*1)))</f>
        <v>1331.0825748750005</v>
      </c>
      <c r="F33" s="46">
        <f>IF(F24="no tubes","",IF(F14=0,"",F14*4*F10*F26/(0.5*F24*1)))</f>
        <v>2259.4230000000007</v>
      </c>
      <c r="G33" s="46">
        <f>IF(G24="no tubes","",IF(G14=0,"",G14*4*G10*G26/(0.5*G24*1)))</f>
        <v>1331.0825748750005</v>
      </c>
      <c r="H33" s="46">
        <f t="shared" si="0"/>
        <v>4921.5881497500013</v>
      </c>
      <c r="I33" s="46" t="str">
        <f>IF(I26="tubing only","","N/A")</f>
        <v/>
      </c>
      <c r="J33" s="46" t="str">
        <f>IF(J26="tubing only","","N/A")</f>
        <v/>
      </c>
      <c r="K33" s="46">
        <f>IF($F$2="Tubing only",H33,"N/A")</f>
        <v>4921.5881497500013</v>
      </c>
      <c r="L33" s="54">
        <f>IF(AND($F$2="tubing only",OR($E33&lt;0.95*($E$14/$C$14)*$C33,$F33&lt;0.95*($F$14/$C$14)*$C33,$G33&lt;0.95*($G$14/$C$14)*$C33)),0,IF(NOT($F$2="tubing only"),"NA",100*H33/C33))</f>
        <v>167.69089348256597</v>
      </c>
    </row>
    <row r="34" spans="2:16" x14ac:dyDescent="0.2">
      <c r="B34" s="59" t="s">
        <v>164</v>
      </c>
      <c r="C34" s="46">
        <f>IF(C14=0,"",C33*1^3/(48*C27))</f>
        <v>1.1975065616797901E-2</v>
      </c>
      <c r="E34" s="46">
        <f>IF(E24="no tubes","",IF(E14=0,"",($C$33*1^3/(48*E27))))</f>
        <v>2.235533359208907E-2</v>
      </c>
      <c r="F34" s="46">
        <f>IF(F24="no tubes","",IF(F14=0,"",($C$33*1^3/(48*F27))))</f>
        <v>1.3170085902439475E-2</v>
      </c>
      <c r="G34" s="46">
        <f>IF(G24="no tubes","",IF(G14=0,"",($C$33*1^3/(48*G27))))</f>
        <v>2.235533359208907E-2</v>
      </c>
      <c r="H34" s="46">
        <f>IF(F2="composite only","",$C$33*1^3/(48*H27))</f>
        <v>6.0461773912266611E-3</v>
      </c>
      <c r="I34" s="46" t="str">
        <f>IF(NOT($F$2="tubing only"),"N/A","")</f>
        <v/>
      </c>
      <c r="J34" s="46" t="str">
        <f>IF(NOT($F$2="tubing only"),"N/A","")</f>
        <v/>
      </c>
      <c r="K34" s="46" t="str">
        <f>IF($F$2="Tubing only","","N/A")</f>
        <v/>
      </c>
      <c r="L34" s="54">
        <f>IF(AND($F$2="tubing only",H34&gt;1.05*C34),101,IF(NOT($F$2="tubing only"),"NA",100*H34/C34))</f>
        <v>50.489722434133874</v>
      </c>
    </row>
    <row r="35" spans="2:16" x14ac:dyDescent="0.2">
      <c r="B35" s="59" t="s">
        <v>165</v>
      </c>
      <c r="C35" s="46">
        <f>0.5*C33*(C33*1^3/(48*C27))</f>
        <v>17.572910433039873</v>
      </c>
      <c r="E35" s="46">
        <f>IF(E24="no tubes","",0.5*E33*(E33*1^3/(48*E27)))</f>
        <v>6.747849164296877</v>
      </c>
      <c r="F35" s="46">
        <f>IF(F24="no tubes","",0.5*F33*(F33*1^3/(48*F27)))</f>
        <v>11.454019375000003</v>
      </c>
      <c r="G35" s="46">
        <f>IF(G24="no tubes","",0.5*G33*(G33*1^3/(48*G27)))</f>
        <v>6.747849164296877</v>
      </c>
      <c r="H35" s="46">
        <f t="shared" si="0"/>
        <v>24.949717703593759</v>
      </c>
      <c r="I35" s="46" t="str">
        <f>IF(I26="tubing only","","N/A")</f>
        <v/>
      </c>
      <c r="J35" s="46" t="str">
        <f>IF(J26="tubing only","","N/A")</f>
        <v/>
      </c>
      <c r="K35" s="46">
        <f>IF($F$2="Tubing only",H35,IF($F$2="Composite only",I35,IF($F$2="Tubes + Composite",H35+I35,"No Type Selected")))</f>
        <v>24.949717703593759</v>
      </c>
      <c r="L35" s="54">
        <f>IF(AND($F$2="tubing only",OR($E35&lt;(0.999*E14/C14)*$C35,$F35&lt;(F14/C14)*$C35,$G35&lt;(G14/C14)*$C35)),0,IF(NOT($F$2="tubing only"),"NA",100*H35/C35))</f>
        <v>141.97828981523924</v>
      </c>
      <c r="N35" s="298" t="s">
        <v>565</v>
      </c>
      <c r="O35" s="298"/>
      <c r="P35" s="298"/>
    </row>
    <row r="36" spans="2:16" x14ac:dyDescent="0.2">
      <c r="C36" s="207">
        <f>0.99*C27/C14</f>
        <v>1684.9638590400007</v>
      </c>
      <c r="D36" s="208"/>
      <c r="E36" s="207">
        <f>IF(AND($F$2="tubing only",E14&gt;0),E27/E14,9E+99)</f>
        <v>2735.101181250001</v>
      </c>
      <c r="F36" s="207">
        <f>IF(AND($F$2="tubing only",F14&gt;0),F27/F14,9E+99)</f>
        <v>4642.6500000000015</v>
      </c>
      <c r="G36" s="207">
        <f>IF(AND($F$2="tubing only",G14&gt;0),G27/G14,9E+99)</f>
        <v>2735.101181250001</v>
      </c>
      <c r="H36" s="186"/>
    </row>
    <row r="37" spans="2:16" x14ac:dyDescent="0.2">
      <c r="B37" s="127" t="s">
        <v>281</v>
      </c>
      <c r="E37" s="60"/>
    </row>
    <row r="38" spans="2:16" x14ac:dyDescent="0.2">
      <c r="B38" s="24"/>
      <c r="C38" s="25"/>
      <c r="D38" s="25"/>
      <c r="E38" s="25"/>
      <c r="F38" s="25"/>
      <c r="G38" s="25"/>
      <c r="H38" s="25"/>
      <c r="I38" s="25"/>
      <c r="J38" s="25"/>
      <c r="K38" s="25"/>
      <c r="L38" s="25"/>
      <c r="M38" s="25"/>
      <c r="N38" s="25"/>
      <c r="O38" s="25"/>
      <c r="P38" s="26"/>
    </row>
    <row r="39" spans="2:16" x14ac:dyDescent="0.2">
      <c r="B39" s="513" t="s">
        <v>480</v>
      </c>
      <c r="C39" s="31"/>
      <c r="D39" s="31"/>
      <c r="E39" s="31"/>
      <c r="F39" s="31"/>
      <c r="G39" s="31"/>
      <c r="H39" s="31"/>
      <c r="I39" s="31"/>
      <c r="J39" s="31"/>
      <c r="K39" s="31"/>
      <c r="L39" s="31"/>
      <c r="M39" s="31"/>
      <c r="N39" s="31"/>
      <c r="O39" s="31"/>
      <c r="P39" s="32"/>
    </row>
    <row r="40" spans="2:16" x14ac:dyDescent="0.2">
      <c r="B40" s="30"/>
      <c r="C40" s="31"/>
      <c r="D40" s="31"/>
      <c r="E40" s="31"/>
      <c r="F40" s="31"/>
      <c r="G40" s="31"/>
      <c r="H40" s="268"/>
      <c r="I40" s="31"/>
      <c r="J40" s="31"/>
      <c r="K40" s="31"/>
      <c r="L40" s="31"/>
      <c r="M40" s="31"/>
      <c r="N40" s="31"/>
      <c r="O40" s="31"/>
      <c r="P40" s="32"/>
    </row>
    <row r="41" spans="2:16" x14ac:dyDescent="0.2">
      <c r="B41" s="30"/>
      <c r="C41" s="31"/>
      <c r="D41" s="31"/>
      <c r="E41" s="31"/>
      <c r="F41" s="31"/>
      <c r="G41" s="31"/>
      <c r="H41" s="31"/>
      <c r="I41" s="31"/>
      <c r="J41" s="31"/>
      <c r="K41" s="31"/>
      <c r="L41" s="31"/>
      <c r="M41" s="31"/>
      <c r="N41" s="31"/>
      <c r="O41" s="31"/>
      <c r="P41" s="32"/>
    </row>
    <row r="42" spans="2:16" x14ac:dyDescent="0.2">
      <c r="B42" s="30"/>
      <c r="C42" s="31"/>
      <c r="D42" s="31"/>
      <c r="E42" s="31"/>
      <c r="F42" s="31"/>
      <c r="G42" s="31"/>
      <c r="H42" s="31"/>
      <c r="I42" s="31"/>
      <c r="J42" s="31"/>
      <c r="K42" s="31"/>
      <c r="L42" s="31"/>
      <c r="M42" s="31"/>
      <c r="N42" s="31"/>
      <c r="O42" s="31"/>
      <c r="P42" s="32"/>
    </row>
    <row r="43" spans="2:16" x14ac:dyDescent="0.2">
      <c r="B43" s="30"/>
      <c r="C43" s="31"/>
      <c r="D43" s="31"/>
      <c r="E43" s="31"/>
      <c r="F43" s="31"/>
      <c r="G43" s="31"/>
      <c r="H43" s="31"/>
      <c r="I43" s="31"/>
      <c r="J43" s="31"/>
      <c r="K43" s="31"/>
      <c r="L43" s="31"/>
      <c r="M43" s="31"/>
      <c r="N43" s="31"/>
      <c r="O43" s="31"/>
      <c r="P43" s="32"/>
    </row>
    <row r="44" spans="2:16" x14ac:dyDescent="0.2">
      <c r="B44" s="30"/>
      <c r="C44" s="31"/>
      <c r="D44" s="31"/>
      <c r="E44" s="31"/>
      <c r="F44" s="31"/>
      <c r="G44" s="31"/>
      <c r="H44" s="31"/>
      <c r="I44" s="31"/>
      <c r="J44" s="31"/>
      <c r="K44" s="31"/>
      <c r="L44" s="31"/>
      <c r="M44" s="31"/>
      <c r="N44" s="31"/>
      <c r="O44" s="31"/>
      <c r="P44" s="32"/>
    </row>
    <row r="45" spans="2:16" x14ac:dyDescent="0.2">
      <c r="B45" s="30"/>
      <c r="C45" s="31"/>
      <c r="D45" s="31"/>
      <c r="E45" s="31"/>
      <c r="F45" s="31"/>
      <c r="G45" s="31"/>
      <c r="H45" s="31"/>
      <c r="I45" s="31"/>
      <c r="J45" s="31"/>
      <c r="K45" s="31"/>
      <c r="L45" s="31"/>
      <c r="M45" s="31"/>
      <c r="N45" s="31"/>
      <c r="O45" s="31"/>
      <c r="P45" s="32"/>
    </row>
    <row r="46" spans="2:16" x14ac:dyDescent="0.2">
      <c r="B46" s="30"/>
      <c r="C46" s="31"/>
      <c r="D46" s="31"/>
      <c r="E46" s="31"/>
      <c r="F46" s="31"/>
      <c r="G46" s="31"/>
      <c r="H46" s="31"/>
      <c r="I46" s="31"/>
      <c r="J46" s="31"/>
      <c r="K46" s="31"/>
      <c r="L46" s="31"/>
      <c r="M46" s="31"/>
      <c r="N46" s="31"/>
      <c r="O46" s="31"/>
      <c r="P46" s="32"/>
    </row>
    <row r="47" spans="2:16" x14ac:dyDescent="0.2">
      <c r="B47" s="30"/>
      <c r="C47" s="31"/>
      <c r="D47" s="31"/>
      <c r="E47" s="31"/>
      <c r="F47" s="31"/>
      <c r="G47" s="31"/>
      <c r="H47" s="31"/>
      <c r="I47" s="31"/>
      <c r="J47" s="31"/>
      <c r="K47" s="31"/>
      <c r="L47" s="31"/>
      <c r="M47" s="31"/>
      <c r="N47" s="31"/>
      <c r="O47" s="31"/>
      <c r="P47" s="32"/>
    </row>
    <row r="48" spans="2:16" x14ac:dyDescent="0.2">
      <c r="B48" s="30"/>
      <c r="C48" s="31"/>
      <c r="D48" s="31"/>
      <c r="E48" s="31"/>
      <c r="F48" s="31"/>
      <c r="G48" s="31"/>
      <c r="H48" s="31"/>
      <c r="I48" s="31"/>
      <c r="J48" s="31"/>
      <c r="K48" s="31"/>
      <c r="L48" s="31"/>
      <c r="M48" s="31"/>
      <c r="N48" s="31"/>
      <c r="O48" s="31"/>
      <c r="P48" s="32"/>
    </row>
    <row r="49" spans="2:16" x14ac:dyDescent="0.2">
      <c r="B49" s="30"/>
      <c r="C49" s="31"/>
      <c r="D49" s="31"/>
      <c r="E49" s="31"/>
      <c r="F49" s="31"/>
      <c r="G49" s="31"/>
      <c r="H49" s="31"/>
      <c r="I49" s="31"/>
      <c r="J49" s="31"/>
      <c r="K49" s="31"/>
      <c r="L49" s="31"/>
      <c r="M49" s="31"/>
      <c r="N49" s="31"/>
      <c r="O49" s="31"/>
      <c r="P49" s="32"/>
    </row>
    <row r="50" spans="2:16" x14ac:dyDescent="0.2">
      <c r="B50" s="30"/>
      <c r="C50" s="31"/>
      <c r="D50" s="31"/>
      <c r="E50" s="31"/>
      <c r="F50" s="31"/>
      <c r="G50" s="31"/>
      <c r="H50" s="31"/>
      <c r="I50" s="31"/>
      <c r="J50" s="31"/>
      <c r="K50" s="31"/>
      <c r="L50" s="31"/>
      <c r="M50" s="31"/>
      <c r="N50" s="31"/>
      <c r="O50" s="31"/>
      <c r="P50" s="32"/>
    </row>
    <row r="51" spans="2:16" x14ac:dyDescent="0.2">
      <c r="B51" s="30"/>
      <c r="C51" s="31"/>
      <c r="D51" s="31"/>
      <c r="E51" s="31"/>
      <c r="F51" s="31"/>
      <c r="G51" s="31"/>
      <c r="H51" s="31"/>
      <c r="I51" s="31"/>
      <c r="J51" s="31"/>
      <c r="K51" s="31"/>
      <c r="L51" s="31"/>
      <c r="M51" s="31"/>
      <c r="N51" s="31"/>
      <c r="O51" s="31"/>
      <c r="P51" s="32"/>
    </row>
    <row r="52" spans="2:16" x14ac:dyDescent="0.2">
      <c r="B52" s="30"/>
      <c r="C52" s="31"/>
      <c r="D52" s="31"/>
      <c r="E52" s="31"/>
      <c r="F52" s="31"/>
      <c r="G52" s="31"/>
      <c r="H52" s="31"/>
      <c r="I52" s="31"/>
      <c r="J52" s="31"/>
      <c r="K52" s="31"/>
      <c r="L52" s="31"/>
      <c r="M52" s="31"/>
      <c r="N52" s="31"/>
      <c r="O52" s="31"/>
      <c r="P52" s="32"/>
    </row>
    <row r="53" spans="2:16" x14ac:dyDescent="0.2">
      <c r="B53" s="30"/>
      <c r="C53" s="31"/>
      <c r="D53" s="31"/>
      <c r="E53" s="31"/>
      <c r="F53" s="31"/>
      <c r="G53" s="31"/>
      <c r="H53" s="31"/>
      <c r="I53" s="31"/>
      <c r="J53" s="31"/>
      <c r="K53" s="31"/>
      <c r="L53" s="31"/>
      <c r="M53" s="31"/>
      <c r="N53" s="31"/>
      <c r="O53" s="31"/>
      <c r="P53" s="32"/>
    </row>
    <row r="54" spans="2:16" x14ac:dyDescent="0.2">
      <c r="B54" s="30"/>
      <c r="C54" s="31"/>
      <c r="D54" s="31"/>
      <c r="E54" s="31"/>
      <c r="F54" s="31"/>
      <c r="G54" s="31"/>
      <c r="H54" s="31"/>
      <c r="I54" s="31"/>
      <c r="J54" s="31"/>
      <c r="K54" s="31"/>
      <c r="L54" s="31"/>
      <c r="M54" s="31"/>
      <c r="N54" s="31"/>
      <c r="O54" s="31"/>
      <c r="P54" s="32"/>
    </row>
    <row r="55" spans="2:16" x14ac:dyDescent="0.2">
      <c r="B55" s="30"/>
      <c r="C55" s="31"/>
      <c r="D55" s="31"/>
      <c r="E55" s="31"/>
      <c r="F55" s="31"/>
      <c r="G55" s="31"/>
      <c r="H55" s="31"/>
      <c r="I55" s="31"/>
      <c r="J55" s="31"/>
      <c r="K55" s="31"/>
      <c r="L55" s="31"/>
      <c r="M55" s="31"/>
      <c r="N55" s="31"/>
      <c r="O55" s="31"/>
      <c r="P55" s="32"/>
    </row>
    <row r="56" spans="2:16" x14ac:dyDescent="0.2">
      <c r="B56" s="30"/>
      <c r="C56" s="31"/>
      <c r="D56" s="31"/>
      <c r="E56" s="31"/>
      <c r="F56" s="31"/>
      <c r="G56" s="31"/>
      <c r="H56" s="31"/>
      <c r="I56" s="31"/>
      <c r="J56" s="31"/>
      <c r="K56" s="31"/>
      <c r="L56" s="31"/>
      <c r="M56" s="31"/>
      <c r="N56" s="31"/>
      <c r="O56" s="31"/>
      <c r="P56" s="32"/>
    </row>
    <row r="57" spans="2:16" x14ac:dyDescent="0.2">
      <c r="B57" s="30"/>
      <c r="C57" s="31"/>
      <c r="D57" s="31"/>
      <c r="E57" s="31"/>
      <c r="F57" s="31"/>
      <c r="G57" s="31"/>
      <c r="H57" s="31"/>
      <c r="I57" s="31"/>
      <c r="J57" s="31"/>
      <c r="K57" s="31"/>
      <c r="L57" s="31"/>
      <c r="M57" s="31"/>
      <c r="N57" s="31"/>
      <c r="O57" s="31"/>
      <c r="P57" s="32"/>
    </row>
    <row r="58" spans="2:16" x14ac:dyDescent="0.2">
      <c r="B58" s="30"/>
      <c r="C58" s="31"/>
      <c r="D58" s="31"/>
      <c r="E58" s="31"/>
      <c r="F58" s="31"/>
      <c r="G58" s="31"/>
      <c r="H58" s="31"/>
      <c r="I58" s="31"/>
      <c r="J58" s="31"/>
      <c r="K58" s="31"/>
      <c r="L58" s="31"/>
      <c r="M58" s="31"/>
      <c r="N58" s="31"/>
      <c r="O58" s="31"/>
      <c r="P58" s="32"/>
    </row>
    <row r="59" spans="2:16" x14ac:dyDescent="0.2">
      <c r="B59" s="30"/>
      <c r="C59" s="31"/>
      <c r="D59" s="31"/>
      <c r="E59" s="31"/>
      <c r="F59" s="31"/>
      <c r="G59" s="31"/>
      <c r="H59" s="31"/>
      <c r="I59" s="31"/>
      <c r="J59" s="31"/>
      <c r="K59" s="31"/>
      <c r="L59" s="31"/>
      <c r="M59" s="31"/>
      <c r="N59" s="31"/>
      <c r="O59" s="31"/>
      <c r="P59" s="32"/>
    </row>
    <row r="60" spans="2:16" x14ac:dyDescent="0.2">
      <c r="B60" s="30"/>
      <c r="C60" s="31"/>
      <c r="D60" s="31"/>
      <c r="E60" s="31"/>
      <c r="F60" s="31"/>
      <c r="G60" s="31"/>
      <c r="H60" s="31"/>
      <c r="I60" s="31"/>
      <c r="J60" s="31"/>
      <c r="K60" s="31"/>
      <c r="L60" s="31"/>
      <c r="M60" s="31"/>
      <c r="N60" s="31"/>
      <c r="O60" s="31"/>
      <c r="P60" s="32"/>
    </row>
    <row r="61" spans="2:16" x14ac:dyDescent="0.2">
      <c r="B61" s="30"/>
      <c r="C61" s="31"/>
      <c r="D61" s="31"/>
      <c r="E61" s="31"/>
      <c r="F61" s="31"/>
      <c r="G61" s="31"/>
      <c r="H61" s="31"/>
      <c r="I61" s="31"/>
      <c r="J61" s="31"/>
      <c r="K61" s="31"/>
      <c r="L61" s="31"/>
      <c r="M61" s="31"/>
      <c r="N61" s="31"/>
      <c r="O61" s="31"/>
      <c r="P61" s="32"/>
    </row>
    <row r="62" spans="2:16" x14ac:dyDescent="0.2">
      <c r="B62" s="30"/>
      <c r="C62" s="31"/>
      <c r="D62" s="31"/>
      <c r="E62" s="31"/>
      <c r="F62" s="31"/>
      <c r="G62" s="31"/>
      <c r="H62" s="31"/>
      <c r="I62" s="31"/>
      <c r="J62" s="31"/>
      <c r="K62" s="31"/>
      <c r="L62" s="31"/>
      <c r="M62" s="31"/>
      <c r="N62" s="31"/>
      <c r="O62" s="31"/>
      <c r="P62" s="32"/>
    </row>
    <row r="63" spans="2:16" x14ac:dyDescent="0.2">
      <c r="B63" s="30"/>
      <c r="C63" s="31"/>
      <c r="D63" s="31"/>
      <c r="E63" s="31"/>
      <c r="F63" s="31"/>
      <c r="G63" s="31"/>
      <c r="H63" s="31"/>
      <c r="I63" s="31"/>
      <c r="J63" s="31"/>
      <c r="K63" s="31"/>
      <c r="L63" s="31"/>
      <c r="M63" s="31"/>
      <c r="N63" s="31"/>
      <c r="O63" s="31"/>
      <c r="P63" s="32"/>
    </row>
    <row r="64" spans="2:16" x14ac:dyDescent="0.2">
      <c r="B64" s="30"/>
      <c r="C64" s="31"/>
      <c r="D64" s="31"/>
      <c r="E64" s="31"/>
      <c r="F64" s="31"/>
      <c r="G64" s="31"/>
      <c r="H64" s="31"/>
      <c r="I64" s="31"/>
      <c r="J64" s="31"/>
      <c r="K64" s="31"/>
      <c r="L64" s="31"/>
      <c r="M64" s="31"/>
      <c r="N64" s="31"/>
      <c r="O64" s="31"/>
      <c r="P64" s="32"/>
    </row>
    <row r="65" spans="2:16" x14ac:dyDescent="0.2">
      <c r="B65" s="30"/>
      <c r="C65" s="31"/>
      <c r="D65" s="31"/>
      <c r="E65" s="31"/>
      <c r="F65" s="31"/>
      <c r="G65" s="31"/>
      <c r="H65" s="31"/>
      <c r="I65" s="31"/>
      <c r="J65" s="31"/>
      <c r="K65" s="31"/>
      <c r="L65" s="31"/>
      <c r="M65" s="31"/>
      <c r="N65" s="31"/>
      <c r="O65" s="31"/>
      <c r="P65" s="32"/>
    </row>
    <row r="66" spans="2:16" x14ac:dyDescent="0.2">
      <c r="B66" s="30"/>
      <c r="C66" s="31"/>
      <c r="D66" s="31"/>
      <c r="E66" s="31"/>
      <c r="F66" s="31"/>
      <c r="G66" s="31"/>
      <c r="H66" s="31"/>
      <c r="I66" s="31"/>
      <c r="J66" s="31"/>
      <c r="K66" s="31"/>
      <c r="L66" s="31"/>
      <c r="M66" s="31"/>
      <c r="N66" s="31"/>
      <c r="O66" s="31"/>
      <c r="P66" s="32"/>
    </row>
    <row r="67" spans="2:16" x14ac:dyDescent="0.2">
      <c r="B67" s="30"/>
      <c r="C67" s="31"/>
      <c r="D67" s="31"/>
      <c r="E67" s="31"/>
      <c r="F67" s="31"/>
      <c r="G67" s="31"/>
      <c r="H67" s="31"/>
      <c r="I67" s="31"/>
      <c r="J67" s="31"/>
      <c r="K67" s="31"/>
      <c r="L67" s="31"/>
      <c r="M67" s="31"/>
      <c r="N67" s="31"/>
      <c r="O67" s="31"/>
      <c r="P67" s="32"/>
    </row>
    <row r="68" spans="2:16" x14ac:dyDescent="0.2">
      <c r="B68" s="30"/>
      <c r="C68" s="31"/>
      <c r="D68" s="31"/>
      <c r="E68" s="31"/>
      <c r="F68" s="31"/>
      <c r="G68" s="31"/>
      <c r="H68" s="31"/>
      <c r="I68" s="31"/>
      <c r="J68" s="31"/>
      <c r="K68" s="31"/>
      <c r="L68" s="31"/>
      <c r="M68" s="31"/>
      <c r="N68" s="31"/>
      <c r="O68" s="31"/>
      <c r="P68" s="32"/>
    </row>
    <row r="69" spans="2:16" x14ac:dyDescent="0.2">
      <c r="B69" s="30"/>
      <c r="C69" s="31"/>
      <c r="D69" s="31"/>
      <c r="E69" s="31"/>
      <c r="F69" s="31"/>
      <c r="G69" s="31"/>
      <c r="H69" s="31"/>
      <c r="I69" s="31"/>
      <c r="J69" s="31"/>
      <c r="K69" s="31"/>
      <c r="L69" s="31"/>
      <c r="M69" s="31"/>
      <c r="N69" s="31"/>
      <c r="O69" s="31"/>
      <c r="P69" s="32"/>
    </row>
    <row r="70" spans="2:16" x14ac:dyDescent="0.2">
      <c r="B70" s="30"/>
      <c r="C70" s="31"/>
      <c r="D70" s="31"/>
      <c r="E70" s="31"/>
      <c r="F70" s="31"/>
      <c r="G70" s="31"/>
      <c r="H70" s="31"/>
      <c r="I70" s="31"/>
      <c r="J70" s="31"/>
      <c r="K70" s="31"/>
      <c r="L70" s="31"/>
      <c r="M70" s="31"/>
      <c r="N70" s="31"/>
      <c r="O70" s="31"/>
      <c r="P70" s="32"/>
    </row>
    <row r="71" spans="2:16" x14ac:dyDescent="0.2">
      <c r="B71" s="30"/>
      <c r="C71" s="31"/>
      <c r="D71" s="31"/>
      <c r="E71" s="31"/>
      <c r="F71" s="31"/>
      <c r="G71" s="31"/>
      <c r="H71" s="31"/>
      <c r="I71" s="31"/>
      <c r="J71" s="31"/>
      <c r="K71" s="31"/>
      <c r="L71" s="31"/>
      <c r="M71" s="31"/>
      <c r="N71" s="31"/>
      <c r="O71" s="31"/>
      <c r="P71" s="32"/>
    </row>
    <row r="72" spans="2:16" x14ac:dyDescent="0.2">
      <c r="B72" s="30"/>
      <c r="C72" s="31"/>
      <c r="D72" s="31"/>
      <c r="E72" s="31"/>
      <c r="F72" s="31"/>
      <c r="G72" s="31"/>
      <c r="H72" s="31"/>
      <c r="I72" s="31"/>
      <c r="J72" s="31"/>
      <c r="K72" s="31"/>
      <c r="L72" s="31"/>
      <c r="M72" s="31"/>
      <c r="N72" s="31"/>
      <c r="O72" s="31"/>
      <c r="P72" s="32"/>
    </row>
    <row r="73" spans="2:16" x14ac:dyDescent="0.2">
      <c r="B73" s="30"/>
      <c r="C73" s="31"/>
      <c r="D73" s="31"/>
      <c r="E73" s="31"/>
      <c r="F73" s="31"/>
      <c r="G73" s="31"/>
      <c r="H73" s="31"/>
      <c r="I73" s="31"/>
      <c r="J73" s="31"/>
      <c r="K73" s="31"/>
      <c r="L73" s="31"/>
      <c r="M73" s="31"/>
      <c r="N73" s="31"/>
      <c r="O73" s="31"/>
      <c r="P73" s="32"/>
    </row>
    <row r="74" spans="2:16" x14ac:dyDescent="0.2">
      <c r="B74" s="30"/>
      <c r="C74" s="31"/>
      <c r="D74" s="31"/>
      <c r="E74" s="31"/>
      <c r="F74" s="31"/>
      <c r="G74" s="31"/>
      <c r="H74" s="31"/>
      <c r="I74" s="31"/>
      <c r="J74" s="31"/>
      <c r="K74" s="31"/>
      <c r="L74" s="31"/>
      <c r="M74" s="31"/>
      <c r="N74" s="31"/>
      <c r="O74" s="31"/>
      <c r="P74" s="32"/>
    </row>
    <row r="75" spans="2:16" x14ac:dyDescent="0.2">
      <c r="B75" s="30"/>
      <c r="C75" s="31"/>
      <c r="D75" s="31"/>
      <c r="E75" s="31"/>
      <c r="F75" s="31"/>
      <c r="G75" s="31"/>
      <c r="H75" s="31"/>
      <c r="I75" s="31"/>
      <c r="J75" s="31"/>
      <c r="K75" s="31"/>
      <c r="L75" s="31"/>
      <c r="M75" s="31"/>
      <c r="N75" s="31"/>
      <c r="O75" s="31"/>
      <c r="P75" s="32"/>
    </row>
    <row r="76" spans="2:16" x14ac:dyDescent="0.2">
      <c r="B76" s="30"/>
      <c r="C76" s="31"/>
      <c r="D76" s="31"/>
      <c r="E76" s="31"/>
      <c r="F76" s="31"/>
      <c r="G76" s="31"/>
      <c r="H76" s="31"/>
      <c r="I76" s="31"/>
      <c r="J76" s="31"/>
      <c r="K76" s="31"/>
      <c r="L76" s="31"/>
      <c r="M76" s="31"/>
      <c r="N76" s="31"/>
      <c r="O76" s="31"/>
      <c r="P76" s="32"/>
    </row>
    <row r="77" spans="2:16" x14ac:dyDescent="0.2">
      <c r="B77" s="30"/>
      <c r="C77" s="31"/>
      <c r="D77" s="31"/>
      <c r="E77" s="31"/>
      <c r="F77" s="31"/>
      <c r="G77" s="31"/>
      <c r="H77" s="31"/>
      <c r="I77" s="31"/>
      <c r="J77" s="31"/>
      <c r="K77" s="31"/>
      <c r="L77" s="31"/>
      <c r="M77" s="31"/>
      <c r="N77" s="31"/>
      <c r="O77" s="31"/>
      <c r="P77" s="32"/>
    </row>
    <row r="78" spans="2:16" x14ac:dyDescent="0.2">
      <c r="B78" s="30"/>
      <c r="C78" s="31"/>
      <c r="D78" s="31"/>
      <c r="E78" s="31"/>
      <c r="F78" s="31"/>
      <c r="G78" s="31"/>
      <c r="H78" s="31"/>
      <c r="I78" s="31"/>
      <c r="J78" s="31"/>
      <c r="K78" s="31"/>
      <c r="L78" s="31"/>
      <c r="M78" s="31"/>
      <c r="N78" s="31"/>
      <c r="O78" s="31"/>
      <c r="P78" s="32"/>
    </row>
    <row r="79" spans="2:16" x14ac:dyDescent="0.2">
      <c r="B79" s="30"/>
      <c r="C79" s="31"/>
      <c r="D79" s="31"/>
      <c r="E79" s="31"/>
      <c r="F79" s="31"/>
      <c r="G79" s="31"/>
      <c r="H79" s="31"/>
      <c r="I79" s="31"/>
      <c r="J79" s="31"/>
      <c r="K79" s="31"/>
      <c r="L79" s="31"/>
      <c r="M79" s="31"/>
      <c r="N79" s="31"/>
      <c r="O79" s="31"/>
      <c r="P79" s="32"/>
    </row>
    <row r="80" spans="2:16" x14ac:dyDescent="0.2">
      <c r="B80" s="30"/>
      <c r="C80" s="31"/>
      <c r="D80" s="31"/>
      <c r="E80" s="31"/>
      <c r="F80" s="31"/>
      <c r="G80" s="31"/>
      <c r="H80" s="31"/>
      <c r="I80" s="31"/>
      <c r="J80" s="31"/>
      <c r="K80" s="31"/>
      <c r="L80" s="31"/>
      <c r="M80" s="31"/>
      <c r="N80" s="31"/>
      <c r="O80" s="31"/>
      <c r="P80" s="32"/>
    </row>
    <row r="81" spans="2:16" x14ac:dyDescent="0.2">
      <c r="B81" s="30"/>
      <c r="C81" s="31"/>
      <c r="D81" s="31"/>
      <c r="E81" s="31"/>
      <c r="F81" s="31"/>
      <c r="G81" s="31"/>
      <c r="H81" s="31"/>
      <c r="I81" s="31"/>
      <c r="J81" s="31"/>
      <c r="K81" s="31"/>
      <c r="L81" s="31"/>
      <c r="M81" s="31"/>
      <c r="N81" s="31"/>
      <c r="O81" s="31"/>
      <c r="P81" s="32"/>
    </row>
    <row r="82" spans="2:16" x14ac:dyDescent="0.2">
      <c r="B82" s="30"/>
      <c r="C82" s="31"/>
      <c r="D82" s="31"/>
      <c r="E82" s="31"/>
      <c r="F82" s="31"/>
      <c r="G82" s="31"/>
      <c r="H82" s="31"/>
      <c r="I82" s="31"/>
      <c r="J82" s="31"/>
      <c r="K82" s="31"/>
      <c r="L82" s="31"/>
      <c r="M82" s="31"/>
      <c r="N82" s="31"/>
      <c r="O82" s="31"/>
      <c r="P82" s="32"/>
    </row>
    <row r="83" spans="2:16" x14ac:dyDescent="0.2">
      <c r="B83" s="30"/>
      <c r="C83" s="31"/>
      <c r="D83" s="31"/>
      <c r="E83" s="31"/>
      <c r="F83" s="31"/>
      <c r="G83" s="31"/>
      <c r="H83" s="31"/>
      <c r="I83" s="31"/>
      <c r="J83" s="31"/>
      <c r="K83" s="31"/>
      <c r="L83" s="31"/>
      <c r="M83" s="31"/>
      <c r="N83" s="31"/>
      <c r="O83" s="31"/>
      <c r="P83" s="32"/>
    </row>
    <row r="84" spans="2:16" x14ac:dyDescent="0.2">
      <c r="B84" s="30"/>
      <c r="C84" s="31"/>
      <c r="D84" s="31"/>
      <c r="E84" s="31"/>
      <c r="F84" s="31"/>
      <c r="G84" s="31"/>
      <c r="H84" s="31"/>
      <c r="I84" s="31"/>
      <c r="J84" s="31"/>
      <c r="K84" s="31"/>
      <c r="L84" s="31"/>
      <c r="M84" s="31"/>
      <c r="N84" s="31"/>
      <c r="O84" s="31"/>
      <c r="P84" s="32"/>
    </row>
    <row r="85" spans="2:16" x14ac:dyDescent="0.2">
      <c r="B85" s="30"/>
      <c r="C85" s="31"/>
      <c r="D85" s="31"/>
      <c r="E85" s="31"/>
      <c r="F85" s="31"/>
      <c r="G85" s="31"/>
      <c r="H85" s="31"/>
      <c r="I85" s="31"/>
      <c r="J85" s="31"/>
      <c r="K85" s="31"/>
      <c r="L85" s="31"/>
      <c r="M85" s="31"/>
      <c r="N85" s="31"/>
      <c r="O85" s="31"/>
      <c r="P85" s="32"/>
    </row>
    <row r="86" spans="2:16" x14ac:dyDescent="0.2">
      <c r="B86" s="30"/>
      <c r="C86" s="31"/>
      <c r="D86" s="31"/>
      <c r="E86" s="31"/>
      <c r="F86" s="31"/>
      <c r="G86" s="31"/>
      <c r="H86" s="31"/>
      <c r="I86" s="31"/>
      <c r="J86" s="31"/>
      <c r="K86" s="31"/>
      <c r="L86" s="31"/>
      <c r="M86" s="31"/>
      <c r="N86" s="31"/>
      <c r="O86" s="31"/>
      <c r="P86" s="32"/>
    </row>
    <row r="87" spans="2:16" x14ac:dyDescent="0.2">
      <c r="B87" s="30"/>
      <c r="C87" s="31"/>
      <c r="D87" s="31"/>
      <c r="E87" s="31"/>
      <c r="F87" s="31"/>
      <c r="G87" s="31"/>
      <c r="H87" s="31"/>
      <c r="I87" s="31"/>
      <c r="J87" s="31"/>
      <c r="K87" s="31"/>
      <c r="L87" s="31"/>
      <c r="M87" s="31"/>
      <c r="N87" s="31"/>
      <c r="O87" s="31"/>
      <c r="P87" s="32"/>
    </row>
    <row r="88" spans="2:16" x14ac:dyDescent="0.2">
      <c r="B88" s="30"/>
      <c r="C88" s="31"/>
      <c r="D88" s="31"/>
      <c r="E88" s="31"/>
      <c r="F88" s="31"/>
      <c r="G88" s="31"/>
      <c r="H88" s="31"/>
      <c r="I88" s="31"/>
      <c r="J88" s="31"/>
      <c r="K88" s="31"/>
      <c r="L88" s="31"/>
      <c r="M88" s="31"/>
      <c r="N88" s="31"/>
      <c r="O88" s="31"/>
      <c r="P88" s="32"/>
    </row>
    <row r="89" spans="2:16" x14ac:dyDescent="0.2">
      <c r="B89" s="30"/>
      <c r="C89" s="31"/>
      <c r="D89" s="31"/>
      <c r="E89" s="31"/>
      <c r="F89" s="31"/>
      <c r="G89" s="31"/>
      <c r="H89" s="31"/>
      <c r="I89" s="31"/>
      <c r="J89" s="31"/>
      <c r="K89" s="31"/>
      <c r="L89" s="31"/>
      <c r="M89" s="31"/>
      <c r="N89" s="31"/>
      <c r="O89" s="31"/>
      <c r="P89" s="32"/>
    </row>
    <row r="90" spans="2:16" x14ac:dyDescent="0.2">
      <c r="B90" s="30"/>
      <c r="C90" s="31"/>
      <c r="D90" s="31"/>
      <c r="E90" s="31"/>
      <c r="F90" s="31"/>
      <c r="G90" s="31"/>
      <c r="H90" s="31"/>
      <c r="I90" s="31"/>
      <c r="J90" s="31"/>
      <c r="K90" s="31"/>
      <c r="L90" s="31"/>
      <c r="M90" s="31"/>
      <c r="N90" s="31"/>
      <c r="O90" s="31"/>
      <c r="P90" s="32"/>
    </row>
    <row r="91" spans="2:16" x14ac:dyDescent="0.2">
      <c r="B91" s="30"/>
      <c r="C91" s="31"/>
      <c r="D91" s="31"/>
      <c r="E91" s="31"/>
      <c r="F91" s="31"/>
      <c r="G91" s="31"/>
      <c r="H91" s="31"/>
      <c r="I91" s="31"/>
      <c r="J91" s="31"/>
      <c r="K91" s="31"/>
      <c r="L91" s="31"/>
      <c r="M91" s="31"/>
      <c r="N91" s="31"/>
      <c r="O91" s="31"/>
      <c r="P91" s="32"/>
    </row>
    <row r="92" spans="2:16" x14ac:dyDescent="0.2">
      <c r="B92" s="30"/>
      <c r="C92" s="31"/>
      <c r="D92" s="31"/>
      <c r="E92" s="31"/>
      <c r="F92" s="31"/>
      <c r="G92" s="31"/>
      <c r="H92" s="31"/>
      <c r="I92" s="31"/>
      <c r="J92" s="31"/>
      <c r="K92" s="31"/>
      <c r="L92" s="31"/>
      <c r="M92" s="31"/>
      <c r="N92" s="31"/>
      <c r="O92" s="31"/>
      <c r="P92" s="32"/>
    </row>
    <row r="93" spans="2:16" x14ac:dyDescent="0.2">
      <c r="B93" s="30"/>
      <c r="C93" s="31"/>
      <c r="D93" s="31"/>
      <c r="E93" s="31"/>
      <c r="F93" s="31"/>
      <c r="G93" s="31"/>
      <c r="H93" s="31"/>
      <c r="I93" s="31"/>
      <c r="J93" s="31"/>
      <c r="K93" s="31"/>
      <c r="L93" s="31"/>
      <c r="M93" s="31"/>
      <c r="N93" s="31"/>
      <c r="O93" s="31"/>
      <c r="P93" s="32"/>
    </row>
    <row r="94" spans="2:16" x14ac:dyDescent="0.2">
      <c r="B94" s="30"/>
      <c r="C94" s="31"/>
      <c r="D94" s="31"/>
      <c r="E94" s="31"/>
      <c r="F94" s="31"/>
      <c r="G94" s="31"/>
      <c r="H94" s="31"/>
      <c r="I94" s="31"/>
      <c r="J94" s="31"/>
      <c r="K94" s="31"/>
      <c r="L94" s="31"/>
      <c r="M94" s="31"/>
      <c r="N94" s="31"/>
      <c r="O94" s="31"/>
      <c r="P94" s="32"/>
    </row>
    <row r="95" spans="2:16" x14ac:dyDescent="0.2">
      <c r="B95" s="30"/>
      <c r="C95" s="31"/>
      <c r="D95" s="31"/>
      <c r="E95" s="31"/>
      <c r="F95" s="31"/>
      <c r="G95" s="31"/>
      <c r="H95" s="31"/>
      <c r="I95" s="31"/>
      <c r="J95" s="31"/>
      <c r="K95" s="31"/>
      <c r="L95" s="31"/>
      <c r="M95" s="31"/>
      <c r="N95" s="31"/>
      <c r="O95" s="31"/>
      <c r="P95" s="32"/>
    </row>
    <row r="96" spans="2:16" x14ac:dyDescent="0.2">
      <c r="B96" s="30"/>
      <c r="C96" s="31"/>
      <c r="D96" s="31"/>
      <c r="E96" s="31"/>
      <c r="F96" s="31"/>
      <c r="G96" s="31"/>
      <c r="H96" s="31"/>
      <c r="I96" s="31"/>
      <c r="J96" s="31"/>
      <c r="K96" s="31"/>
      <c r="L96" s="31"/>
      <c r="M96" s="31"/>
      <c r="N96" s="31"/>
      <c r="O96" s="31"/>
      <c r="P96" s="32"/>
    </row>
    <row r="97" spans="2:16" x14ac:dyDescent="0.2">
      <c r="B97" s="30"/>
      <c r="C97" s="31"/>
      <c r="D97" s="31"/>
      <c r="E97" s="31"/>
      <c r="F97" s="31"/>
      <c r="G97" s="31"/>
      <c r="H97" s="31"/>
      <c r="I97" s="31"/>
      <c r="J97" s="31"/>
      <c r="K97" s="31"/>
      <c r="L97" s="31"/>
      <c r="M97" s="31"/>
      <c r="N97" s="31"/>
      <c r="O97" s="31"/>
      <c r="P97" s="32"/>
    </row>
    <row r="98" spans="2:16" x14ac:dyDescent="0.2">
      <c r="B98" s="30"/>
      <c r="C98" s="31"/>
      <c r="D98" s="31"/>
      <c r="E98" s="31"/>
      <c r="F98" s="31"/>
      <c r="G98" s="31"/>
      <c r="H98" s="31"/>
      <c r="I98" s="31"/>
      <c r="J98" s="31"/>
      <c r="K98" s="31"/>
      <c r="L98" s="31"/>
      <c r="M98" s="31"/>
      <c r="N98" s="31"/>
      <c r="O98" s="31"/>
      <c r="P98" s="32"/>
    </row>
    <row r="99" spans="2:16" x14ac:dyDescent="0.2">
      <c r="B99" s="30"/>
      <c r="C99" s="31"/>
      <c r="D99" s="31"/>
      <c r="E99" s="31"/>
      <c r="F99" s="31"/>
      <c r="G99" s="31"/>
      <c r="H99" s="31"/>
      <c r="I99" s="31"/>
      <c r="J99" s="31"/>
      <c r="K99" s="31"/>
      <c r="L99" s="31"/>
      <c r="M99" s="31"/>
      <c r="N99" s="31"/>
      <c r="O99" s="31"/>
      <c r="P99" s="32"/>
    </row>
    <row r="100" spans="2:16" x14ac:dyDescent="0.2">
      <c r="B100" s="30"/>
      <c r="C100" s="31"/>
      <c r="D100" s="31"/>
      <c r="E100" s="31"/>
      <c r="F100" s="31"/>
      <c r="G100" s="31"/>
      <c r="H100" s="31"/>
      <c r="I100" s="31"/>
      <c r="J100" s="31"/>
      <c r="K100" s="31"/>
      <c r="L100" s="31"/>
      <c r="M100" s="31"/>
      <c r="N100" s="31"/>
      <c r="O100" s="31"/>
      <c r="P100" s="32"/>
    </row>
    <row r="101" spans="2:16" x14ac:dyDescent="0.2">
      <c r="B101" s="30"/>
      <c r="C101" s="31"/>
      <c r="D101" s="31"/>
      <c r="E101" s="31"/>
      <c r="F101" s="31"/>
      <c r="G101" s="31"/>
      <c r="H101" s="31"/>
      <c r="I101" s="31"/>
      <c r="J101" s="31"/>
      <c r="K101" s="31"/>
      <c r="L101" s="31"/>
      <c r="M101" s="31"/>
      <c r="N101" s="31"/>
      <c r="O101" s="31"/>
      <c r="P101" s="32"/>
    </row>
    <row r="102" spans="2:16" x14ac:dyDescent="0.2">
      <c r="B102" s="30"/>
      <c r="C102" s="31"/>
      <c r="D102" s="31"/>
      <c r="E102" s="31"/>
      <c r="F102" s="31"/>
      <c r="G102" s="31"/>
      <c r="H102" s="31"/>
      <c r="I102" s="31"/>
      <c r="J102" s="31"/>
      <c r="K102" s="31"/>
      <c r="L102" s="31"/>
      <c r="M102" s="31"/>
      <c r="N102" s="31"/>
      <c r="O102" s="31"/>
      <c r="P102" s="32"/>
    </row>
    <row r="103" spans="2:16" x14ac:dyDescent="0.2">
      <c r="B103" s="30"/>
      <c r="C103" s="31"/>
      <c r="D103" s="31"/>
      <c r="E103" s="31"/>
      <c r="F103" s="31"/>
      <c r="G103" s="31"/>
      <c r="H103" s="31"/>
      <c r="I103" s="31"/>
      <c r="J103" s="31"/>
      <c r="K103" s="31"/>
      <c r="L103" s="31"/>
      <c r="M103" s="31"/>
      <c r="N103" s="31"/>
      <c r="O103" s="31"/>
      <c r="P103" s="32"/>
    </row>
    <row r="104" spans="2:16" x14ac:dyDescent="0.2">
      <c r="B104" s="30"/>
      <c r="C104" s="31"/>
      <c r="D104" s="31"/>
      <c r="E104" s="31"/>
      <c r="F104" s="31"/>
      <c r="G104" s="31"/>
      <c r="H104" s="31"/>
      <c r="I104" s="31"/>
      <c r="J104" s="31"/>
      <c r="K104" s="31"/>
      <c r="L104" s="31"/>
      <c r="M104" s="31"/>
      <c r="N104" s="31"/>
      <c r="O104" s="31"/>
      <c r="P104" s="32"/>
    </row>
    <row r="105" spans="2:16" x14ac:dyDescent="0.2">
      <c r="B105" s="30"/>
      <c r="C105" s="31"/>
      <c r="D105" s="31"/>
      <c r="E105" s="31"/>
      <c r="F105" s="31"/>
      <c r="G105" s="31"/>
      <c r="H105" s="31"/>
      <c r="I105" s="31"/>
      <c r="J105" s="31"/>
      <c r="K105" s="31"/>
      <c r="L105" s="31"/>
      <c r="M105" s="31"/>
      <c r="N105" s="31"/>
      <c r="O105" s="31"/>
      <c r="P105" s="32"/>
    </row>
    <row r="106" spans="2:16" x14ac:dyDescent="0.2">
      <c r="B106" s="30"/>
      <c r="C106" s="31"/>
      <c r="D106" s="31"/>
      <c r="E106" s="31"/>
      <c r="F106" s="31"/>
      <c r="G106" s="31"/>
      <c r="H106" s="31"/>
      <c r="I106" s="31"/>
      <c r="J106" s="31"/>
      <c r="K106" s="31"/>
      <c r="L106" s="31"/>
      <c r="M106" s="31"/>
      <c r="N106" s="31"/>
      <c r="O106" s="31"/>
      <c r="P106" s="32"/>
    </row>
    <row r="107" spans="2:16" x14ac:dyDescent="0.2">
      <c r="B107" s="30"/>
      <c r="C107" s="31"/>
      <c r="D107" s="31"/>
      <c r="E107" s="31"/>
      <c r="F107" s="31"/>
      <c r="G107" s="31"/>
      <c r="H107" s="31"/>
      <c r="I107" s="31"/>
      <c r="J107" s="31"/>
      <c r="K107" s="31"/>
      <c r="L107" s="31"/>
      <c r="M107" s="31"/>
      <c r="N107" s="31"/>
      <c r="O107" s="31"/>
      <c r="P107" s="32"/>
    </row>
    <row r="108" spans="2:16" x14ac:dyDescent="0.2">
      <c r="B108" s="30"/>
      <c r="C108" s="31"/>
      <c r="D108" s="31"/>
      <c r="E108" s="31"/>
      <c r="F108" s="31"/>
      <c r="G108" s="31"/>
      <c r="H108" s="31"/>
      <c r="I108" s="31"/>
      <c r="J108" s="31"/>
      <c r="K108" s="31"/>
      <c r="L108" s="31"/>
      <c r="M108" s="31"/>
      <c r="N108" s="31"/>
      <c r="O108" s="31"/>
      <c r="P108" s="32"/>
    </row>
    <row r="109" spans="2:16" x14ac:dyDescent="0.2">
      <c r="B109" s="30"/>
      <c r="C109" s="31"/>
      <c r="D109" s="31"/>
      <c r="E109" s="31"/>
      <c r="F109" s="31"/>
      <c r="G109" s="31"/>
      <c r="H109" s="31"/>
      <c r="I109" s="31"/>
      <c r="J109" s="31"/>
      <c r="K109" s="31"/>
      <c r="L109" s="31"/>
      <c r="M109" s="31"/>
      <c r="N109" s="31"/>
      <c r="O109" s="31"/>
      <c r="P109" s="32"/>
    </row>
    <row r="110" spans="2:16" x14ac:dyDescent="0.2">
      <c r="B110" s="30"/>
      <c r="C110" s="31"/>
      <c r="D110" s="31"/>
      <c r="E110" s="31"/>
      <c r="F110" s="31"/>
      <c r="G110" s="31"/>
      <c r="H110" s="31"/>
      <c r="I110" s="31"/>
      <c r="J110" s="31"/>
      <c r="K110" s="31"/>
      <c r="L110" s="31"/>
      <c r="M110" s="31"/>
      <c r="N110" s="31"/>
      <c r="O110" s="31"/>
      <c r="P110" s="32"/>
    </row>
    <row r="111" spans="2:16" x14ac:dyDescent="0.2">
      <c r="B111" s="30"/>
      <c r="C111" s="31"/>
      <c r="D111" s="31"/>
      <c r="E111" s="31"/>
      <c r="F111" s="31"/>
      <c r="G111" s="31"/>
      <c r="H111" s="31"/>
      <c r="I111" s="31"/>
      <c r="J111" s="31"/>
      <c r="K111" s="31"/>
      <c r="L111" s="31"/>
      <c r="M111" s="31"/>
      <c r="N111" s="31"/>
      <c r="O111" s="31"/>
      <c r="P111" s="32"/>
    </row>
    <row r="112" spans="2:16" x14ac:dyDescent="0.2">
      <c r="B112" s="30"/>
      <c r="C112" s="31"/>
      <c r="D112" s="31"/>
      <c r="E112" s="31"/>
      <c r="F112" s="31"/>
      <c r="G112" s="31"/>
      <c r="H112" s="31"/>
      <c r="I112" s="31"/>
      <c r="J112" s="31"/>
      <c r="K112" s="31"/>
      <c r="L112" s="31"/>
      <c r="M112" s="31"/>
      <c r="N112" s="31"/>
      <c r="O112" s="31"/>
      <c r="P112" s="32"/>
    </row>
    <row r="113" spans="2:16" x14ac:dyDescent="0.2">
      <c r="B113" s="30"/>
      <c r="C113" s="31"/>
      <c r="D113" s="31"/>
      <c r="E113" s="31"/>
      <c r="F113" s="31"/>
      <c r="G113" s="31"/>
      <c r="H113" s="31"/>
      <c r="I113" s="31"/>
      <c r="J113" s="31"/>
      <c r="K113" s="31"/>
      <c r="L113" s="31"/>
      <c r="M113" s="31"/>
      <c r="N113" s="31"/>
      <c r="O113" s="31"/>
      <c r="P113" s="32"/>
    </row>
    <row r="114" spans="2:16" x14ac:dyDescent="0.2">
      <c r="B114" s="30"/>
      <c r="C114" s="31"/>
      <c r="D114" s="31"/>
      <c r="E114" s="31"/>
      <c r="F114" s="31"/>
      <c r="G114" s="31"/>
      <c r="H114" s="31"/>
      <c r="I114" s="31"/>
      <c r="J114" s="31"/>
      <c r="K114" s="31"/>
      <c r="L114" s="31"/>
      <c r="M114" s="31"/>
      <c r="N114" s="31"/>
      <c r="O114" s="31"/>
      <c r="P114" s="32"/>
    </row>
    <row r="115" spans="2:16" x14ac:dyDescent="0.2">
      <c r="B115" s="30"/>
      <c r="C115" s="31"/>
      <c r="D115" s="31"/>
      <c r="E115" s="31"/>
      <c r="F115" s="31"/>
      <c r="G115" s="31"/>
      <c r="H115" s="31"/>
      <c r="I115" s="31"/>
      <c r="J115" s="31"/>
      <c r="K115" s="31"/>
      <c r="L115" s="31"/>
      <c r="M115" s="31"/>
      <c r="N115" s="31"/>
      <c r="O115" s="31"/>
      <c r="P115" s="32"/>
    </row>
    <row r="116" spans="2:16" x14ac:dyDescent="0.2">
      <c r="B116" s="30"/>
      <c r="C116" s="31"/>
      <c r="D116" s="31"/>
      <c r="E116" s="31"/>
      <c r="F116" s="31"/>
      <c r="G116" s="31"/>
      <c r="H116" s="31"/>
      <c r="I116" s="31"/>
      <c r="J116" s="31"/>
      <c r="K116" s="31"/>
      <c r="L116" s="31"/>
      <c r="M116" s="31"/>
      <c r="N116" s="31"/>
      <c r="O116" s="31"/>
      <c r="P116" s="32"/>
    </row>
    <row r="117" spans="2:16" x14ac:dyDescent="0.2">
      <c r="B117" s="30"/>
      <c r="C117" s="31"/>
      <c r="D117" s="31"/>
      <c r="E117" s="31"/>
      <c r="F117" s="31"/>
      <c r="G117" s="31"/>
      <c r="H117" s="31"/>
      <c r="I117" s="31"/>
      <c r="J117" s="31"/>
      <c r="K117" s="31"/>
      <c r="L117" s="31"/>
      <c r="M117" s="31"/>
      <c r="N117" s="31"/>
      <c r="O117" s="31"/>
      <c r="P117" s="32"/>
    </row>
    <row r="118" spans="2:16" x14ac:dyDescent="0.2">
      <c r="B118" s="30"/>
      <c r="C118" s="31"/>
      <c r="D118" s="31"/>
      <c r="E118" s="31"/>
      <c r="F118" s="31"/>
      <c r="G118" s="31"/>
      <c r="H118" s="31"/>
      <c r="I118" s="31"/>
      <c r="J118" s="31"/>
      <c r="K118" s="31"/>
      <c r="L118" s="31"/>
      <c r="M118" s="31"/>
      <c r="N118" s="31"/>
      <c r="O118" s="31"/>
      <c r="P118" s="32"/>
    </row>
    <row r="119" spans="2:16" x14ac:dyDescent="0.2">
      <c r="B119" s="30"/>
      <c r="C119" s="31"/>
      <c r="D119" s="31"/>
      <c r="E119" s="31"/>
      <c r="F119" s="31"/>
      <c r="G119" s="31"/>
      <c r="H119" s="31"/>
      <c r="I119" s="31"/>
      <c r="J119" s="31"/>
      <c r="K119" s="31"/>
      <c r="L119" s="31"/>
      <c r="M119" s="31"/>
      <c r="N119" s="31"/>
      <c r="O119" s="31"/>
      <c r="P119" s="32"/>
    </row>
    <row r="120" spans="2:16" x14ac:dyDescent="0.2">
      <c r="B120" s="30"/>
      <c r="C120" s="31"/>
      <c r="D120" s="31"/>
      <c r="E120" s="31"/>
      <c r="F120" s="31"/>
      <c r="G120" s="31"/>
      <c r="H120" s="31"/>
      <c r="I120" s="31"/>
      <c r="J120" s="31"/>
      <c r="K120" s="31"/>
      <c r="L120" s="31"/>
      <c r="M120" s="31"/>
      <c r="N120" s="31"/>
      <c r="O120" s="31"/>
      <c r="P120" s="32"/>
    </row>
    <row r="121" spans="2:16" x14ac:dyDescent="0.2">
      <c r="B121" s="30"/>
      <c r="C121" s="31"/>
      <c r="D121" s="31"/>
      <c r="E121" s="31"/>
      <c r="F121" s="31"/>
      <c r="G121" s="31"/>
      <c r="H121" s="31"/>
      <c r="I121" s="31"/>
      <c r="J121" s="31"/>
      <c r="K121" s="31"/>
      <c r="L121" s="31"/>
      <c r="M121" s="31"/>
      <c r="N121" s="31"/>
      <c r="O121" s="31"/>
      <c r="P121" s="32"/>
    </row>
    <row r="122" spans="2:16" x14ac:dyDescent="0.2">
      <c r="B122" s="30"/>
      <c r="C122" s="31"/>
      <c r="D122" s="31"/>
      <c r="E122" s="31"/>
      <c r="F122" s="31"/>
      <c r="G122" s="31"/>
      <c r="H122" s="31"/>
      <c r="I122" s="31"/>
      <c r="J122" s="31"/>
      <c r="K122" s="31"/>
      <c r="L122" s="31"/>
      <c r="M122" s="31"/>
      <c r="N122" s="31"/>
      <c r="O122" s="31"/>
      <c r="P122" s="32"/>
    </row>
    <row r="123" spans="2:16" x14ac:dyDescent="0.2">
      <c r="B123" s="30"/>
      <c r="C123" s="31"/>
      <c r="D123" s="31"/>
      <c r="E123" s="31"/>
      <c r="F123" s="31"/>
      <c r="G123" s="31"/>
      <c r="H123" s="31"/>
      <c r="I123" s="31"/>
      <c r="J123" s="31"/>
      <c r="K123" s="31"/>
      <c r="L123" s="31"/>
      <c r="M123" s="31"/>
      <c r="N123" s="31"/>
      <c r="O123" s="31"/>
      <c r="P123" s="32"/>
    </row>
    <row r="124" spans="2:16" x14ac:dyDescent="0.2">
      <c r="B124" s="30"/>
      <c r="C124" s="31"/>
      <c r="D124" s="31"/>
      <c r="E124" s="31"/>
      <c r="F124" s="31"/>
      <c r="G124" s="31"/>
      <c r="H124" s="31"/>
      <c r="I124" s="31"/>
      <c r="J124" s="31"/>
      <c r="K124" s="31"/>
      <c r="L124" s="31"/>
      <c r="M124" s="31"/>
      <c r="N124" s="31"/>
      <c r="O124" s="31"/>
      <c r="P124" s="32"/>
    </row>
    <row r="125" spans="2:16" x14ac:dyDescent="0.2">
      <c r="B125" s="30"/>
      <c r="C125" s="31"/>
      <c r="D125" s="31"/>
      <c r="E125" s="31"/>
      <c r="F125" s="31"/>
      <c r="G125" s="31"/>
      <c r="H125" s="31"/>
      <c r="I125" s="31"/>
      <c r="J125" s="31"/>
      <c r="K125" s="31"/>
      <c r="L125" s="31"/>
      <c r="M125" s="31"/>
      <c r="N125" s="31"/>
      <c r="O125" s="31"/>
      <c r="P125" s="32"/>
    </row>
    <row r="126" spans="2:16" x14ac:dyDescent="0.2">
      <c r="B126" s="30"/>
      <c r="C126" s="31"/>
      <c r="D126" s="31"/>
      <c r="E126" s="31"/>
      <c r="F126" s="31"/>
      <c r="G126" s="31"/>
      <c r="H126" s="31"/>
      <c r="I126" s="31"/>
      <c r="J126" s="31"/>
      <c r="K126" s="31"/>
      <c r="L126" s="31"/>
      <c r="M126" s="31"/>
      <c r="N126" s="31"/>
      <c r="O126" s="31"/>
      <c r="P126" s="32"/>
    </row>
    <row r="127" spans="2:16" x14ac:dyDescent="0.2">
      <c r="B127" s="30"/>
      <c r="C127" s="31"/>
      <c r="D127" s="31"/>
      <c r="E127" s="31"/>
      <c r="F127" s="31"/>
      <c r="G127" s="31"/>
      <c r="H127" s="31"/>
      <c r="I127" s="31"/>
      <c r="J127" s="31"/>
      <c r="K127" s="31"/>
      <c r="L127" s="31"/>
      <c r="M127" s="31"/>
      <c r="N127" s="31"/>
      <c r="O127" s="31"/>
      <c r="P127" s="32"/>
    </row>
    <row r="128" spans="2:16" x14ac:dyDescent="0.2">
      <c r="B128" s="30"/>
      <c r="C128" s="31"/>
      <c r="D128" s="31"/>
      <c r="E128" s="31"/>
      <c r="F128" s="31"/>
      <c r="G128" s="31"/>
      <c r="H128" s="31"/>
      <c r="I128" s="31"/>
      <c r="J128" s="31"/>
      <c r="K128" s="31"/>
      <c r="L128" s="31"/>
      <c r="M128" s="31"/>
      <c r="N128" s="31"/>
      <c r="O128" s="31"/>
      <c r="P128" s="32"/>
    </row>
    <row r="129" spans="2:16" x14ac:dyDescent="0.2">
      <c r="B129" s="30"/>
      <c r="C129" s="31"/>
      <c r="D129" s="31"/>
      <c r="E129" s="31"/>
      <c r="F129" s="31"/>
      <c r="G129" s="31"/>
      <c r="H129" s="31"/>
      <c r="I129" s="31"/>
      <c r="J129" s="31"/>
      <c r="K129" s="31"/>
      <c r="L129" s="31"/>
      <c r="M129" s="31"/>
      <c r="N129" s="31"/>
      <c r="O129" s="31"/>
      <c r="P129" s="32"/>
    </row>
    <row r="130" spans="2:16" x14ac:dyDescent="0.2">
      <c r="B130" s="30"/>
      <c r="C130" s="31"/>
      <c r="D130" s="31"/>
      <c r="E130" s="31"/>
      <c r="F130" s="31"/>
      <c r="G130" s="31"/>
      <c r="H130" s="31"/>
      <c r="I130" s="31"/>
      <c r="J130" s="31"/>
      <c r="K130" s="31"/>
      <c r="L130" s="31"/>
      <c r="M130" s="31"/>
      <c r="N130" s="31"/>
      <c r="O130" s="31"/>
      <c r="P130" s="32"/>
    </row>
    <row r="131" spans="2:16" x14ac:dyDescent="0.2">
      <c r="B131" s="30"/>
      <c r="C131" s="31"/>
      <c r="D131" s="31"/>
      <c r="E131" s="31"/>
      <c r="F131" s="31"/>
      <c r="G131" s="31"/>
      <c r="H131" s="31"/>
      <c r="I131" s="31"/>
      <c r="J131" s="31"/>
      <c r="K131" s="31"/>
      <c r="L131" s="31"/>
      <c r="M131" s="31"/>
      <c r="N131" s="31"/>
      <c r="O131" s="31"/>
      <c r="P131" s="32"/>
    </row>
    <row r="132" spans="2:16" x14ac:dyDescent="0.2">
      <c r="B132" s="30"/>
      <c r="C132" s="31"/>
      <c r="D132" s="31"/>
      <c r="E132" s="31"/>
      <c r="F132" s="31"/>
      <c r="G132" s="31"/>
      <c r="H132" s="31"/>
      <c r="I132" s="31"/>
      <c r="J132" s="31"/>
      <c r="K132" s="31"/>
      <c r="L132" s="31"/>
      <c r="M132" s="31"/>
      <c r="N132" s="31"/>
      <c r="O132" s="31"/>
      <c r="P132" s="32"/>
    </row>
    <row r="133" spans="2:16" x14ac:dyDescent="0.2">
      <c r="B133" s="30"/>
      <c r="C133" s="31"/>
      <c r="D133" s="31"/>
      <c r="E133" s="31"/>
      <c r="F133" s="31"/>
      <c r="G133" s="31"/>
      <c r="H133" s="31"/>
      <c r="I133" s="31"/>
      <c r="J133" s="31"/>
      <c r="K133" s="31"/>
      <c r="L133" s="31"/>
      <c r="M133" s="31"/>
      <c r="N133" s="31"/>
      <c r="O133" s="31"/>
      <c r="P133" s="32"/>
    </row>
    <row r="134" spans="2:16" x14ac:dyDescent="0.2">
      <c r="B134" s="30"/>
      <c r="C134" s="31"/>
      <c r="D134" s="31"/>
      <c r="E134" s="31"/>
      <c r="F134" s="31"/>
      <c r="G134" s="31"/>
      <c r="H134" s="31"/>
      <c r="I134" s="31"/>
      <c r="J134" s="31"/>
      <c r="K134" s="31"/>
      <c r="L134" s="31"/>
      <c r="M134" s="31"/>
      <c r="N134" s="31"/>
      <c r="O134" s="31"/>
      <c r="P134" s="32"/>
    </row>
    <row r="135" spans="2:16" x14ac:dyDescent="0.2">
      <c r="B135" s="30"/>
      <c r="C135" s="31"/>
      <c r="D135" s="31"/>
      <c r="E135" s="31"/>
      <c r="F135" s="31"/>
      <c r="G135" s="31"/>
      <c r="H135" s="31"/>
      <c r="I135" s="31"/>
      <c r="J135" s="31"/>
      <c r="K135" s="31"/>
      <c r="L135" s="31"/>
      <c r="M135" s="31"/>
      <c r="N135" s="31"/>
      <c r="O135" s="31"/>
      <c r="P135" s="32"/>
    </row>
    <row r="136" spans="2:16" x14ac:dyDescent="0.2">
      <c r="B136" s="30"/>
      <c r="C136" s="31"/>
      <c r="D136" s="31"/>
      <c r="E136" s="31"/>
      <c r="F136" s="31"/>
      <c r="G136" s="31"/>
      <c r="H136" s="31"/>
      <c r="I136" s="31"/>
      <c r="J136" s="31"/>
      <c r="K136" s="31"/>
      <c r="L136" s="31"/>
      <c r="M136" s="31"/>
      <c r="N136" s="31"/>
      <c r="O136" s="31"/>
      <c r="P136" s="32"/>
    </row>
    <row r="137" spans="2:16" x14ac:dyDescent="0.2">
      <c r="B137" s="30"/>
      <c r="C137" s="31"/>
      <c r="D137" s="31"/>
      <c r="E137" s="31"/>
      <c r="F137" s="31"/>
      <c r="G137" s="31"/>
      <c r="H137" s="31"/>
      <c r="I137" s="31"/>
      <c r="J137" s="31"/>
      <c r="K137" s="31"/>
      <c r="L137" s="31"/>
      <c r="M137" s="31"/>
      <c r="N137" s="31"/>
      <c r="O137" s="31"/>
      <c r="P137" s="32"/>
    </row>
    <row r="138" spans="2:16" x14ac:dyDescent="0.2">
      <c r="B138" s="30"/>
      <c r="C138" s="31"/>
      <c r="D138" s="31"/>
      <c r="E138" s="31"/>
      <c r="F138" s="31"/>
      <c r="G138" s="31"/>
      <c r="H138" s="31"/>
      <c r="I138" s="31"/>
      <c r="J138" s="31"/>
      <c r="K138" s="31"/>
      <c r="L138" s="31"/>
      <c r="M138" s="31"/>
      <c r="N138" s="31"/>
      <c r="O138" s="31"/>
      <c r="P138" s="32"/>
    </row>
    <row r="139" spans="2:16" x14ac:dyDescent="0.2">
      <c r="B139" s="30"/>
      <c r="C139" s="31"/>
      <c r="D139" s="31"/>
      <c r="E139" s="31"/>
      <c r="F139" s="31"/>
      <c r="G139" s="31"/>
      <c r="H139" s="31"/>
      <c r="I139" s="31"/>
      <c r="J139" s="31"/>
      <c r="K139" s="31"/>
      <c r="L139" s="31"/>
      <c r="M139" s="31"/>
      <c r="N139" s="31"/>
      <c r="O139" s="31"/>
      <c r="P139" s="32"/>
    </row>
    <row r="140" spans="2:16" x14ac:dyDescent="0.2">
      <c r="B140" s="30"/>
      <c r="C140" s="31"/>
      <c r="D140" s="31"/>
      <c r="E140" s="31"/>
      <c r="F140" s="31"/>
      <c r="G140" s="31"/>
      <c r="H140" s="31"/>
      <c r="I140" s="31"/>
      <c r="J140" s="31"/>
      <c r="K140" s="31"/>
      <c r="L140" s="31"/>
      <c r="M140" s="31"/>
      <c r="N140" s="31"/>
      <c r="O140" s="31"/>
      <c r="P140" s="32"/>
    </row>
    <row r="141" spans="2:16" x14ac:dyDescent="0.2">
      <c r="B141" s="30"/>
      <c r="C141" s="31"/>
      <c r="D141" s="31"/>
      <c r="E141" s="31"/>
      <c r="F141" s="31"/>
      <c r="G141" s="31"/>
      <c r="H141" s="31"/>
      <c r="I141" s="31"/>
      <c r="J141" s="31"/>
      <c r="K141" s="31"/>
      <c r="L141" s="31"/>
      <c r="M141" s="31"/>
      <c r="N141" s="31"/>
      <c r="O141" s="31"/>
      <c r="P141" s="32"/>
    </row>
    <row r="142" spans="2:16" x14ac:dyDescent="0.2">
      <c r="B142" s="30"/>
      <c r="C142" s="31"/>
      <c r="D142" s="31"/>
      <c r="E142" s="31"/>
      <c r="F142" s="31"/>
      <c r="G142" s="31"/>
      <c r="H142" s="31"/>
      <c r="I142" s="31"/>
      <c r="J142" s="31"/>
      <c r="K142" s="31"/>
      <c r="L142" s="31"/>
      <c r="M142" s="31"/>
      <c r="N142" s="31"/>
      <c r="O142" s="31"/>
      <c r="P142" s="32"/>
    </row>
    <row r="143" spans="2:16" x14ac:dyDescent="0.2">
      <c r="B143" s="30"/>
      <c r="C143" s="31"/>
      <c r="D143" s="31"/>
      <c r="E143" s="31"/>
      <c r="F143" s="31"/>
      <c r="G143" s="31"/>
      <c r="H143" s="31"/>
      <c r="I143" s="31"/>
      <c r="J143" s="31"/>
      <c r="K143" s="31"/>
      <c r="L143" s="31"/>
      <c r="M143" s="31"/>
      <c r="N143" s="31"/>
      <c r="O143" s="31"/>
      <c r="P143" s="32"/>
    </row>
    <row r="144" spans="2:16" x14ac:dyDescent="0.2">
      <c r="B144" s="30"/>
      <c r="C144" s="31"/>
      <c r="D144" s="31"/>
      <c r="E144" s="31"/>
      <c r="F144" s="31"/>
      <c r="G144" s="31"/>
      <c r="H144" s="31"/>
      <c r="I144" s="31"/>
      <c r="J144" s="31"/>
      <c r="K144" s="31"/>
      <c r="L144" s="31"/>
      <c r="M144" s="31"/>
      <c r="N144" s="31"/>
      <c r="O144" s="31"/>
      <c r="P144" s="32"/>
    </row>
    <row r="145" spans="2:16" x14ac:dyDescent="0.2">
      <c r="B145" s="30"/>
      <c r="C145" s="31"/>
      <c r="D145" s="31"/>
      <c r="E145" s="31"/>
      <c r="F145" s="31"/>
      <c r="G145" s="31"/>
      <c r="H145" s="31"/>
      <c r="I145" s="31"/>
      <c r="J145" s="31"/>
      <c r="K145" s="31"/>
      <c r="L145" s="31"/>
      <c r="M145" s="31"/>
      <c r="N145" s="31"/>
      <c r="O145" s="31"/>
      <c r="P145" s="32"/>
    </row>
    <row r="146" spans="2:16" x14ac:dyDescent="0.2">
      <c r="B146" s="30"/>
      <c r="C146" s="31"/>
      <c r="D146" s="31"/>
      <c r="E146" s="31"/>
      <c r="F146" s="31"/>
      <c r="G146" s="31"/>
      <c r="H146" s="31"/>
      <c r="I146" s="31"/>
      <c r="J146" s="31"/>
      <c r="K146" s="31"/>
      <c r="L146" s="31"/>
      <c r="M146" s="31"/>
      <c r="N146" s="31"/>
      <c r="O146" s="31"/>
      <c r="P146" s="32"/>
    </row>
    <row r="147" spans="2:16" x14ac:dyDescent="0.2">
      <c r="B147" s="30"/>
      <c r="C147" s="31"/>
      <c r="D147" s="31"/>
      <c r="E147" s="31"/>
      <c r="F147" s="31"/>
      <c r="G147" s="31"/>
      <c r="H147" s="31"/>
      <c r="I147" s="31"/>
      <c r="J147" s="31"/>
      <c r="K147" s="31"/>
      <c r="L147" s="31"/>
      <c r="M147" s="31"/>
      <c r="N147" s="31"/>
      <c r="O147" s="31"/>
      <c r="P147" s="32"/>
    </row>
    <row r="148" spans="2:16" x14ac:dyDescent="0.2">
      <c r="B148" s="30"/>
      <c r="C148" s="31"/>
      <c r="D148" s="31"/>
      <c r="E148" s="31"/>
      <c r="F148" s="31"/>
      <c r="G148" s="31"/>
      <c r="H148" s="31"/>
      <c r="I148" s="31"/>
      <c r="J148" s="31"/>
      <c r="K148" s="31"/>
      <c r="L148" s="31"/>
      <c r="M148" s="31"/>
      <c r="N148" s="31"/>
      <c r="O148" s="31"/>
      <c r="P148" s="32"/>
    </row>
    <row r="149" spans="2:16" x14ac:dyDescent="0.2">
      <c r="B149" s="30"/>
      <c r="C149" s="31"/>
      <c r="D149" s="31"/>
      <c r="E149" s="31"/>
      <c r="F149" s="31"/>
      <c r="G149" s="31"/>
      <c r="H149" s="31"/>
      <c r="I149" s="31"/>
      <c r="J149" s="31"/>
      <c r="K149" s="31"/>
      <c r="L149" s="31"/>
      <c r="M149" s="31"/>
      <c r="N149" s="31"/>
      <c r="O149" s="31"/>
      <c r="P149" s="32"/>
    </row>
    <row r="150" spans="2:16" x14ac:dyDescent="0.2">
      <c r="B150" s="30"/>
      <c r="C150" s="31"/>
      <c r="D150" s="31"/>
      <c r="E150" s="31"/>
      <c r="F150" s="31"/>
      <c r="G150" s="31"/>
      <c r="H150" s="31"/>
      <c r="I150" s="31"/>
      <c r="J150" s="31"/>
      <c r="K150" s="31"/>
      <c r="L150" s="31"/>
      <c r="M150" s="31"/>
      <c r="N150" s="31"/>
      <c r="O150" s="31"/>
      <c r="P150" s="32"/>
    </row>
    <row r="151" spans="2:16" x14ac:dyDescent="0.2">
      <c r="B151" s="30"/>
      <c r="C151" s="31"/>
      <c r="D151" s="31"/>
      <c r="E151" s="31"/>
      <c r="F151" s="31"/>
      <c r="G151" s="31"/>
      <c r="H151" s="31"/>
      <c r="I151" s="31"/>
      <c r="J151" s="31"/>
      <c r="K151" s="31"/>
      <c r="L151" s="31"/>
      <c r="M151" s="31"/>
      <c r="N151" s="31"/>
      <c r="O151" s="31"/>
      <c r="P151" s="32"/>
    </row>
    <row r="152" spans="2:16" x14ac:dyDescent="0.2">
      <c r="B152" s="30"/>
      <c r="C152" s="31"/>
      <c r="D152" s="31"/>
      <c r="E152" s="31"/>
      <c r="F152" s="31"/>
      <c r="G152" s="31"/>
      <c r="H152" s="31"/>
      <c r="I152" s="31"/>
      <c r="J152" s="31"/>
      <c r="K152" s="31"/>
      <c r="L152" s="31"/>
      <c r="M152" s="31"/>
      <c r="N152" s="31"/>
      <c r="O152" s="31"/>
      <c r="P152" s="32"/>
    </row>
    <row r="153" spans="2:16" x14ac:dyDescent="0.2">
      <c r="B153" s="30"/>
      <c r="C153" s="31"/>
      <c r="D153" s="31"/>
      <c r="E153" s="31"/>
      <c r="F153" s="31"/>
      <c r="G153" s="31"/>
      <c r="H153" s="31"/>
      <c r="I153" s="31"/>
      <c r="J153" s="31"/>
      <c r="K153" s="31"/>
      <c r="L153" s="31"/>
      <c r="M153" s="31"/>
      <c r="N153" s="31"/>
      <c r="O153" s="31"/>
      <c r="P153" s="32"/>
    </row>
    <row r="154" spans="2:16" x14ac:dyDescent="0.2">
      <c r="B154" s="30"/>
      <c r="C154" s="31"/>
      <c r="D154" s="31"/>
      <c r="E154" s="31"/>
      <c r="F154" s="31"/>
      <c r="G154" s="31"/>
      <c r="H154" s="31"/>
      <c r="I154" s="31"/>
      <c r="J154" s="31"/>
      <c r="K154" s="31"/>
      <c r="L154" s="31"/>
      <c r="M154" s="31"/>
      <c r="N154" s="31"/>
      <c r="O154" s="31"/>
      <c r="P154" s="32"/>
    </row>
    <row r="155" spans="2:16" x14ac:dyDescent="0.2">
      <c r="B155" s="30"/>
      <c r="C155" s="31"/>
      <c r="D155" s="31"/>
      <c r="E155" s="31"/>
      <c r="F155" s="31"/>
      <c r="G155" s="31"/>
      <c r="H155" s="31"/>
      <c r="I155" s="31"/>
      <c r="J155" s="31"/>
      <c r="K155" s="31"/>
      <c r="L155" s="31"/>
      <c r="M155" s="31"/>
      <c r="N155" s="31"/>
      <c r="O155" s="31"/>
      <c r="P155" s="32"/>
    </row>
    <row r="156" spans="2:16" x14ac:dyDescent="0.2">
      <c r="B156" s="30"/>
      <c r="C156" s="31"/>
      <c r="D156" s="31"/>
      <c r="E156" s="31"/>
      <c r="F156" s="31"/>
      <c r="G156" s="31"/>
      <c r="H156" s="31"/>
      <c r="I156" s="31"/>
      <c r="J156" s="31"/>
      <c r="K156" s="31"/>
      <c r="L156" s="31"/>
      <c r="M156" s="31"/>
      <c r="N156" s="31"/>
      <c r="O156" s="31"/>
      <c r="P156" s="32"/>
    </row>
    <row r="157" spans="2:16" x14ac:dyDescent="0.2">
      <c r="B157" s="30"/>
      <c r="C157" s="31"/>
      <c r="D157" s="31"/>
      <c r="E157" s="31"/>
      <c r="F157" s="31"/>
      <c r="G157" s="31"/>
      <c r="H157" s="31"/>
      <c r="I157" s="31"/>
      <c r="J157" s="31"/>
      <c r="K157" s="31"/>
      <c r="L157" s="31"/>
      <c r="M157" s="31"/>
      <c r="N157" s="31"/>
      <c r="O157" s="31"/>
      <c r="P157" s="32"/>
    </row>
    <row r="158" spans="2:16" x14ac:dyDescent="0.2">
      <c r="B158" s="30"/>
      <c r="C158" s="31"/>
      <c r="D158" s="31"/>
      <c r="E158" s="31"/>
      <c r="F158" s="31"/>
      <c r="G158" s="31"/>
      <c r="H158" s="31"/>
      <c r="I158" s="31"/>
      <c r="J158" s="31"/>
      <c r="K158" s="31"/>
      <c r="L158" s="31"/>
      <c r="M158" s="31"/>
      <c r="N158" s="31"/>
      <c r="O158" s="31"/>
      <c r="P158" s="32"/>
    </row>
    <row r="159" spans="2:16" x14ac:dyDescent="0.2">
      <c r="B159" s="30"/>
      <c r="C159" s="31"/>
      <c r="D159" s="31"/>
      <c r="E159" s="31"/>
      <c r="F159" s="31"/>
      <c r="G159" s="31"/>
      <c r="H159" s="31"/>
      <c r="I159" s="31"/>
      <c r="J159" s="31"/>
      <c r="K159" s="31"/>
      <c r="L159" s="31"/>
      <c r="M159" s="31"/>
      <c r="N159" s="31"/>
      <c r="O159" s="31"/>
      <c r="P159" s="32"/>
    </row>
    <row r="160" spans="2:16" x14ac:dyDescent="0.2">
      <c r="B160" s="30"/>
      <c r="C160" s="31"/>
      <c r="D160" s="31"/>
      <c r="E160" s="31"/>
      <c r="F160" s="31"/>
      <c r="G160" s="31"/>
      <c r="H160" s="31"/>
      <c r="I160" s="31"/>
      <c r="J160" s="31"/>
      <c r="K160" s="31"/>
      <c r="L160" s="31"/>
      <c r="M160" s="31"/>
      <c r="N160" s="31"/>
      <c r="O160" s="31"/>
      <c r="P160" s="32"/>
    </row>
    <row r="161" spans="2:16" x14ac:dyDescent="0.2">
      <c r="B161" s="30"/>
      <c r="C161" s="31"/>
      <c r="D161" s="31"/>
      <c r="E161" s="31"/>
      <c r="F161" s="31"/>
      <c r="G161" s="31"/>
      <c r="H161" s="31"/>
      <c r="I161" s="31"/>
      <c r="J161" s="31"/>
      <c r="K161" s="31"/>
      <c r="L161" s="31"/>
      <c r="M161" s="31"/>
      <c r="N161" s="31"/>
      <c r="O161" s="31"/>
      <c r="P161" s="32"/>
    </row>
    <row r="162" spans="2:16" x14ac:dyDescent="0.2">
      <c r="B162" s="30"/>
      <c r="C162" s="31"/>
      <c r="D162" s="31"/>
      <c r="E162" s="31"/>
      <c r="F162" s="31"/>
      <c r="G162" s="31"/>
      <c r="H162" s="31"/>
      <c r="I162" s="31"/>
      <c r="J162" s="31"/>
      <c r="K162" s="31"/>
      <c r="L162" s="31"/>
      <c r="M162" s="31"/>
      <c r="N162" s="31"/>
      <c r="O162" s="31"/>
      <c r="P162" s="32"/>
    </row>
    <row r="163" spans="2:16" x14ac:dyDescent="0.2">
      <c r="B163" s="30"/>
      <c r="C163" s="31"/>
      <c r="D163" s="31"/>
      <c r="E163" s="31"/>
      <c r="F163" s="31"/>
      <c r="G163" s="31"/>
      <c r="H163" s="31"/>
      <c r="I163" s="31"/>
      <c r="J163" s="31"/>
      <c r="K163" s="31"/>
      <c r="L163" s="31"/>
      <c r="M163" s="31"/>
      <c r="N163" s="31"/>
      <c r="O163" s="31"/>
      <c r="P163" s="32"/>
    </row>
    <row r="164" spans="2:16" x14ac:dyDescent="0.2">
      <c r="B164" s="30"/>
      <c r="C164" s="31"/>
      <c r="D164" s="31"/>
      <c r="E164" s="31"/>
      <c r="F164" s="31"/>
      <c r="G164" s="31"/>
      <c r="H164" s="31"/>
      <c r="I164" s="31"/>
      <c r="J164" s="31"/>
      <c r="K164" s="31"/>
      <c r="L164" s="31"/>
      <c r="M164" s="31"/>
      <c r="N164" s="31"/>
      <c r="O164" s="31"/>
      <c r="P164" s="32"/>
    </row>
    <row r="165" spans="2:16" x14ac:dyDescent="0.2">
      <c r="B165" s="30"/>
      <c r="C165" s="31"/>
      <c r="D165" s="31"/>
      <c r="E165" s="31"/>
      <c r="F165" s="31"/>
      <c r="G165" s="31"/>
      <c r="H165" s="31"/>
      <c r="I165" s="31"/>
      <c r="J165" s="31"/>
      <c r="K165" s="31"/>
      <c r="L165" s="31"/>
      <c r="M165" s="31"/>
      <c r="N165" s="31"/>
      <c r="O165" s="31"/>
      <c r="P165" s="32"/>
    </row>
    <row r="166" spans="2:16" x14ac:dyDescent="0.2">
      <c r="B166" s="30"/>
      <c r="C166" s="31"/>
      <c r="D166" s="31"/>
      <c r="E166" s="31"/>
      <c r="F166" s="31"/>
      <c r="G166" s="31"/>
      <c r="H166" s="31"/>
      <c r="I166" s="31"/>
      <c r="J166" s="31"/>
      <c r="K166" s="31"/>
      <c r="L166" s="31"/>
      <c r="M166" s="31"/>
      <c r="N166" s="31"/>
      <c r="O166" s="31"/>
      <c r="P166" s="32"/>
    </row>
    <row r="167" spans="2:16" x14ac:dyDescent="0.2">
      <c r="B167" s="30"/>
      <c r="C167" s="31"/>
      <c r="D167" s="31"/>
      <c r="E167" s="31"/>
      <c r="F167" s="31"/>
      <c r="G167" s="31"/>
      <c r="H167" s="31"/>
      <c r="I167" s="31"/>
      <c r="J167" s="31"/>
      <c r="K167" s="31"/>
      <c r="L167" s="31"/>
      <c r="M167" s="31"/>
      <c r="N167" s="31"/>
      <c r="O167" s="31"/>
      <c r="P167" s="32"/>
    </row>
    <row r="168" spans="2:16" x14ac:dyDescent="0.2">
      <c r="B168" s="30"/>
      <c r="C168" s="31"/>
      <c r="D168" s="31"/>
      <c r="E168" s="31"/>
      <c r="F168" s="31"/>
      <c r="G168" s="31"/>
      <c r="H168" s="31"/>
      <c r="I168" s="31"/>
      <c r="J168" s="31"/>
      <c r="K168" s="31"/>
      <c r="L168" s="31"/>
      <c r="M168" s="31"/>
      <c r="N168" s="31"/>
      <c r="O168" s="31"/>
      <c r="P168" s="32"/>
    </row>
    <row r="169" spans="2:16" x14ac:dyDescent="0.2">
      <c r="B169" s="30"/>
      <c r="C169" s="31"/>
      <c r="D169" s="31"/>
      <c r="E169" s="31"/>
      <c r="F169" s="31"/>
      <c r="G169" s="31"/>
      <c r="H169" s="31"/>
      <c r="I169" s="31"/>
      <c r="J169" s="31"/>
      <c r="K169" s="31"/>
      <c r="L169" s="31"/>
      <c r="M169" s="31"/>
      <c r="N169" s="31"/>
      <c r="O169" s="31"/>
      <c r="P169" s="32"/>
    </row>
    <row r="170" spans="2:16" x14ac:dyDescent="0.2">
      <c r="B170" s="30"/>
      <c r="C170" s="31"/>
      <c r="D170" s="31"/>
      <c r="E170" s="31"/>
      <c r="F170" s="31"/>
      <c r="G170" s="31"/>
      <c r="H170" s="31"/>
      <c r="I170" s="31"/>
      <c r="J170" s="31"/>
      <c r="K170" s="31"/>
      <c r="L170" s="31"/>
      <c r="M170" s="31"/>
      <c r="N170" s="31"/>
      <c r="O170" s="31"/>
      <c r="P170" s="32"/>
    </row>
    <row r="171" spans="2:16" x14ac:dyDescent="0.2">
      <c r="B171" s="30"/>
      <c r="C171" s="31"/>
      <c r="D171" s="31"/>
      <c r="E171" s="31"/>
      <c r="F171" s="31"/>
      <c r="G171" s="31"/>
      <c r="H171" s="31"/>
      <c r="I171" s="31"/>
      <c r="J171" s="31"/>
      <c r="K171" s="31"/>
      <c r="L171" s="31"/>
      <c r="M171" s="31"/>
      <c r="N171" s="31"/>
      <c r="O171" s="31"/>
      <c r="P171" s="32"/>
    </row>
    <row r="172" spans="2:16" x14ac:dyDescent="0.2">
      <c r="B172" s="30"/>
      <c r="C172" s="31"/>
      <c r="D172" s="31"/>
      <c r="E172" s="31"/>
      <c r="F172" s="31"/>
      <c r="G172" s="31"/>
      <c r="H172" s="31"/>
      <c r="I172" s="31"/>
      <c r="J172" s="31"/>
      <c r="K172" s="31"/>
      <c r="L172" s="31"/>
      <c r="M172" s="31"/>
      <c r="N172" s="31"/>
      <c r="O172" s="31"/>
      <c r="P172" s="32"/>
    </row>
    <row r="173" spans="2:16" x14ac:dyDescent="0.2">
      <c r="B173" s="30"/>
      <c r="C173" s="31"/>
      <c r="D173" s="31"/>
      <c r="E173" s="31"/>
      <c r="F173" s="31"/>
      <c r="G173" s="31"/>
      <c r="H173" s="31"/>
      <c r="I173" s="31"/>
      <c r="J173" s="31"/>
      <c r="K173" s="31"/>
      <c r="L173" s="31"/>
      <c r="M173" s="31"/>
      <c r="N173" s="31"/>
      <c r="O173" s="31"/>
      <c r="P173" s="32"/>
    </row>
    <row r="174" spans="2:16" x14ac:dyDescent="0.2">
      <c r="B174" s="30"/>
      <c r="C174" s="31"/>
      <c r="D174" s="31"/>
      <c r="E174" s="31"/>
      <c r="F174" s="31"/>
      <c r="G174" s="31"/>
      <c r="H174" s="31"/>
      <c r="I174" s="31"/>
      <c r="J174" s="31"/>
      <c r="K174" s="31"/>
      <c r="L174" s="31"/>
      <c r="M174" s="31"/>
      <c r="N174" s="31"/>
      <c r="O174" s="31"/>
      <c r="P174" s="32"/>
    </row>
    <row r="175" spans="2:16" x14ac:dyDescent="0.2">
      <c r="B175" s="30"/>
      <c r="C175" s="31"/>
      <c r="D175" s="31"/>
      <c r="E175" s="31"/>
      <c r="F175" s="31"/>
      <c r="G175" s="31"/>
      <c r="H175" s="31"/>
      <c r="I175" s="31"/>
      <c r="J175" s="31"/>
      <c r="K175" s="31"/>
      <c r="L175" s="31"/>
      <c r="M175" s="31"/>
      <c r="N175" s="31"/>
      <c r="O175" s="31"/>
      <c r="P175" s="32"/>
    </row>
    <row r="176" spans="2:16" x14ac:dyDescent="0.2">
      <c r="B176" s="30"/>
      <c r="C176" s="31"/>
      <c r="D176" s="31"/>
      <c r="E176" s="31"/>
      <c r="F176" s="31"/>
      <c r="G176" s="31"/>
      <c r="H176" s="31"/>
      <c r="I176" s="31"/>
      <c r="J176" s="31"/>
      <c r="K176" s="31"/>
      <c r="L176" s="31"/>
      <c r="M176" s="31"/>
      <c r="N176" s="31"/>
      <c r="O176" s="31"/>
      <c r="P176" s="32"/>
    </row>
    <row r="177" spans="2:16" x14ac:dyDescent="0.2">
      <c r="B177" s="30"/>
      <c r="C177" s="31"/>
      <c r="D177" s="31"/>
      <c r="E177" s="31"/>
      <c r="F177" s="31"/>
      <c r="G177" s="31"/>
      <c r="H177" s="31"/>
      <c r="I177" s="31"/>
      <c r="J177" s="31"/>
      <c r="K177" s="31"/>
      <c r="L177" s="31"/>
      <c r="M177" s="31"/>
      <c r="N177" s="31"/>
      <c r="O177" s="31"/>
      <c r="P177" s="32"/>
    </row>
    <row r="178" spans="2:16" x14ac:dyDescent="0.2">
      <c r="B178" s="30"/>
      <c r="C178" s="31"/>
      <c r="D178" s="31"/>
      <c r="E178" s="31"/>
      <c r="F178" s="31"/>
      <c r="G178" s="31"/>
      <c r="H178" s="31"/>
      <c r="I178" s="31"/>
      <c r="J178" s="31"/>
      <c r="K178" s="31"/>
      <c r="L178" s="31"/>
      <c r="M178" s="31"/>
      <c r="N178" s="31"/>
      <c r="O178" s="31"/>
      <c r="P178" s="32"/>
    </row>
    <row r="179" spans="2:16" x14ac:dyDescent="0.2">
      <c r="B179" s="30"/>
      <c r="C179" s="31"/>
      <c r="D179" s="31"/>
      <c r="E179" s="31"/>
      <c r="F179" s="31"/>
      <c r="G179" s="31"/>
      <c r="H179" s="31"/>
      <c r="I179" s="31"/>
      <c r="J179" s="31"/>
      <c r="K179" s="31"/>
      <c r="L179" s="31"/>
      <c r="M179" s="31"/>
      <c r="N179" s="31"/>
      <c r="O179" s="31"/>
      <c r="P179" s="32"/>
    </row>
    <row r="180" spans="2:16" x14ac:dyDescent="0.2">
      <c r="B180" s="30"/>
      <c r="C180" s="31"/>
      <c r="D180" s="31"/>
      <c r="E180" s="31"/>
      <c r="F180" s="31"/>
      <c r="G180" s="31"/>
      <c r="H180" s="31"/>
      <c r="I180" s="31"/>
      <c r="J180" s="31"/>
      <c r="K180" s="31"/>
      <c r="L180" s="31"/>
      <c r="M180" s="31"/>
      <c r="N180" s="31"/>
      <c r="O180" s="31"/>
      <c r="P180" s="32"/>
    </row>
    <row r="181" spans="2:16" x14ac:dyDescent="0.2">
      <c r="B181" s="30"/>
      <c r="C181" s="31"/>
      <c r="D181" s="31"/>
      <c r="E181" s="31"/>
      <c r="F181" s="31"/>
      <c r="G181" s="31"/>
      <c r="H181" s="31"/>
      <c r="I181" s="31"/>
      <c r="J181" s="31"/>
      <c r="K181" s="31"/>
      <c r="L181" s="31"/>
      <c r="M181" s="31"/>
      <c r="N181" s="31"/>
      <c r="O181" s="31"/>
      <c r="P181" s="32"/>
    </row>
    <row r="182" spans="2:16" x14ac:dyDescent="0.2">
      <c r="B182" s="30"/>
      <c r="C182" s="31"/>
      <c r="D182" s="31"/>
      <c r="E182" s="31"/>
      <c r="F182" s="31"/>
      <c r="G182" s="31"/>
      <c r="H182" s="31"/>
      <c r="I182" s="31"/>
      <c r="J182" s="31"/>
      <c r="K182" s="31"/>
      <c r="L182" s="31"/>
      <c r="M182" s="31"/>
      <c r="N182" s="31"/>
      <c r="O182" s="31"/>
      <c r="P182" s="32"/>
    </row>
    <row r="183" spans="2:16" x14ac:dyDescent="0.2">
      <c r="B183" s="30"/>
      <c r="C183" s="31"/>
      <c r="D183" s="31"/>
      <c r="E183" s="31"/>
      <c r="F183" s="31"/>
      <c r="G183" s="31"/>
      <c r="H183" s="31"/>
      <c r="I183" s="31"/>
      <c r="J183" s="31"/>
      <c r="K183" s="31"/>
      <c r="L183" s="31"/>
      <c r="M183" s="31"/>
      <c r="N183" s="31"/>
      <c r="O183" s="31"/>
      <c r="P183" s="32"/>
    </row>
    <row r="184" spans="2:16" x14ac:dyDescent="0.2">
      <c r="B184" s="30"/>
      <c r="C184" s="31"/>
      <c r="D184" s="31"/>
      <c r="E184" s="31"/>
      <c r="F184" s="31"/>
      <c r="G184" s="31"/>
      <c r="H184" s="31"/>
      <c r="I184" s="31"/>
      <c r="J184" s="31"/>
      <c r="K184" s="31"/>
      <c r="L184" s="31"/>
      <c r="M184" s="31"/>
      <c r="N184" s="31"/>
      <c r="O184" s="31"/>
      <c r="P184" s="32"/>
    </row>
    <row r="185" spans="2:16" x14ac:dyDescent="0.2">
      <c r="B185" s="30"/>
      <c r="C185" s="31"/>
      <c r="D185" s="31"/>
      <c r="E185" s="31"/>
      <c r="F185" s="31"/>
      <c r="G185" s="31"/>
      <c r="H185" s="31"/>
      <c r="I185" s="31"/>
      <c r="J185" s="31"/>
      <c r="K185" s="31"/>
      <c r="L185" s="31"/>
      <c r="M185" s="31"/>
      <c r="N185" s="31"/>
      <c r="O185" s="31"/>
      <c r="P185" s="32"/>
    </row>
    <row r="186" spans="2:16" x14ac:dyDescent="0.2">
      <c r="B186" s="30"/>
      <c r="C186" s="31"/>
      <c r="D186" s="31"/>
      <c r="E186" s="31"/>
      <c r="F186" s="31"/>
      <c r="G186" s="31"/>
      <c r="H186" s="31"/>
      <c r="I186" s="31"/>
      <c r="J186" s="31"/>
      <c r="K186" s="31"/>
      <c r="L186" s="31"/>
      <c r="M186" s="31"/>
      <c r="N186" s="31"/>
      <c r="O186" s="31"/>
      <c r="P186" s="32"/>
    </row>
    <row r="187" spans="2:16" x14ac:dyDescent="0.2">
      <c r="B187" s="30"/>
      <c r="C187" s="31"/>
      <c r="D187" s="31"/>
      <c r="E187" s="31"/>
      <c r="F187" s="31"/>
      <c r="G187" s="31"/>
      <c r="H187" s="31"/>
      <c r="I187" s="31"/>
      <c r="J187" s="31"/>
      <c r="K187" s="31"/>
      <c r="L187" s="31"/>
      <c r="M187" s="31"/>
      <c r="N187" s="31"/>
      <c r="O187" s="31"/>
      <c r="P187" s="32"/>
    </row>
    <row r="188" spans="2:16" x14ac:dyDescent="0.2">
      <c r="B188" s="30"/>
      <c r="C188" s="31"/>
      <c r="D188" s="31"/>
      <c r="E188" s="31"/>
      <c r="F188" s="31"/>
      <c r="G188" s="31"/>
      <c r="H188" s="31"/>
      <c r="I188" s="31"/>
      <c r="J188" s="31"/>
      <c r="K188" s="31"/>
      <c r="L188" s="31"/>
      <c r="M188" s="31"/>
      <c r="N188" s="31"/>
      <c r="O188" s="31"/>
      <c r="P188" s="32"/>
    </row>
    <row r="189" spans="2:16" x14ac:dyDescent="0.2">
      <c r="B189" s="30"/>
      <c r="C189" s="31"/>
      <c r="D189" s="31"/>
      <c r="E189" s="31"/>
      <c r="F189" s="31"/>
      <c r="G189" s="31"/>
      <c r="H189" s="31"/>
      <c r="I189" s="31"/>
      <c r="J189" s="31"/>
      <c r="K189" s="31"/>
      <c r="L189" s="31"/>
      <c r="M189" s="31"/>
      <c r="N189" s="31"/>
      <c r="O189" s="31"/>
      <c r="P189" s="32"/>
    </row>
    <row r="190" spans="2:16" x14ac:dyDescent="0.2">
      <c r="B190" s="38"/>
      <c r="C190" s="36"/>
      <c r="D190" s="36"/>
      <c r="E190" s="36"/>
      <c r="F190" s="36"/>
      <c r="G190" s="36"/>
      <c r="H190" s="36"/>
      <c r="I190" s="36"/>
      <c r="J190" s="36"/>
      <c r="K190" s="36"/>
      <c r="L190" s="36"/>
      <c r="M190" s="36"/>
      <c r="N190" s="36"/>
      <c r="O190" s="36"/>
      <c r="P190" s="39"/>
    </row>
  </sheetData>
  <sheetProtection password="E10F" sheet="1"/>
  <mergeCells count="2">
    <mergeCell ref="C2:E2"/>
    <mergeCell ref="F2:G2"/>
  </mergeCells>
  <phoneticPr fontId="2" type="noConversion"/>
  <conditionalFormatting sqref="L28:L33">
    <cfRule type="cellIs" dxfId="195" priority="27" stopIfTrue="1" operator="greaterThanOrEqual">
      <formula>100</formula>
    </cfRule>
    <cfRule type="cellIs" dxfId="194" priority="28" stopIfTrue="1" operator="lessThan">
      <formula>100</formula>
    </cfRule>
  </conditionalFormatting>
  <conditionalFormatting sqref="L34">
    <cfRule type="cellIs" dxfId="193" priority="5" stopIfTrue="1" operator="equal">
      <formula>"NA"</formula>
    </cfRule>
    <cfRule type="cellIs" dxfId="192" priority="18" stopIfTrue="1" operator="between">
      <formula>100.1</formula>
      <formula>200</formula>
    </cfRule>
    <cfRule type="cellIs" dxfId="191" priority="29" stopIfTrue="1" operator="greaterThan">
      <formula>200</formula>
    </cfRule>
    <cfRule type="cellIs" dxfId="190" priority="30" stopIfTrue="1" operator="lessThanOrEqual">
      <formula>100</formula>
    </cfRule>
  </conditionalFormatting>
  <conditionalFormatting sqref="L27">
    <cfRule type="cellIs" dxfId="189" priority="31" stopIfTrue="1" operator="greaterThanOrEqual">
      <formula>100</formula>
    </cfRule>
    <cfRule type="cellIs" dxfId="188" priority="32" stopIfTrue="1" operator="lessThan">
      <formula>50</formula>
    </cfRule>
    <cfRule type="cellIs" dxfId="187" priority="33" stopIfTrue="1" operator="between">
      <formula>50</formula>
      <formula>100</formula>
    </cfRule>
  </conditionalFormatting>
  <conditionalFormatting sqref="E27:E33 E35">
    <cfRule type="cellIs" dxfId="186" priority="17" stopIfTrue="1" operator="lessThan">
      <formula>0.95*$C27*(E$14/$C$14)</formula>
    </cfRule>
  </conditionalFormatting>
  <conditionalFormatting sqref="F27:F33">
    <cfRule type="cellIs" dxfId="185" priority="16" stopIfTrue="1" operator="lessThan">
      <formula>0.95*$C27*(F$14/$C$14)</formula>
    </cfRule>
  </conditionalFormatting>
  <conditionalFormatting sqref="G27:G33">
    <cfRule type="cellIs" dxfId="184" priority="15" stopIfTrue="1" operator="lessThan">
      <formula>0.95*$C27*(G$14/$C$14)</formula>
    </cfRule>
  </conditionalFormatting>
  <conditionalFormatting sqref="F35">
    <cfRule type="cellIs" dxfId="183" priority="14" stopIfTrue="1" operator="lessThan">
      <formula>0.95*$C35*(F$14/$C$14)</formula>
    </cfRule>
  </conditionalFormatting>
  <conditionalFormatting sqref="G35">
    <cfRule type="cellIs" dxfId="182" priority="13" stopIfTrue="1" operator="lessThan">
      <formula>0.95*$C35*(G$14/$C$14)</formula>
    </cfRule>
  </conditionalFormatting>
  <conditionalFormatting sqref="L35">
    <cfRule type="cellIs" dxfId="181" priority="9" stopIfTrue="1" operator="greaterThanOrEqual">
      <formula>100</formula>
    </cfRule>
    <cfRule type="cellIs" dxfId="180" priority="10" stopIfTrue="1" operator="lessThan">
      <formula>100</formula>
    </cfRule>
  </conditionalFormatting>
  <conditionalFormatting sqref="I27">
    <cfRule type="cellIs" dxfId="179" priority="8" stopIfTrue="1" operator="between">
      <formula>2/3*$C$27</formula>
      <formula>0</formula>
    </cfRule>
  </conditionalFormatting>
  <conditionalFormatting sqref="J27">
    <cfRule type="cellIs" dxfId="178" priority="7" stopIfTrue="1" operator="lessThan">
      <formula>$C$27/3</formula>
    </cfRule>
  </conditionalFormatting>
  <conditionalFormatting sqref="I22">
    <cfRule type="cellIs" dxfId="177" priority="3" stopIfTrue="1" operator="greaterThan">
      <formula>320</formula>
    </cfRule>
    <cfRule type="cellIs" dxfId="176" priority="4" stopIfTrue="1" operator="greaterThan">
      <formula>320</formula>
    </cfRule>
  </conditionalFormatting>
  <conditionalFormatting sqref="E16">
    <cfRule type="cellIs" dxfId="175" priority="2" stopIfTrue="1" operator="lessThan">
      <formula>1.2</formula>
    </cfRule>
  </conditionalFormatting>
  <conditionalFormatting sqref="F16:G16">
    <cfRule type="cellIs" dxfId="174" priority="1" stopIfTrue="1" operator="lessThan">
      <formula>1.2</formula>
    </cfRule>
  </conditionalFormatting>
  <dataValidations count="6">
    <dataValidation type="list" allowBlank="1" showInputMessage="1" showErrorMessage="1" sqref="F2" xr:uid="{00000000-0002-0000-0D00-000000000000}">
      <formula1>ConstructionType</formula1>
    </dataValidation>
    <dataValidation type="list" allowBlank="1" showInputMessage="1" showErrorMessage="1" promptTitle="Select Material" sqref="K13:K14 C5 D5:D6 E5:G5" xr:uid="{00000000-0002-0000-0D00-000001000000}">
      <formula1>Materials</formula1>
    </dataValidation>
    <dataValidation type="list" allowBlank="1" showInputMessage="1" showErrorMessage="1" promptTitle="Select Material" sqref="E6:G6" xr:uid="{00000000-0002-0000-0D00-000002000000}">
      <formula1>Tube_Type</formula1>
    </dataValidation>
    <dataValidation allowBlank="1" showInputMessage="1" showErrorMessage="1" promptTitle="Select Material" sqref="I6:J6 C6" xr:uid="{00000000-0002-0000-0D00-000003000000}"/>
    <dataValidation type="list" allowBlank="1" showInputMessage="1" showErrorMessage="1" sqref="E13" xr:uid="{00000000-0002-0000-0D00-000004000000}">
      <formula1>"Straight, Bent/Multi"</formula1>
    </dataValidation>
    <dataValidation type="list" allowBlank="1" showInputMessage="1" showErrorMessage="1" sqref="J5 I5" xr:uid="{00000000-0002-0000-0D00-000005000000}">
      <formula1>Material</formula1>
    </dataValidation>
  </dataValidations>
  <hyperlinks>
    <hyperlink ref="B39" location="'T2.16.2 Guidance Notes'!A1" display="Link to guidance notes" xr:uid="{00000000-0004-0000-0D00-000000000000}"/>
    <hyperlink ref="N35" location="'Cover Sheet'!A1" display="BACK to COVER SHEET" xr:uid="{00000000-0004-0000-0D00-000001000000}"/>
    <hyperlink ref="N35:P35" location="'Cover Sheet'!A1" display="BACK to COVER SHEET" xr:uid="{00000000-0004-0000-0D00-000002000000}"/>
  </hyperlinks>
  <pageMargins left="0.75" right="0.75" top="1" bottom="1" header="0.5" footer="0.5"/>
  <pageSetup paperSize="9" scale="43" fitToHeight="2" orientation="portrait" horizontalDpi="4294967294"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B1:P190"/>
  <sheetViews>
    <sheetView showGridLines="0" topLeftCell="A13" workbookViewId="0">
      <selection activeCell="E17" sqref="E17"/>
    </sheetView>
  </sheetViews>
  <sheetFormatPr baseColWidth="10" defaultColWidth="9.140625" defaultRowHeight="12.75" x14ac:dyDescent="0.2"/>
  <cols>
    <col min="1" max="1" width="3.42578125" style="56" customWidth="1"/>
    <col min="2" max="2" width="47" style="56" customWidth="1"/>
    <col min="3" max="3" width="11.42578125" style="56" customWidth="1"/>
    <col min="4" max="4" width="3.5703125" style="105" customWidth="1"/>
    <col min="5" max="5" width="13.85546875" style="56" customWidth="1"/>
    <col min="6" max="6" width="15.28515625" style="56" customWidth="1"/>
    <col min="7" max="7" width="11.7109375" style="56" customWidth="1"/>
    <col min="8" max="8" width="6.85546875" style="56" customWidth="1"/>
    <col min="9" max="9" width="8.7109375" style="56" customWidth="1"/>
    <col min="10" max="12" width="9.140625" style="56"/>
    <col min="13" max="13" width="3.5703125" style="56" customWidth="1"/>
    <col min="14" max="16384" width="9.140625" style="56"/>
  </cols>
  <sheetData>
    <row r="1" spans="2:12" ht="15.75" x14ac:dyDescent="0.25">
      <c r="B1" s="55" t="s">
        <v>168</v>
      </c>
    </row>
    <row r="2" spans="2:12" x14ac:dyDescent="0.2">
      <c r="C2" s="661" t="s">
        <v>27</v>
      </c>
      <c r="D2" s="662"/>
      <c r="E2" s="663"/>
      <c r="F2" s="664" t="s">
        <v>28</v>
      </c>
      <c r="G2" s="665"/>
    </row>
    <row r="4" spans="2:12" x14ac:dyDescent="0.2">
      <c r="B4" s="57" t="s">
        <v>18</v>
      </c>
      <c r="C4" s="57" t="s">
        <v>1</v>
      </c>
      <c r="D4" s="106"/>
      <c r="E4" s="57" t="s">
        <v>2</v>
      </c>
      <c r="F4" s="118" t="s">
        <v>21</v>
      </c>
      <c r="G4" s="57" t="s">
        <v>22</v>
      </c>
      <c r="I4" s="127"/>
      <c r="J4" s="259" t="s">
        <v>290</v>
      </c>
      <c r="K4" s="259" t="s">
        <v>289</v>
      </c>
    </row>
    <row r="5" spans="2:12" x14ac:dyDescent="0.2">
      <c r="B5" s="58" t="s">
        <v>30</v>
      </c>
      <c r="C5" s="44" t="s">
        <v>7</v>
      </c>
      <c r="E5" s="22" t="s">
        <v>7</v>
      </c>
      <c r="F5" s="52" t="s">
        <v>7</v>
      </c>
      <c r="G5" s="109"/>
      <c r="I5" s="239" t="s">
        <v>247</v>
      </c>
      <c r="J5" s="56">
        <f>F22/1000</f>
        <v>0.1</v>
      </c>
      <c r="K5" s="250">
        <f>J5</f>
        <v>0.1</v>
      </c>
    </row>
    <row r="6" spans="2:12" x14ac:dyDescent="0.2">
      <c r="B6" s="58" t="s">
        <v>46</v>
      </c>
      <c r="C6" s="44" t="s">
        <v>44</v>
      </c>
      <c r="E6" s="3" t="s">
        <v>44</v>
      </c>
      <c r="F6" s="112" t="s">
        <v>153</v>
      </c>
      <c r="G6" s="109"/>
      <c r="I6" s="239" t="s">
        <v>248</v>
      </c>
      <c r="J6" s="56">
        <f>F21/1000</f>
        <v>2E-3</v>
      </c>
      <c r="K6" s="250">
        <f>F20/1000</f>
        <v>2E-3</v>
      </c>
    </row>
    <row r="7" spans="2:12" x14ac:dyDescent="0.2">
      <c r="B7" s="59" t="s">
        <v>19</v>
      </c>
      <c r="C7" s="46" t="str">
        <f>HLOOKUP(C5,MaterialData!$C$3:$O$4,2,FALSE)</f>
        <v>Steel</v>
      </c>
      <c r="D7" s="110"/>
      <c r="E7" s="46" t="str">
        <f>HLOOKUP(E5,MaterialData!$C$3:$O$4,2,FALSE)</f>
        <v>Steel</v>
      </c>
      <c r="F7" s="46" t="str">
        <f>HLOOKUP(F5,MaterialData!$C$3:$O$4,2,FALSE)</f>
        <v>Steel</v>
      </c>
      <c r="G7" s="111"/>
    </row>
    <row r="8" spans="2:12"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111"/>
      <c r="I8" s="239" t="s">
        <v>250</v>
      </c>
      <c r="J8" s="60">
        <f>J5*J6</f>
        <v>2.0000000000000001E-4</v>
      </c>
      <c r="K8" s="239" t="s">
        <v>269</v>
      </c>
      <c r="L8" s="60">
        <f>(J5*J6^3)/12</f>
        <v>6.6666666666666682E-11</v>
      </c>
    </row>
    <row r="9" spans="2:12"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111"/>
      <c r="I9" s="239" t="s">
        <v>251</v>
      </c>
      <c r="J9" s="60">
        <f>K5*K6</f>
        <v>2.0000000000000001E-4</v>
      </c>
      <c r="K9" s="239" t="s">
        <v>270</v>
      </c>
      <c r="L9" s="60">
        <f>(K5*K6^3)/12</f>
        <v>6.6666666666666682E-11</v>
      </c>
    </row>
    <row r="10" spans="2:12"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I10" s="239" t="s">
        <v>263</v>
      </c>
      <c r="J10" s="56">
        <f>J6/2</f>
        <v>1E-3</v>
      </c>
      <c r="K10" s="239" t="s">
        <v>254</v>
      </c>
      <c r="L10" s="60">
        <f>L8+(J8*($J$12-J10)^2)</f>
        <v>2.0066666666666661E-8</v>
      </c>
    </row>
    <row r="11" spans="2:12"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I11" s="239" t="s">
        <v>264</v>
      </c>
      <c r="J11" s="56">
        <f>(F18-0.5*F20)*0.001</f>
        <v>2.1000000000000001E-2</v>
      </c>
      <c r="K11" s="239" t="s">
        <v>255</v>
      </c>
      <c r="L11" s="60">
        <f>L9+(J9*($J$12-J11)^2)</f>
        <v>2.0066666666666678E-8</v>
      </c>
    </row>
    <row r="12" spans="2:12"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I12" s="239" t="s">
        <v>249</v>
      </c>
      <c r="J12" s="252">
        <f>(J8*J10+J9*J11)/(J8+J9)</f>
        <v>1.0999999999999999E-2</v>
      </c>
      <c r="K12" s="239" t="s">
        <v>260</v>
      </c>
      <c r="L12" s="266">
        <f>SUM(L10:L11)</f>
        <v>4.0133333333333335E-8</v>
      </c>
    </row>
    <row r="13" spans="2:12" x14ac:dyDescent="0.2">
      <c r="C13" s="105"/>
      <c r="D13" s="56"/>
      <c r="E13" s="109"/>
      <c r="G13" s="109"/>
      <c r="L13" s="60"/>
    </row>
    <row r="14" spans="2:12" x14ac:dyDescent="0.2">
      <c r="B14" s="59" t="s">
        <v>31</v>
      </c>
      <c r="C14" s="44">
        <v>1</v>
      </c>
      <c r="D14" s="56"/>
      <c r="E14" s="22">
        <v>1</v>
      </c>
      <c r="G14" s="109"/>
      <c r="L14" s="60"/>
    </row>
    <row r="15" spans="2:12" x14ac:dyDescent="0.2">
      <c r="B15" s="59" t="s">
        <v>166</v>
      </c>
      <c r="C15" s="44">
        <f>IF(AND(E15&gt;=25,E15&lt;25.4,E16&gt;=2.5),25,25.4)</f>
        <v>25.4</v>
      </c>
      <c r="E15" s="22">
        <v>30</v>
      </c>
      <c r="F15" s="105"/>
      <c r="G15" s="109"/>
      <c r="L15" s="60"/>
    </row>
    <row r="16" spans="2:12" x14ac:dyDescent="0.2">
      <c r="B16" s="59" t="s">
        <v>167</v>
      </c>
      <c r="C16" s="44">
        <f>IF(AND(E15&gt;=25,E15&lt;25.4,E16&gt;=2.5),2.5,2.4)</f>
        <v>2.4</v>
      </c>
      <c r="E16" s="22">
        <v>2</v>
      </c>
      <c r="F16" s="105"/>
      <c r="G16" s="109"/>
      <c r="L16" s="60"/>
    </row>
    <row r="17" spans="2:16" x14ac:dyDescent="0.2">
      <c r="B17" s="105"/>
      <c r="C17" s="105"/>
      <c r="E17" s="109"/>
      <c r="F17" s="105"/>
      <c r="G17" s="109"/>
      <c r="L17" s="60"/>
    </row>
    <row r="18" spans="2:16" x14ac:dyDescent="0.2">
      <c r="B18" s="99" t="s">
        <v>24</v>
      </c>
      <c r="C18" s="105"/>
      <c r="E18" s="109"/>
      <c r="F18" s="241">
        <f>F19+F20+F21</f>
        <v>22</v>
      </c>
      <c r="G18" s="109"/>
      <c r="L18" s="60"/>
    </row>
    <row r="19" spans="2:16" x14ac:dyDescent="0.2">
      <c r="B19" s="99" t="s">
        <v>25</v>
      </c>
      <c r="C19" s="105"/>
      <c r="E19" s="109"/>
      <c r="F19" s="52">
        <v>18</v>
      </c>
      <c r="G19" s="109"/>
      <c r="L19" s="60"/>
    </row>
    <row r="20" spans="2:16" x14ac:dyDescent="0.2">
      <c r="B20" s="99" t="s">
        <v>287</v>
      </c>
      <c r="E20" s="109"/>
      <c r="F20" s="52">
        <v>2</v>
      </c>
      <c r="G20" s="109"/>
      <c r="L20" s="60"/>
    </row>
    <row r="21" spans="2:16" x14ac:dyDescent="0.2">
      <c r="B21" s="264" t="s">
        <v>286</v>
      </c>
      <c r="E21" s="109"/>
      <c r="F21" s="52">
        <v>2</v>
      </c>
      <c r="G21" s="109"/>
      <c r="L21" s="60"/>
    </row>
    <row r="22" spans="2:16" x14ac:dyDescent="0.2">
      <c r="B22" s="203" t="s">
        <v>26</v>
      </c>
      <c r="E22" s="109"/>
      <c r="F22" s="52">
        <v>100</v>
      </c>
      <c r="G22" s="109"/>
      <c r="L22" s="60"/>
    </row>
    <row r="23" spans="2:16" x14ac:dyDescent="0.2">
      <c r="B23" s="105"/>
      <c r="C23" s="105"/>
      <c r="E23" s="113"/>
      <c r="F23" s="105"/>
      <c r="G23" s="109"/>
      <c r="L23" s="60"/>
    </row>
    <row r="24" spans="2:16" x14ac:dyDescent="0.2">
      <c r="B24" s="59" t="s">
        <v>4</v>
      </c>
      <c r="C24" s="44">
        <f>C15/1000</f>
        <v>2.5399999999999999E-2</v>
      </c>
      <c r="E24" s="44">
        <f>IF(F2="Composite only","No tubes",E15/1000)</f>
        <v>0.03</v>
      </c>
      <c r="F24" s="105"/>
      <c r="G24" s="109"/>
      <c r="L24" s="60"/>
    </row>
    <row r="25" spans="2:16" x14ac:dyDescent="0.2">
      <c r="B25" s="59" t="s">
        <v>159</v>
      </c>
      <c r="C25" s="44">
        <f>C16/1000</f>
        <v>2.3999999999999998E-3</v>
      </c>
      <c r="E25" s="44">
        <f>IF(F2="Composite only","",E16/1000)</f>
        <v>2E-3</v>
      </c>
      <c r="F25" s="105"/>
      <c r="G25" s="113"/>
      <c r="L25" s="60"/>
      <c r="P25" s="61"/>
    </row>
    <row r="26" spans="2:16" x14ac:dyDescent="0.2">
      <c r="B26" s="59" t="s">
        <v>3</v>
      </c>
      <c r="C26" s="46">
        <f>IF(C6="Round",((C24)^4-((C24-2*C25))^4)*3.142/64,((C24)^4-((C24-2*C25))^4)/12)</f>
        <v>1.1593489847999996E-8</v>
      </c>
      <c r="E26" s="46">
        <f>IF(F2="Composite only","",IF(E6="Round",((E24)^4-((E24-2*E25))^4)*3.142/64,IF(E6="Square",((E24)^4-((E24-2*E25))^4)/12,"")))</f>
        <v>1.7331272000000002E-8</v>
      </c>
      <c r="F26" s="114" t="str">
        <f>IF($F$2="Tubing only","Tubing Only",L12)</f>
        <v>Tubing Only</v>
      </c>
      <c r="G26" s="46">
        <f t="shared" ref="G26:G33" si="0">IF($F$2="Tubing only",E26,IF($F$2="Composite only",F26,IF($F$2="Tubes + Composite",E26+F26,"No Type Selected")))</f>
        <v>1.7331272000000002E-8</v>
      </c>
      <c r="L26" s="60"/>
      <c r="O26" s="60"/>
      <c r="P26" s="61"/>
    </row>
    <row r="27" spans="2:16" x14ac:dyDescent="0.2">
      <c r="B27" s="59" t="s">
        <v>0</v>
      </c>
      <c r="C27" s="46">
        <f>C8*C26*C14</f>
        <v>2318.6979695999994</v>
      </c>
      <c r="D27" s="110"/>
      <c r="E27" s="46">
        <f>IF(F2="Composite only","",E8*E26)</f>
        <v>3466.2544000000003</v>
      </c>
      <c r="F27" s="115" t="str">
        <f>IF(F26="Tubing Only","",F26*F8)</f>
        <v/>
      </c>
      <c r="G27" s="46">
        <f t="shared" si="0"/>
        <v>3466.2544000000003</v>
      </c>
      <c r="H27" s="54">
        <f t="shared" ref="H27:H35" si="1">100*G27/C27</f>
        <v>149.49141481320081</v>
      </c>
    </row>
    <row r="28" spans="2:16" x14ac:dyDescent="0.2">
      <c r="B28" s="59" t="s">
        <v>160</v>
      </c>
      <c r="C28" s="47">
        <f>IF(C24="no tubes","",IF(C14=0,"",IF(C6="Round",C14*((C15^2-(C15-2*C16)^2)*PI()/4),IF(C6="Square",C14*(C15^2-(C15-2*C16)^2),""))))</f>
        <v>173.41591447815662</v>
      </c>
      <c r="D28" s="116"/>
      <c r="E28" s="47">
        <f>IF(E24="no tubes","",IF(E14=0,"",IF(E6="Round",E14*((E15^2-(E15-2*E16)^2)*PI()/4),IF(E6="Square",E14*(E15^2-(E15-2*E16)^2),""))))</f>
        <v>175.92918860102841</v>
      </c>
      <c r="F28" s="47" t="str">
        <f>IF(F26="Tubing Only","",(F18-F19)*F22)</f>
        <v/>
      </c>
      <c r="G28" s="47">
        <f t="shared" si="0"/>
        <v>175.92918860102841</v>
      </c>
      <c r="H28" s="54">
        <f t="shared" si="1"/>
        <v>101.4492753623188</v>
      </c>
      <c r="I28" s="56" t="str">
        <f>IF(AND(95&lt;H28,H28&lt;100),"Provided your actual tube measures &gt;= your nominal OD and wall this is OK","")</f>
        <v/>
      </c>
      <c r="O28" s="60"/>
    </row>
    <row r="29" spans="2:16" x14ac:dyDescent="0.2">
      <c r="B29" s="59" t="s">
        <v>161</v>
      </c>
      <c r="C29" s="46">
        <f>C$28*C9/1000000</f>
        <v>52891.853915837768</v>
      </c>
      <c r="D29" s="110"/>
      <c r="E29" s="46">
        <f>IF(F2="Composite only","",E$28*E9/1000000)</f>
        <v>53658.402523313671</v>
      </c>
      <c r="F29" s="46" t="str">
        <f>IF(F26="Tubing Only","",F28*F9/1000000)</f>
        <v/>
      </c>
      <c r="G29" s="46">
        <f t="shared" si="0"/>
        <v>53658.402523313671</v>
      </c>
      <c r="H29" s="54">
        <f t="shared" si="1"/>
        <v>101.44927536231882</v>
      </c>
      <c r="I29" s="56" t="str">
        <f>IF(AND(95&lt;H29,H29&lt;100),"Provided your actual tube measures &gt;= your nominal OD and wall this is OK","")</f>
        <v/>
      </c>
    </row>
    <row r="30" spans="2:16" x14ac:dyDescent="0.2">
      <c r="B30" s="59" t="s">
        <v>5</v>
      </c>
      <c r="C30" s="46">
        <f>C$28*C10/1000000</f>
        <v>63296.808784527166</v>
      </c>
      <c r="D30" s="110"/>
      <c r="E30" s="46">
        <f>IF(F2="Composite only","",E$28*E10/1000000)</f>
        <v>64214.153839375373</v>
      </c>
      <c r="F30" s="46" t="str">
        <f>IF(F26="Tubing Only","",F28*F10/1000000)</f>
        <v/>
      </c>
      <c r="G30" s="46">
        <f t="shared" si="0"/>
        <v>64214.153839375373</v>
      </c>
      <c r="H30" s="54">
        <f t="shared" si="1"/>
        <v>101.44927536231883</v>
      </c>
      <c r="I30" s="56" t="str">
        <f>IF(AND(95&lt;H30,H30&lt;100),"Provided your actual tube measures &gt;= your nominal OD and wall this is OK","")</f>
        <v/>
      </c>
      <c r="O30" s="60"/>
    </row>
    <row r="31" spans="2:16" x14ac:dyDescent="0.2">
      <c r="B31" s="59" t="s">
        <v>162</v>
      </c>
      <c r="C31" s="46">
        <f>C$28*C11/1000000</f>
        <v>31214.864606068193</v>
      </c>
      <c r="D31" s="110"/>
      <c r="E31" s="46">
        <f>IF(F2="Composite only","",E$28*E11/1000000)</f>
        <v>31667.253948185116</v>
      </c>
      <c r="F31" s="46" t="str">
        <f>IF(F26="Tubing Only","",F28*F9/1000000)</f>
        <v/>
      </c>
      <c r="G31" s="46">
        <f t="shared" si="0"/>
        <v>31667.253948185116</v>
      </c>
      <c r="H31" s="54">
        <f t="shared" si="1"/>
        <v>101.44927536231883</v>
      </c>
      <c r="I31" s="56" t="str">
        <f>IF(AND(95&lt;H31,H31&lt;100),"Provided your actual tube measures &gt;= your nominal OD and wall this is OK","")</f>
        <v/>
      </c>
      <c r="O31" s="60"/>
    </row>
    <row r="32" spans="2:16" x14ac:dyDescent="0.2">
      <c r="B32" s="59" t="s">
        <v>6</v>
      </c>
      <c r="C32" s="46">
        <f>IF(C14=0,"",C$28*C12/1000000)</f>
        <v>52024.774343446981</v>
      </c>
      <c r="D32" s="110"/>
      <c r="E32" s="46">
        <f>IF(F2="Composite only","",E$28*E12/1000000)</f>
        <v>52778.756580308524</v>
      </c>
      <c r="F32" s="46" t="str">
        <f>IF(F26="tubing only","",F28*F10/1000000)</f>
        <v/>
      </c>
      <c r="G32" s="46">
        <f t="shared" si="0"/>
        <v>52778.756580308524</v>
      </c>
      <c r="H32" s="54">
        <f t="shared" si="1"/>
        <v>101.44927536231883</v>
      </c>
      <c r="I32" s="56" t="str">
        <f>IF(AND(95&lt;H32,H32&lt;100),"Provided your actual tube measures &gt;= your nominal OD and wall this is OK","")</f>
        <v/>
      </c>
      <c r="O32" s="60"/>
    </row>
    <row r="33" spans="2:12" x14ac:dyDescent="0.2">
      <c r="B33" s="59" t="s">
        <v>163</v>
      </c>
      <c r="C33" s="46">
        <f>C14*4*C10*C26/(0.5*C24*1)</f>
        <v>1332.7948959118107</v>
      </c>
      <c r="E33" s="46">
        <f>IF(F2="Composite only","",E14*4*E10*E26/(0.5*E24*1))</f>
        <v>1686.9104746666669</v>
      </c>
      <c r="F33" s="46" t="str">
        <f>IF(F26="tubing only","",4*F10*(F26*2/(F18/1000))/1)</f>
        <v/>
      </c>
      <c r="G33" s="46">
        <f t="shared" si="0"/>
        <v>1686.9104746666669</v>
      </c>
      <c r="H33" s="54">
        <f t="shared" si="1"/>
        <v>126.5693978751767</v>
      </c>
    </row>
    <row r="34" spans="2:12" x14ac:dyDescent="0.2">
      <c r="B34" s="59" t="s">
        <v>164</v>
      </c>
      <c r="C34" s="46">
        <f>IF(C14=0,"",C33*1^3/(48*C27))</f>
        <v>1.1975065616797901E-2</v>
      </c>
      <c r="E34" s="46">
        <f>IF($F$2="tubing only",$C$33*1^3/(48*E27),"")</f>
        <v>8.0105373487577985E-3</v>
      </c>
      <c r="F34" s="46" t="str">
        <f>IF(NOT($F$2="tubing only"),$C$33*1^3/(48*F27),"")</f>
        <v/>
      </c>
      <c r="G34" s="46">
        <f>$C$33*1^3/(48*G27)</f>
        <v>8.0105373487577985E-3</v>
      </c>
      <c r="H34" s="54">
        <f>100*G34/C34</f>
        <v>66.893473531544572</v>
      </c>
    </row>
    <row r="35" spans="2:12" x14ac:dyDescent="0.2">
      <c r="B35" s="59" t="s">
        <v>165</v>
      </c>
      <c r="C35" s="46">
        <f>0.5*C33*(C33*1^3/(48*C27))</f>
        <v>7.9801531661386313</v>
      </c>
      <c r="D35" s="70"/>
      <c r="E35" s="46">
        <f>IF(E24="no tubes","",0.5*E33*(E33*1^3/(48*E27)))</f>
        <v>8.5516989340740768</v>
      </c>
      <c r="F35" s="46" t="str">
        <f>IF(F26="tubing only","",0.5*F33*(F33*1^3/(48*F27)))</f>
        <v/>
      </c>
      <c r="G35" s="46">
        <f>IF($F$2="Tubing only",E35,IF($F$2="Composite only",F35,IF($F$2="Tubes + Composite",E35+F35,"No Type Selected")))</f>
        <v>8.5516989340740768</v>
      </c>
      <c r="H35" s="54">
        <f t="shared" si="1"/>
        <v>107.16209020098295</v>
      </c>
      <c r="J35" s="298" t="s">
        <v>565</v>
      </c>
      <c r="K35" s="298"/>
      <c r="L35" s="298"/>
    </row>
    <row r="37" spans="2:12" s="191" customFormat="1" x14ac:dyDescent="0.2">
      <c r="B37" s="127" t="s">
        <v>281</v>
      </c>
      <c r="C37" s="56"/>
      <c r="D37" s="105"/>
      <c r="E37" s="60"/>
      <c r="F37" s="56"/>
      <c r="G37" s="56"/>
      <c r="H37" s="56"/>
    </row>
    <row r="38" spans="2:12" s="191" customFormat="1" x14ac:dyDescent="0.2">
      <c r="B38" s="24"/>
      <c r="C38" s="25"/>
      <c r="D38" s="25"/>
      <c r="E38" s="25"/>
      <c r="F38" s="25"/>
      <c r="G38" s="25"/>
      <c r="H38" s="25"/>
      <c r="I38" s="25"/>
      <c r="J38" s="25"/>
      <c r="K38" s="25"/>
      <c r="L38" s="26"/>
    </row>
    <row r="39" spans="2:12" s="191" customFormat="1" x14ac:dyDescent="0.2">
      <c r="B39" s="30"/>
      <c r="C39" s="31"/>
      <c r="D39" s="31"/>
      <c r="E39" s="31"/>
      <c r="F39" s="31"/>
      <c r="G39" s="31"/>
      <c r="H39" s="31"/>
      <c r="I39" s="31"/>
      <c r="J39" s="31"/>
      <c r="K39" s="31"/>
      <c r="L39" s="32"/>
    </row>
    <row r="40" spans="2:12" s="191" customFormat="1" x14ac:dyDescent="0.2">
      <c r="B40" s="30"/>
      <c r="C40" s="31"/>
      <c r="D40" s="31"/>
      <c r="E40" s="31"/>
      <c r="F40" s="31"/>
      <c r="G40" s="31"/>
      <c r="H40" s="31"/>
      <c r="I40" s="31"/>
      <c r="J40" s="31"/>
      <c r="K40" s="31"/>
      <c r="L40" s="32"/>
    </row>
    <row r="41" spans="2:12" s="191" customFormat="1" x14ac:dyDescent="0.2">
      <c r="B41" s="30"/>
      <c r="C41" s="31"/>
      <c r="D41" s="31"/>
      <c r="E41" s="31"/>
      <c r="F41" s="31"/>
      <c r="G41" s="31"/>
      <c r="H41" s="31"/>
      <c r="I41" s="31"/>
      <c r="J41" s="31"/>
      <c r="K41" s="31"/>
      <c r="L41" s="32"/>
    </row>
    <row r="42" spans="2:12" s="191" customFormat="1" x14ac:dyDescent="0.2">
      <c r="B42" s="30"/>
      <c r="C42" s="31"/>
      <c r="D42" s="31"/>
      <c r="E42" s="31"/>
      <c r="F42" s="31"/>
      <c r="G42" s="31"/>
      <c r="H42" s="31"/>
      <c r="I42" s="31"/>
      <c r="J42" s="31"/>
      <c r="K42" s="31"/>
      <c r="L42" s="32"/>
    </row>
    <row r="43" spans="2:12" s="191" customFormat="1" x14ac:dyDescent="0.2">
      <c r="B43" s="30"/>
      <c r="C43" s="31"/>
      <c r="D43" s="31"/>
      <c r="E43" s="31"/>
      <c r="F43" s="31"/>
      <c r="G43" s="31"/>
      <c r="H43" s="31"/>
      <c r="I43" s="31"/>
      <c r="J43" s="31"/>
      <c r="K43" s="31"/>
      <c r="L43" s="32"/>
    </row>
    <row r="44" spans="2:12" s="191" customFormat="1" x14ac:dyDescent="0.2">
      <c r="B44" s="30"/>
      <c r="C44" s="31"/>
      <c r="D44" s="31"/>
      <c r="E44" s="31"/>
      <c r="F44" s="31"/>
      <c r="G44" s="31"/>
      <c r="H44" s="31"/>
      <c r="I44" s="31"/>
      <c r="J44" s="31"/>
      <c r="K44" s="31"/>
      <c r="L44" s="32"/>
    </row>
    <row r="45" spans="2:12" s="191" customFormat="1" x14ac:dyDescent="0.2">
      <c r="B45" s="30"/>
      <c r="C45" s="31"/>
      <c r="D45" s="31"/>
      <c r="E45" s="31"/>
      <c r="F45" s="31"/>
      <c r="G45" s="31"/>
      <c r="H45" s="31"/>
      <c r="I45" s="31"/>
      <c r="J45" s="31"/>
      <c r="K45" s="31"/>
      <c r="L45" s="32"/>
    </row>
    <row r="46" spans="2:12" s="191" customFormat="1" x14ac:dyDescent="0.2">
      <c r="B46" s="30"/>
      <c r="C46" s="31"/>
      <c r="D46" s="31"/>
      <c r="E46" s="31"/>
      <c r="F46" s="31"/>
      <c r="G46" s="31"/>
      <c r="H46" s="31"/>
      <c r="I46" s="31"/>
      <c r="J46" s="31"/>
      <c r="K46" s="31"/>
      <c r="L46" s="32"/>
    </row>
    <row r="47" spans="2:12" s="191" customFormat="1" x14ac:dyDescent="0.2">
      <c r="B47" s="30"/>
      <c r="C47" s="31"/>
      <c r="D47" s="31"/>
      <c r="E47" s="31"/>
      <c r="F47" s="31"/>
      <c r="G47" s="31"/>
      <c r="H47" s="31"/>
      <c r="I47" s="31"/>
      <c r="J47" s="31"/>
      <c r="K47" s="31"/>
      <c r="L47" s="32"/>
    </row>
    <row r="48" spans="2:12" s="191" customFormat="1" x14ac:dyDescent="0.2">
      <c r="B48" s="30"/>
      <c r="C48" s="31"/>
      <c r="D48" s="31"/>
      <c r="E48" s="31"/>
      <c r="F48" s="31"/>
      <c r="G48" s="31"/>
      <c r="H48" s="31"/>
      <c r="I48" s="31"/>
      <c r="J48" s="31"/>
      <c r="K48" s="31"/>
      <c r="L48" s="32"/>
    </row>
    <row r="49" spans="2:12" s="191" customFormat="1" x14ac:dyDescent="0.2">
      <c r="B49" s="30"/>
      <c r="C49" s="31"/>
      <c r="D49" s="31"/>
      <c r="E49" s="31"/>
      <c r="F49" s="31"/>
      <c r="G49" s="31"/>
      <c r="H49" s="31"/>
      <c r="I49" s="31"/>
      <c r="J49" s="31"/>
      <c r="K49" s="31"/>
      <c r="L49" s="32"/>
    </row>
    <row r="50" spans="2:12" s="191" customFormat="1" x14ac:dyDescent="0.2">
      <c r="B50" s="30"/>
      <c r="C50" s="31"/>
      <c r="D50" s="31"/>
      <c r="E50" s="31"/>
      <c r="F50" s="31"/>
      <c r="G50" s="31"/>
      <c r="H50" s="31"/>
      <c r="I50" s="31"/>
      <c r="J50" s="31"/>
      <c r="K50" s="31"/>
      <c r="L50" s="32"/>
    </row>
    <row r="51" spans="2:12" s="191" customFormat="1" x14ac:dyDescent="0.2">
      <c r="B51" s="30"/>
      <c r="C51" s="31"/>
      <c r="D51" s="31"/>
      <c r="E51" s="31"/>
      <c r="F51" s="31"/>
      <c r="G51" s="31"/>
      <c r="H51" s="31"/>
      <c r="I51" s="31"/>
      <c r="J51" s="31"/>
      <c r="K51" s="31"/>
      <c r="L51" s="32"/>
    </row>
    <row r="52" spans="2:12" s="191" customFormat="1" x14ac:dyDescent="0.2">
      <c r="B52" s="30"/>
      <c r="C52" s="31"/>
      <c r="D52" s="31"/>
      <c r="E52" s="31"/>
      <c r="F52" s="31"/>
      <c r="G52" s="31"/>
      <c r="H52" s="31"/>
      <c r="I52" s="31"/>
      <c r="J52" s="31"/>
      <c r="K52" s="31"/>
      <c r="L52" s="32"/>
    </row>
    <row r="53" spans="2:12" s="191" customFormat="1" x14ac:dyDescent="0.2">
      <c r="B53" s="30"/>
      <c r="C53" s="31"/>
      <c r="D53" s="31"/>
      <c r="E53" s="31"/>
      <c r="F53" s="31"/>
      <c r="G53" s="31"/>
      <c r="H53" s="31"/>
      <c r="I53" s="31"/>
      <c r="J53" s="31"/>
      <c r="K53" s="31"/>
      <c r="L53" s="32"/>
    </row>
    <row r="54" spans="2:12" s="191" customFormat="1" x14ac:dyDescent="0.2">
      <c r="B54" s="30"/>
      <c r="C54" s="31"/>
      <c r="D54" s="31"/>
      <c r="E54" s="31"/>
      <c r="F54" s="31"/>
      <c r="G54" s="31"/>
      <c r="H54" s="31"/>
      <c r="I54" s="31"/>
      <c r="J54" s="31"/>
      <c r="K54" s="31"/>
      <c r="L54" s="32"/>
    </row>
    <row r="55" spans="2:12" s="191" customFormat="1" x14ac:dyDescent="0.2">
      <c r="B55" s="30"/>
      <c r="C55" s="31"/>
      <c r="D55" s="31"/>
      <c r="E55" s="31"/>
      <c r="F55" s="31"/>
      <c r="G55" s="31"/>
      <c r="H55" s="31"/>
      <c r="I55" s="31"/>
      <c r="J55" s="31"/>
      <c r="K55" s="31"/>
      <c r="L55" s="32"/>
    </row>
    <row r="56" spans="2:12" s="191" customFormat="1" x14ac:dyDescent="0.2">
      <c r="B56" s="30"/>
      <c r="C56" s="31"/>
      <c r="D56" s="31"/>
      <c r="E56" s="31"/>
      <c r="F56" s="31"/>
      <c r="G56" s="31"/>
      <c r="H56" s="31"/>
      <c r="I56" s="31"/>
      <c r="J56" s="31"/>
      <c r="K56" s="31"/>
      <c r="L56" s="32"/>
    </row>
    <row r="57" spans="2:12" s="191" customFormat="1" x14ac:dyDescent="0.2">
      <c r="B57" s="30"/>
      <c r="C57" s="31"/>
      <c r="D57" s="31"/>
      <c r="E57" s="31"/>
      <c r="F57" s="31"/>
      <c r="G57" s="31"/>
      <c r="H57" s="31"/>
      <c r="I57" s="31"/>
      <c r="J57" s="31"/>
      <c r="K57" s="31"/>
      <c r="L57" s="32"/>
    </row>
    <row r="58" spans="2:12" s="191" customFormat="1" x14ac:dyDescent="0.2">
      <c r="B58" s="30"/>
      <c r="C58" s="31"/>
      <c r="D58" s="31"/>
      <c r="E58" s="31"/>
      <c r="F58" s="31"/>
      <c r="G58" s="31"/>
      <c r="H58" s="31"/>
      <c r="I58" s="31"/>
      <c r="J58" s="31"/>
      <c r="K58" s="31"/>
      <c r="L58" s="32"/>
    </row>
    <row r="59" spans="2:12" s="191" customFormat="1" x14ac:dyDescent="0.2">
      <c r="B59" s="30"/>
      <c r="C59" s="31"/>
      <c r="D59" s="31"/>
      <c r="E59" s="31"/>
      <c r="F59" s="31"/>
      <c r="G59" s="31"/>
      <c r="H59" s="31"/>
      <c r="I59" s="31"/>
      <c r="J59" s="31"/>
      <c r="K59" s="31"/>
      <c r="L59" s="32"/>
    </row>
    <row r="60" spans="2:12" s="191" customFormat="1" x14ac:dyDescent="0.2">
      <c r="B60" s="30"/>
      <c r="C60" s="31"/>
      <c r="D60" s="31"/>
      <c r="E60" s="31"/>
      <c r="F60" s="31"/>
      <c r="G60" s="31"/>
      <c r="H60" s="31"/>
      <c r="I60" s="31"/>
      <c r="J60" s="31"/>
      <c r="K60" s="31"/>
      <c r="L60" s="32"/>
    </row>
    <row r="61" spans="2:12" s="191" customFormat="1" x14ac:dyDescent="0.2">
      <c r="B61" s="30"/>
      <c r="C61" s="31"/>
      <c r="D61" s="31"/>
      <c r="E61" s="31"/>
      <c r="F61" s="31"/>
      <c r="G61" s="31"/>
      <c r="H61" s="31"/>
      <c r="I61" s="31"/>
      <c r="J61" s="31"/>
      <c r="K61" s="31"/>
      <c r="L61" s="32"/>
    </row>
    <row r="62" spans="2:12" s="191" customFormat="1" x14ac:dyDescent="0.2">
      <c r="B62" s="30"/>
      <c r="C62" s="31"/>
      <c r="D62" s="31"/>
      <c r="E62" s="31"/>
      <c r="F62" s="31"/>
      <c r="G62" s="31"/>
      <c r="H62" s="31"/>
      <c r="I62" s="31"/>
      <c r="J62" s="31"/>
      <c r="K62" s="31"/>
      <c r="L62" s="32"/>
    </row>
    <row r="63" spans="2:12" s="191" customFormat="1" x14ac:dyDescent="0.2">
      <c r="B63" s="30"/>
      <c r="C63" s="31"/>
      <c r="D63" s="31"/>
      <c r="E63" s="31"/>
      <c r="F63" s="31"/>
      <c r="G63" s="31"/>
      <c r="H63" s="31"/>
      <c r="I63" s="31"/>
      <c r="J63" s="31"/>
      <c r="K63" s="31"/>
      <c r="L63" s="32"/>
    </row>
    <row r="64" spans="2:12" s="191" customFormat="1" x14ac:dyDescent="0.2">
      <c r="B64" s="30"/>
      <c r="C64" s="31"/>
      <c r="D64" s="31"/>
      <c r="E64" s="31"/>
      <c r="F64" s="31"/>
      <c r="G64" s="31"/>
      <c r="H64" s="31"/>
      <c r="I64" s="31"/>
      <c r="J64" s="31"/>
      <c r="K64" s="31"/>
      <c r="L64" s="32"/>
    </row>
    <row r="65" spans="2:12" s="191" customFormat="1" x14ac:dyDescent="0.2">
      <c r="B65" s="30"/>
      <c r="C65" s="31"/>
      <c r="D65" s="31"/>
      <c r="E65" s="31"/>
      <c r="F65" s="31"/>
      <c r="G65" s="31"/>
      <c r="H65" s="31"/>
      <c r="I65" s="31"/>
      <c r="J65" s="31"/>
      <c r="K65" s="31"/>
      <c r="L65" s="32"/>
    </row>
    <row r="66" spans="2:12" s="191" customFormat="1" x14ac:dyDescent="0.2">
      <c r="B66" s="30"/>
      <c r="C66" s="31"/>
      <c r="D66" s="31"/>
      <c r="E66" s="31"/>
      <c r="F66" s="31"/>
      <c r="G66" s="31"/>
      <c r="H66" s="31"/>
      <c r="I66" s="31"/>
      <c r="J66" s="31"/>
      <c r="K66" s="31"/>
      <c r="L66" s="32"/>
    </row>
    <row r="67" spans="2:12" s="191" customFormat="1" x14ac:dyDescent="0.2">
      <c r="B67" s="30"/>
      <c r="C67" s="31"/>
      <c r="D67" s="31"/>
      <c r="E67" s="31"/>
      <c r="F67" s="31"/>
      <c r="G67" s="31"/>
      <c r="H67" s="31"/>
      <c r="I67" s="31"/>
      <c r="J67" s="31"/>
      <c r="K67" s="31"/>
      <c r="L67" s="32"/>
    </row>
    <row r="68" spans="2:12" s="191" customFormat="1" x14ac:dyDescent="0.2">
      <c r="B68" s="30"/>
      <c r="C68" s="31"/>
      <c r="D68" s="31"/>
      <c r="E68" s="31"/>
      <c r="F68" s="31"/>
      <c r="G68" s="31"/>
      <c r="H68" s="31"/>
      <c r="I68" s="31"/>
      <c r="J68" s="31"/>
      <c r="K68" s="31"/>
      <c r="L68" s="32"/>
    </row>
    <row r="69" spans="2:12" s="191" customFormat="1" x14ac:dyDescent="0.2">
      <c r="B69" s="30"/>
      <c r="C69" s="31"/>
      <c r="D69" s="31"/>
      <c r="E69" s="31"/>
      <c r="F69" s="31"/>
      <c r="G69" s="31"/>
      <c r="H69" s="31"/>
      <c r="I69" s="31"/>
      <c r="J69" s="31"/>
      <c r="K69" s="31"/>
      <c r="L69" s="32"/>
    </row>
    <row r="70" spans="2:12" s="191" customFormat="1" x14ac:dyDescent="0.2">
      <c r="B70" s="30"/>
      <c r="C70" s="31"/>
      <c r="D70" s="31"/>
      <c r="E70" s="31"/>
      <c r="F70" s="31"/>
      <c r="G70" s="31"/>
      <c r="H70" s="31"/>
      <c r="I70" s="31"/>
      <c r="J70" s="31"/>
      <c r="K70" s="31"/>
      <c r="L70" s="32"/>
    </row>
    <row r="71" spans="2:12" s="191" customFormat="1" x14ac:dyDescent="0.2">
      <c r="B71" s="30"/>
      <c r="C71" s="31"/>
      <c r="D71" s="31"/>
      <c r="E71" s="31"/>
      <c r="F71" s="31"/>
      <c r="G71" s="31"/>
      <c r="H71" s="31"/>
      <c r="I71" s="31"/>
      <c r="J71" s="31"/>
      <c r="K71" s="31"/>
      <c r="L71" s="32"/>
    </row>
    <row r="72" spans="2:12" s="191" customFormat="1" x14ac:dyDescent="0.2">
      <c r="B72" s="30"/>
      <c r="C72" s="31"/>
      <c r="D72" s="31"/>
      <c r="E72" s="31"/>
      <c r="F72" s="31"/>
      <c r="G72" s="31"/>
      <c r="H72" s="31"/>
      <c r="I72" s="31"/>
      <c r="J72" s="31"/>
      <c r="K72" s="31"/>
      <c r="L72" s="32"/>
    </row>
    <row r="73" spans="2:12" s="191" customFormat="1" x14ac:dyDescent="0.2">
      <c r="B73" s="30"/>
      <c r="C73" s="31"/>
      <c r="D73" s="31"/>
      <c r="E73" s="31"/>
      <c r="F73" s="31"/>
      <c r="G73" s="31"/>
      <c r="H73" s="31"/>
      <c r="I73" s="31"/>
      <c r="J73" s="31"/>
      <c r="K73" s="31"/>
      <c r="L73" s="32"/>
    </row>
    <row r="74" spans="2:12" s="191" customFormat="1" x14ac:dyDescent="0.2">
      <c r="B74" s="30"/>
      <c r="C74" s="31"/>
      <c r="D74" s="31"/>
      <c r="E74" s="31"/>
      <c r="F74" s="31"/>
      <c r="G74" s="31"/>
      <c r="H74" s="31"/>
      <c r="I74" s="31"/>
      <c r="J74" s="31"/>
      <c r="K74" s="31"/>
      <c r="L74" s="32"/>
    </row>
    <row r="75" spans="2:12" s="191" customFormat="1" x14ac:dyDescent="0.2">
      <c r="B75" s="30"/>
      <c r="C75" s="31"/>
      <c r="D75" s="31"/>
      <c r="E75" s="31"/>
      <c r="F75" s="31"/>
      <c r="G75" s="31"/>
      <c r="H75" s="31"/>
      <c r="I75" s="31"/>
      <c r="J75" s="31"/>
      <c r="K75" s="31"/>
      <c r="L75" s="32"/>
    </row>
    <row r="76" spans="2:12" s="191" customFormat="1" x14ac:dyDescent="0.2">
      <c r="B76" s="30"/>
      <c r="C76" s="31"/>
      <c r="D76" s="31"/>
      <c r="E76" s="31"/>
      <c r="F76" s="31"/>
      <c r="G76" s="31"/>
      <c r="H76" s="31"/>
      <c r="I76" s="31"/>
      <c r="J76" s="31"/>
      <c r="K76" s="31"/>
      <c r="L76" s="32"/>
    </row>
    <row r="77" spans="2:12" s="191" customFormat="1" x14ac:dyDescent="0.2">
      <c r="B77" s="30"/>
      <c r="C77" s="31"/>
      <c r="D77" s="31"/>
      <c r="E77" s="31"/>
      <c r="F77" s="31"/>
      <c r="G77" s="31"/>
      <c r="H77" s="31"/>
      <c r="I77" s="31"/>
      <c r="J77" s="31"/>
      <c r="K77" s="31"/>
      <c r="L77" s="32"/>
    </row>
    <row r="78" spans="2:12" s="191" customFormat="1" x14ac:dyDescent="0.2">
      <c r="B78" s="30"/>
      <c r="C78" s="31"/>
      <c r="D78" s="31"/>
      <c r="E78" s="31"/>
      <c r="F78" s="31"/>
      <c r="G78" s="31"/>
      <c r="H78" s="31"/>
      <c r="I78" s="31"/>
      <c r="J78" s="31"/>
      <c r="K78" s="31"/>
      <c r="L78" s="32"/>
    </row>
    <row r="79" spans="2:12" s="191" customFormat="1" x14ac:dyDescent="0.2">
      <c r="B79" s="30"/>
      <c r="C79" s="31"/>
      <c r="D79" s="31"/>
      <c r="E79" s="31"/>
      <c r="F79" s="31"/>
      <c r="G79" s="31"/>
      <c r="H79" s="31"/>
      <c r="I79" s="31"/>
      <c r="J79" s="31"/>
      <c r="K79" s="31"/>
      <c r="L79" s="32"/>
    </row>
    <row r="80" spans="2:12" s="191" customFormat="1" x14ac:dyDescent="0.2">
      <c r="B80" s="30"/>
      <c r="C80" s="31"/>
      <c r="D80" s="31"/>
      <c r="E80" s="31"/>
      <c r="F80" s="31"/>
      <c r="G80" s="31"/>
      <c r="H80" s="31"/>
      <c r="I80" s="31"/>
      <c r="J80" s="31"/>
      <c r="K80" s="31"/>
      <c r="L80" s="32"/>
    </row>
    <row r="81" spans="2:12" s="191" customFormat="1" x14ac:dyDescent="0.2">
      <c r="B81" s="30"/>
      <c r="C81" s="31"/>
      <c r="D81" s="31"/>
      <c r="E81" s="31"/>
      <c r="F81" s="31"/>
      <c r="G81" s="31"/>
      <c r="H81" s="31"/>
      <c r="I81" s="31"/>
      <c r="J81" s="31"/>
      <c r="K81" s="31"/>
      <c r="L81" s="32"/>
    </row>
    <row r="82" spans="2:12" s="191" customFormat="1" x14ac:dyDescent="0.2">
      <c r="B82" s="30"/>
      <c r="C82" s="31"/>
      <c r="D82" s="31"/>
      <c r="E82" s="31"/>
      <c r="F82" s="31"/>
      <c r="G82" s="31"/>
      <c r="H82" s="31"/>
      <c r="I82" s="31"/>
      <c r="J82" s="31"/>
      <c r="K82" s="31"/>
      <c r="L82" s="32"/>
    </row>
    <row r="83" spans="2:12" s="191" customFormat="1" x14ac:dyDescent="0.2">
      <c r="B83" s="30"/>
      <c r="C83" s="31"/>
      <c r="D83" s="31"/>
      <c r="E83" s="31"/>
      <c r="F83" s="31"/>
      <c r="G83" s="31"/>
      <c r="H83" s="31"/>
      <c r="I83" s="31"/>
      <c r="J83" s="31"/>
      <c r="K83" s="31"/>
      <c r="L83" s="32"/>
    </row>
    <row r="84" spans="2:12" s="191" customFormat="1" x14ac:dyDescent="0.2">
      <c r="B84" s="30"/>
      <c r="C84" s="31"/>
      <c r="D84" s="31"/>
      <c r="E84" s="31"/>
      <c r="F84" s="31"/>
      <c r="G84" s="31"/>
      <c r="H84" s="31"/>
      <c r="I84" s="31"/>
      <c r="J84" s="31"/>
      <c r="K84" s="31"/>
      <c r="L84" s="32"/>
    </row>
    <row r="85" spans="2:12" s="191" customFormat="1" x14ac:dyDescent="0.2">
      <c r="B85" s="30"/>
      <c r="C85" s="31"/>
      <c r="D85" s="31"/>
      <c r="E85" s="31"/>
      <c r="F85" s="31"/>
      <c r="G85" s="31"/>
      <c r="H85" s="31"/>
      <c r="I85" s="31"/>
      <c r="J85" s="31"/>
      <c r="K85" s="31"/>
      <c r="L85" s="32"/>
    </row>
    <row r="86" spans="2:12" s="191" customFormat="1" x14ac:dyDescent="0.2">
      <c r="B86" s="30"/>
      <c r="C86" s="31"/>
      <c r="D86" s="31"/>
      <c r="E86" s="31"/>
      <c r="F86" s="31"/>
      <c r="G86" s="31"/>
      <c r="H86" s="31"/>
      <c r="I86" s="31"/>
      <c r="J86" s="31"/>
      <c r="K86" s="31"/>
      <c r="L86" s="32"/>
    </row>
    <row r="87" spans="2:12" s="191" customFormat="1" x14ac:dyDescent="0.2">
      <c r="B87" s="30"/>
      <c r="C87" s="31"/>
      <c r="D87" s="31"/>
      <c r="E87" s="31"/>
      <c r="F87" s="31"/>
      <c r="G87" s="31"/>
      <c r="H87" s="31"/>
      <c r="I87" s="31"/>
      <c r="J87" s="31"/>
      <c r="K87" s="31"/>
      <c r="L87" s="32"/>
    </row>
    <row r="88" spans="2:12" s="191" customFormat="1" x14ac:dyDescent="0.2">
      <c r="B88" s="30"/>
      <c r="C88" s="31"/>
      <c r="D88" s="31"/>
      <c r="E88" s="31"/>
      <c r="F88" s="31"/>
      <c r="G88" s="31"/>
      <c r="H88" s="31"/>
      <c r="I88" s="31"/>
      <c r="J88" s="31"/>
      <c r="K88" s="31"/>
      <c r="L88" s="32"/>
    </row>
    <row r="89" spans="2:12" s="191" customFormat="1" x14ac:dyDescent="0.2">
      <c r="B89" s="30"/>
      <c r="C89" s="31"/>
      <c r="D89" s="31"/>
      <c r="E89" s="31"/>
      <c r="F89" s="31"/>
      <c r="G89" s="31"/>
      <c r="H89" s="31"/>
      <c r="I89" s="31"/>
      <c r="J89" s="31"/>
      <c r="K89" s="31"/>
      <c r="L89" s="32"/>
    </row>
    <row r="90" spans="2:12" s="191" customFormat="1" x14ac:dyDescent="0.2">
      <c r="B90" s="30"/>
      <c r="C90" s="31"/>
      <c r="D90" s="31"/>
      <c r="E90" s="31"/>
      <c r="F90" s="31"/>
      <c r="G90" s="31"/>
      <c r="H90" s="31"/>
      <c r="I90" s="31"/>
      <c r="J90" s="31"/>
      <c r="K90" s="31"/>
      <c r="L90" s="32"/>
    </row>
    <row r="91" spans="2:12" s="191" customFormat="1" x14ac:dyDescent="0.2">
      <c r="B91" s="30"/>
      <c r="C91" s="31"/>
      <c r="D91" s="31"/>
      <c r="E91" s="31"/>
      <c r="F91" s="31"/>
      <c r="G91" s="31"/>
      <c r="H91" s="31"/>
      <c r="I91" s="31"/>
      <c r="J91" s="31"/>
      <c r="K91" s="31"/>
      <c r="L91" s="32"/>
    </row>
    <row r="92" spans="2:12" s="191" customFormat="1" x14ac:dyDescent="0.2">
      <c r="B92" s="30"/>
      <c r="C92" s="31"/>
      <c r="D92" s="31"/>
      <c r="E92" s="31"/>
      <c r="F92" s="31"/>
      <c r="G92" s="31"/>
      <c r="H92" s="31"/>
      <c r="I92" s="31"/>
      <c r="J92" s="31"/>
      <c r="K92" s="31"/>
      <c r="L92" s="32"/>
    </row>
    <row r="93" spans="2:12" s="191" customFormat="1" x14ac:dyDescent="0.2">
      <c r="B93" s="30"/>
      <c r="C93" s="31"/>
      <c r="D93" s="31"/>
      <c r="E93" s="31"/>
      <c r="F93" s="31"/>
      <c r="G93" s="31"/>
      <c r="H93" s="31"/>
      <c r="I93" s="31"/>
      <c r="J93" s="31"/>
      <c r="K93" s="31"/>
      <c r="L93" s="32"/>
    </row>
    <row r="94" spans="2:12" s="191" customFormat="1" x14ac:dyDescent="0.2">
      <c r="B94" s="30"/>
      <c r="C94" s="31"/>
      <c r="D94" s="31"/>
      <c r="E94" s="31"/>
      <c r="F94" s="31"/>
      <c r="G94" s="31"/>
      <c r="H94" s="31"/>
      <c r="I94" s="31"/>
      <c r="J94" s="31"/>
      <c r="K94" s="31"/>
      <c r="L94" s="32"/>
    </row>
    <row r="95" spans="2:12" s="191" customFormat="1" x14ac:dyDescent="0.2">
      <c r="B95" s="30"/>
      <c r="C95" s="31"/>
      <c r="D95" s="31"/>
      <c r="E95" s="31"/>
      <c r="F95" s="31"/>
      <c r="G95" s="31"/>
      <c r="H95" s="31"/>
      <c r="I95" s="31"/>
      <c r="J95" s="31"/>
      <c r="K95" s="31"/>
      <c r="L95" s="32"/>
    </row>
    <row r="96" spans="2:12" s="191" customFormat="1" x14ac:dyDescent="0.2">
      <c r="B96" s="30"/>
      <c r="C96" s="31"/>
      <c r="D96" s="31"/>
      <c r="E96" s="31"/>
      <c r="F96" s="31"/>
      <c r="G96" s="31"/>
      <c r="H96" s="31"/>
      <c r="I96" s="31"/>
      <c r="J96" s="31"/>
      <c r="K96" s="31"/>
      <c r="L96" s="32"/>
    </row>
    <row r="97" spans="2:12" s="191" customFormat="1" x14ac:dyDescent="0.2">
      <c r="B97" s="30"/>
      <c r="C97" s="31"/>
      <c r="D97" s="31"/>
      <c r="E97" s="31"/>
      <c r="F97" s="31"/>
      <c r="G97" s="31"/>
      <c r="H97" s="31"/>
      <c r="I97" s="31"/>
      <c r="J97" s="31"/>
      <c r="K97" s="31"/>
      <c r="L97" s="32"/>
    </row>
    <row r="98" spans="2:12" s="191" customFormat="1" x14ac:dyDescent="0.2">
      <c r="B98" s="30"/>
      <c r="C98" s="31"/>
      <c r="D98" s="31"/>
      <c r="E98" s="31"/>
      <c r="F98" s="31"/>
      <c r="G98" s="31"/>
      <c r="H98" s="31"/>
      <c r="I98" s="31"/>
      <c r="J98" s="31"/>
      <c r="K98" s="31"/>
      <c r="L98" s="32"/>
    </row>
    <row r="99" spans="2:12" s="191" customFormat="1" x14ac:dyDescent="0.2">
      <c r="B99" s="30"/>
      <c r="C99" s="31"/>
      <c r="D99" s="31"/>
      <c r="E99" s="31"/>
      <c r="F99" s="31"/>
      <c r="G99" s="31"/>
      <c r="H99" s="31"/>
      <c r="I99" s="31"/>
      <c r="J99" s="31"/>
      <c r="K99" s="31"/>
      <c r="L99" s="32"/>
    </row>
    <row r="100" spans="2:12" s="191" customFormat="1" x14ac:dyDescent="0.2">
      <c r="B100" s="30"/>
      <c r="C100" s="31"/>
      <c r="D100" s="31"/>
      <c r="E100" s="31"/>
      <c r="F100" s="31"/>
      <c r="G100" s="31"/>
      <c r="H100" s="31"/>
      <c r="I100" s="31"/>
      <c r="J100" s="31"/>
      <c r="K100" s="31"/>
      <c r="L100" s="32"/>
    </row>
    <row r="101" spans="2:12" s="191" customFormat="1" x14ac:dyDescent="0.2">
      <c r="B101" s="30"/>
      <c r="C101" s="31"/>
      <c r="D101" s="31"/>
      <c r="E101" s="31"/>
      <c r="F101" s="31"/>
      <c r="G101" s="31"/>
      <c r="H101" s="31"/>
      <c r="I101" s="31"/>
      <c r="J101" s="31"/>
      <c r="K101" s="31"/>
      <c r="L101" s="32"/>
    </row>
    <row r="102" spans="2:12" s="191" customFormat="1" x14ac:dyDescent="0.2">
      <c r="B102" s="30"/>
      <c r="C102" s="31"/>
      <c r="D102" s="31"/>
      <c r="E102" s="31"/>
      <c r="F102" s="31"/>
      <c r="G102" s="31"/>
      <c r="H102" s="31"/>
      <c r="I102" s="31"/>
      <c r="J102" s="31"/>
      <c r="K102" s="31"/>
      <c r="L102" s="32"/>
    </row>
    <row r="103" spans="2:12" s="191" customFormat="1" x14ac:dyDescent="0.2">
      <c r="B103" s="30"/>
      <c r="C103" s="31"/>
      <c r="D103" s="31"/>
      <c r="E103" s="31"/>
      <c r="F103" s="31"/>
      <c r="G103" s="31"/>
      <c r="H103" s="31"/>
      <c r="I103" s="31"/>
      <c r="J103" s="31"/>
      <c r="K103" s="31"/>
      <c r="L103" s="32"/>
    </row>
    <row r="104" spans="2:12" s="191" customFormat="1" x14ac:dyDescent="0.2">
      <c r="B104" s="30"/>
      <c r="C104" s="31"/>
      <c r="D104" s="31"/>
      <c r="E104" s="31"/>
      <c r="F104" s="31"/>
      <c r="G104" s="31"/>
      <c r="H104" s="31"/>
      <c r="I104" s="31"/>
      <c r="J104" s="31"/>
      <c r="K104" s="31"/>
      <c r="L104" s="32"/>
    </row>
    <row r="105" spans="2:12" s="191" customFormat="1" x14ac:dyDescent="0.2">
      <c r="B105" s="30"/>
      <c r="C105" s="31"/>
      <c r="D105" s="31"/>
      <c r="E105" s="31"/>
      <c r="F105" s="31"/>
      <c r="G105" s="31"/>
      <c r="H105" s="31"/>
      <c r="I105" s="31"/>
      <c r="J105" s="31"/>
      <c r="K105" s="31"/>
      <c r="L105" s="32"/>
    </row>
    <row r="106" spans="2:12" s="191" customFormat="1" x14ac:dyDescent="0.2">
      <c r="B106" s="30"/>
      <c r="C106" s="31"/>
      <c r="D106" s="31"/>
      <c r="E106" s="31"/>
      <c r="F106" s="31"/>
      <c r="G106" s="31"/>
      <c r="H106" s="31"/>
      <c r="I106" s="31"/>
      <c r="J106" s="31"/>
      <c r="K106" s="31"/>
      <c r="L106" s="32"/>
    </row>
    <row r="107" spans="2:12" s="191" customFormat="1" x14ac:dyDescent="0.2">
      <c r="B107" s="30"/>
      <c r="C107" s="31"/>
      <c r="D107" s="31"/>
      <c r="E107" s="31"/>
      <c r="F107" s="31"/>
      <c r="G107" s="31"/>
      <c r="H107" s="31"/>
      <c r="I107" s="31"/>
      <c r="J107" s="31"/>
      <c r="K107" s="31"/>
      <c r="L107" s="32"/>
    </row>
    <row r="108" spans="2:12" s="191" customFormat="1" x14ac:dyDescent="0.2">
      <c r="B108" s="30"/>
      <c r="C108" s="31"/>
      <c r="D108" s="31"/>
      <c r="E108" s="31"/>
      <c r="F108" s="31"/>
      <c r="G108" s="31"/>
      <c r="H108" s="31"/>
      <c r="I108" s="31"/>
      <c r="J108" s="31"/>
      <c r="K108" s="31"/>
      <c r="L108" s="32"/>
    </row>
    <row r="109" spans="2:12" s="191" customFormat="1" x14ac:dyDescent="0.2">
      <c r="B109" s="30"/>
      <c r="C109" s="31"/>
      <c r="D109" s="31"/>
      <c r="E109" s="31"/>
      <c r="F109" s="31"/>
      <c r="G109" s="31"/>
      <c r="H109" s="31"/>
      <c r="I109" s="31"/>
      <c r="J109" s="31"/>
      <c r="K109" s="31"/>
      <c r="L109" s="32"/>
    </row>
    <row r="110" spans="2:12" s="191" customFormat="1" x14ac:dyDescent="0.2">
      <c r="B110" s="30"/>
      <c r="C110" s="31"/>
      <c r="D110" s="31"/>
      <c r="E110" s="31"/>
      <c r="F110" s="31"/>
      <c r="G110" s="31"/>
      <c r="H110" s="31"/>
      <c r="I110" s="31"/>
      <c r="J110" s="31"/>
      <c r="K110" s="31"/>
      <c r="L110" s="32"/>
    </row>
    <row r="111" spans="2:12" s="191" customFormat="1" x14ac:dyDescent="0.2">
      <c r="B111" s="30"/>
      <c r="C111" s="31"/>
      <c r="D111" s="31"/>
      <c r="E111" s="31"/>
      <c r="F111" s="31"/>
      <c r="G111" s="31"/>
      <c r="H111" s="31"/>
      <c r="I111" s="31"/>
      <c r="J111" s="31"/>
      <c r="K111" s="31"/>
      <c r="L111" s="32"/>
    </row>
    <row r="112" spans="2:12" s="191" customFormat="1" x14ac:dyDescent="0.2">
      <c r="B112" s="30"/>
      <c r="C112" s="31"/>
      <c r="D112" s="31"/>
      <c r="E112" s="31"/>
      <c r="F112" s="31"/>
      <c r="G112" s="31"/>
      <c r="H112" s="31"/>
      <c r="I112" s="31"/>
      <c r="J112" s="31"/>
      <c r="K112" s="31"/>
      <c r="L112" s="32"/>
    </row>
    <row r="113" spans="2:12" s="191" customFormat="1" x14ac:dyDescent="0.2">
      <c r="B113" s="30"/>
      <c r="C113" s="31"/>
      <c r="D113" s="31"/>
      <c r="E113" s="31"/>
      <c r="F113" s="31"/>
      <c r="G113" s="31"/>
      <c r="H113" s="31"/>
      <c r="I113" s="31"/>
      <c r="J113" s="31"/>
      <c r="K113" s="31"/>
      <c r="L113" s="32"/>
    </row>
    <row r="114" spans="2:12" s="191" customFormat="1" x14ac:dyDescent="0.2">
      <c r="B114" s="30"/>
      <c r="C114" s="31"/>
      <c r="D114" s="31"/>
      <c r="E114" s="31"/>
      <c r="F114" s="31"/>
      <c r="G114" s="31"/>
      <c r="H114" s="31"/>
      <c r="I114" s="31"/>
      <c r="J114" s="31"/>
      <c r="K114" s="31"/>
      <c r="L114" s="32"/>
    </row>
    <row r="115" spans="2:12" s="191" customFormat="1" x14ac:dyDescent="0.2">
      <c r="B115" s="30"/>
      <c r="C115" s="31"/>
      <c r="D115" s="31"/>
      <c r="E115" s="31"/>
      <c r="F115" s="31"/>
      <c r="G115" s="31"/>
      <c r="H115" s="31"/>
      <c r="I115" s="31"/>
      <c r="J115" s="31"/>
      <c r="K115" s="31"/>
      <c r="L115" s="32"/>
    </row>
    <row r="116" spans="2:12" s="191" customFormat="1" x14ac:dyDescent="0.2">
      <c r="B116" s="30"/>
      <c r="C116" s="31"/>
      <c r="D116" s="31"/>
      <c r="E116" s="31"/>
      <c r="F116" s="31"/>
      <c r="G116" s="31"/>
      <c r="H116" s="31"/>
      <c r="I116" s="31"/>
      <c r="J116" s="31"/>
      <c r="K116" s="31"/>
      <c r="L116" s="32"/>
    </row>
    <row r="117" spans="2:12" s="191" customFormat="1" x14ac:dyDescent="0.2">
      <c r="B117" s="30"/>
      <c r="C117" s="31"/>
      <c r="D117" s="31"/>
      <c r="E117" s="31"/>
      <c r="F117" s="31"/>
      <c r="G117" s="31"/>
      <c r="H117" s="31"/>
      <c r="I117" s="31"/>
      <c r="J117" s="31"/>
      <c r="K117" s="31"/>
      <c r="L117" s="32"/>
    </row>
    <row r="118" spans="2:12" s="191" customFormat="1" x14ac:dyDescent="0.2">
      <c r="B118" s="30"/>
      <c r="C118" s="31"/>
      <c r="D118" s="31"/>
      <c r="E118" s="31"/>
      <c r="F118" s="31"/>
      <c r="G118" s="31"/>
      <c r="H118" s="31"/>
      <c r="I118" s="31"/>
      <c r="J118" s="31"/>
      <c r="K118" s="31"/>
      <c r="L118" s="32"/>
    </row>
    <row r="119" spans="2:12" s="191" customFormat="1" x14ac:dyDescent="0.2">
      <c r="B119" s="30"/>
      <c r="C119" s="31"/>
      <c r="D119" s="31"/>
      <c r="E119" s="31"/>
      <c r="F119" s="31"/>
      <c r="G119" s="31"/>
      <c r="H119" s="31"/>
      <c r="I119" s="31"/>
      <c r="J119" s="31"/>
      <c r="K119" s="31"/>
      <c r="L119" s="32"/>
    </row>
    <row r="120" spans="2:12" s="191" customFormat="1" x14ac:dyDescent="0.2">
      <c r="B120" s="30"/>
      <c r="C120" s="31"/>
      <c r="D120" s="31"/>
      <c r="E120" s="31"/>
      <c r="F120" s="31"/>
      <c r="G120" s="31"/>
      <c r="H120" s="31"/>
      <c r="I120" s="31"/>
      <c r="J120" s="31"/>
      <c r="K120" s="31"/>
      <c r="L120" s="32"/>
    </row>
    <row r="121" spans="2:12" s="191" customFormat="1" x14ac:dyDescent="0.2">
      <c r="B121" s="30"/>
      <c r="C121" s="31"/>
      <c r="D121" s="31"/>
      <c r="E121" s="31"/>
      <c r="F121" s="31"/>
      <c r="G121" s="31"/>
      <c r="H121" s="31"/>
      <c r="I121" s="31"/>
      <c r="J121" s="31"/>
      <c r="K121" s="31"/>
      <c r="L121" s="32"/>
    </row>
    <row r="122" spans="2:12" s="191" customFormat="1" x14ac:dyDescent="0.2">
      <c r="B122" s="30"/>
      <c r="C122" s="31"/>
      <c r="D122" s="31"/>
      <c r="E122" s="31"/>
      <c r="F122" s="31"/>
      <c r="G122" s="31"/>
      <c r="H122" s="31"/>
      <c r="I122" s="31"/>
      <c r="J122" s="31"/>
      <c r="K122" s="31"/>
      <c r="L122" s="32"/>
    </row>
    <row r="123" spans="2:12" s="191" customFormat="1" x14ac:dyDescent="0.2">
      <c r="B123" s="30"/>
      <c r="C123" s="31"/>
      <c r="D123" s="31"/>
      <c r="E123" s="31"/>
      <c r="F123" s="31"/>
      <c r="G123" s="31"/>
      <c r="H123" s="31"/>
      <c r="I123" s="31"/>
      <c r="J123" s="31"/>
      <c r="K123" s="31"/>
      <c r="L123" s="32"/>
    </row>
    <row r="124" spans="2:12" s="191" customFormat="1" x14ac:dyDescent="0.2">
      <c r="B124" s="30"/>
      <c r="C124" s="31"/>
      <c r="D124" s="31"/>
      <c r="E124" s="31"/>
      <c r="F124" s="31"/>
      <c r="G124" s="31"/>
      <c r="H124" s="31"/>
      <c r="I124" s="31"/>
      <c r="J124" s="31"/>
      <c r="K124" s="31"/>
      <c r="L124" s="32"/>
    </row>
    <row r="125" spans="2:12" s="191" customFormat="1" x14ac:dyDescent="0.2">
      <c r="B125" s="30"/>
      <c r="C125" s="31"/>
      <c r="D125" s="31"/>
      <c r="E125" s="31"/>
      <c r="F125" s="31"/>
      <c r="G125" s="31"/>
      <c r="H125" s="31"/>
      <c r="I125" s="31"/>
      <c r="J125" s="31"/>
      <c r="K125" s="31"/>
      <c r="L125" s="32"/>
    </row>
    <row r="126" spans="2:12" s="191" customFormat="1" x14ac:dyDescent="0.2">
      <c r="B126" s="30"/>
      <c r="C126" s="31"/>
      <c r="D126" s="31"/>
      <c r="E126" s="31"/>
      <c r="F126" s="31"/>
      <c r="G126" s="31"/>
      <c r="H126" s="31"/>
      <c r="I126" s="31"/>
      <c r="J126" s="31"/>
      <c r="K126" s="31"/>
      <c r="L126" s="32"/>
    </row>
    <row r="127" spans="2:12" s="191" customFormat="1" x14ac:dyDescent="0.2">
      <c r="B127" s="30"/>
      <c r="C127" s="31"/>
      <c r="D127" s="31"/>
      <c r="E127" s="31"/>
      <c r="F127" s="31"/>
      <c r="G127" s="31"/>
      <c r="H127" s="31"/>
      <c r="I127" s="31"/>
      <c r="J127" s="31"/>
      <c r="K127" s="31"/>
      <c r="L127" s="32"/>
    </row>
    <row r="128" spans="2:12" s="191" customFormat="1" x14ac:dyDescent="0.2">
      <c r="B128" s="30"/>
      <c r="C128" s="31"/>
      <c r="D128" s="31"/>
      <c r="E128" s="31"/>
      <c r="F128" s="31"/>
      <c r="G128" s="31"/>
      <c r="H128" s="31"/>
      <c r="I128" s="31"/>
      <c r="J128" s="31"/>
      <c r="K128" s="31"/>
      <c r="L128" s="32"/>
    </row>
    <row r="129" spans="2:12" s="191" customFormat="1" x14ac:dyDescent="0.2">
      <c r="B129" s="30"/>
      <c r="C129" s="31"/>
      <c r="D129" s="31"/>
      <c r="E129" s="31"/>
      <c r="F129" s="31"/>
      <c r="G129" s="31"/>
      <c r="H129" s="31"/>
      <c r="I129" s="31"/>
      <c r="J129" s="31"/>
      <c r="K129" s="31"/>
      <c r="L129" s="32"/>
    </row>
    <row r="130" spans="2:12" s="191" customFormat="1" x14ac:dyDescent="0.2">
      <c r="B130" s="30"/>
      <c r="C130" s="31"/>
      <c r="D130" s="31"/>
      <c r="E130" s="31"/>
      <c r="F130" s="31"/>
      <c r="G130" s="31"/>
      <c r="H130" s="31"/>
      <c r="I130" s="31"/>
      <c r="J130" s="31"/>
      <c r="K130" s="31"/>
      <c r="L130" s="32"/>
    </row>
    <row r="131" spans="2:12" s="191" customFormat="1" x14ac:dyDescent="0.2">
      <c r="B131" s="30"/>
      <c r="C131" s="31"/>
      <c r="D131" s="31"/>
      <c r="E131" s="31"/>
      <c r="F131" s="31"/>
      <c r="G131" s="31"/>
      <c r="H131" s="31"/>
      <c r="I131" s="31"/>
      <c r="J131" s="31"/>
      <c r="K131" s="31"/>
      <c r="L131" s="32"/>
    </row>
    <row r="132" spans="2:12" s="191" customFormat="1" x14ac:dyDescent="0.2">
      <c r="B132" s="30"/>
      <c r="C132" s="31"/>
      <c r="D132" s="31"/>
      <c r="E132" s="31"/>
      <c r="F132" s="31"/>
      <c r="G132" s="31"/>
      <c r="H132" s="31"/>
      <c r="I132" s="31"/>
      <c r="J132" s="31"/>
      <c r="K132" s="31"/>
      <c r="L132" s="32"/>
    </row>
    <row r="133" spans="2:12" s="191" customFormat="1" x14ac:dyDescent="0.2">
      <c r="B133" s="30"/>
      <c r="C133" s="31"/>
      <c r="D133" s="31"/>
      <c r="E133" s="31"/>
      <c r="F133" s="31"/>
      <c r="G133" s="31"/>
      <c r="H133" s="31"/>
      <c r="I133" s="31"/>
      <c r="J133" s="31"/>
      <c r="K133" s="31"/>
      <c r="L133" s="32"/>
    </row>
    <row r="134" spans="2:12" s="191" customFormat="1" x14ac:dyDescent="0.2">
      <c r="B134" s="30"/>
      <c r="C134" s="31"/>
      <c r="D134" s="31"/>
      <c r="E134" s="31"/>
      <c r="F134" s="31"/>
      <c r="G134" s="31"/>
      <c r="H134" s="31"/>
      <c r="I134" s="31"/>
      <c r="J134" s="31"/>
      <c r="K134" s="31"/>
      <c r="L134" s="32"/>
    </row>
    <row r="135" spans="2:12" s="191" customFormat="1" x14ac:dyDescent="0.2">
      <c r="B135" s="30"/>
      <c r="C135" s="31"/>
      <c r="D135" s="31"/>
      <c r="E135" s="31"/>
      <c r="F135" s="31"/>
      <c r="G135" s="31"/>
      <c r="H135" s="31"/>
      <c r="I135" s="31"/>
      <c r="J135" s="31"/>
      <c r="K135" s="31"/>
      <c r="L135" s="32"/>
    </row>
    <row r="136" spans="2:12" s="191" customFormat="1" x14ac:dyDescent="0.2">
      <c r="B136" s="30"/>
      <c r="C136" s="31"/>
      <c r="D136" s="31"/>
      <c r="E136" s="31"/>
      <c r="F136" s="31"/>
      <c r="G136" s="31"/>
      <c r="H136" s="31"/>
      <c r="I136" s="31"/>
      <c r="J136" s="31"/>
      <c r="K136" s="31"/>
      <c r="L136" s="32"/>
    </row>
    <row r="137" spans="2:12" s="191" customFormat="1" x14ac:dyDescent="0.2">
      <c r="B137" s="30"/>
      <c r="C137" s="31"/>
      <c r="D137" s="31"/>
      <c r="E137" s="31"/>
      <c r="F137" s="31"/>
      <c r="G137" s="31"/>
      <c r="H137" s="31"/>
      <c r="I137" s="31"/>
      <c r="J137" s="31"/>
      <c r="K137" s="31"/>
      <c r="L137" s="32"/>
    </row>
    <row r="138" spans="2:12" s="191" customFormat="1" x14ac:dyDescent="0.2">
      <c r="B138" s="30"/>
      <c r="C138" s="31"/>
      <c r="D138" s="31"/>
      <c r="E138" s="31"/>
      <c r="F138" s="31"/>
      <c r="G138" s="31"/>
      <c r="H138" s="31"/>
      <c r="I138" s="31"/>
      <c r="J138" s="31"/>
      <c r="K138" s="31"/>
      <c r="L138" s="32"/>
    </row>
    <row r="139" spans="2:12" s="191" customFormat="1" x14ac:dyDescent="0.2">
      <c r="B139" s="30"/>
      <c r="C139" s="31"/>
      <c r="D139" s="31"/>
      <c r="E139" s="31"/>
      <c r="F139" s="31"/>
      <c r="G139" s="31"/>
      <c r="H139" s="31"/>
      <c r="I139" s="31"/>
      <c r="J139" s="31"/>
      <c r="K139" s="31"/>
      <c r="L139" s="32"/>
    </row>
    <row r="140" spans="2:12" s="191" customFormat="1" x14ac:dyDescent="0.2">
      <c r="B140" s="30"/>
      <c r="C140" s="31"/>
      <c r="D140" s="31"/>
      <c r="E140" s="31"/>
      <c r="F140" s="31"/>
      <c r="G140" s="31"/>
      <c r="H140" s="31"/>
      <c r="I140" s="31"/>
      <c r="J140" s="31"/>
      <c r="K140" s="31"/>
      <c r="L140" s="32"/>
    </row>
    <row r="141" spans="2:12" s="191" customFormat="1" x14ac:dyDescent="0.2">
      <c r="B141" s="30"/>
      <c r="C141" s="31"/>
      <c r="D141" s="31"/>
      <c r="E141" s="31"/>
      <c r="F141" s="31"/>
      <c r="G141" s="31"/>
      <c r="H141" s="31"/>
      <c r="I141" s="31"/>
      <c r="J141" s="31"/>
      <c r="K141" s="31"/>
      <c r="L141" s="32"/>
    </row>
    <row r="142" spans="2:12" s="191" customFormat="1" x14ac:dyDescent="0.2">
      <c r="B142" s="30"/>
      <c r="C142" s="31"/>
      <c r="D142" s="31"/>
      <c r="E142" s="31"/>
      <c r="F142" s="31"/>
      <c r="G142" s="31"/>
      <c r="H142" s="31"/>
      <c r="I142" s="31"/>
      <c r="J142" s="31"/>
      <c r="K142" s="31"/>
      <c r="L142" s="32"/>
    </row>
    <row r="143" spans="2:12" s="191" customFormat="1" x14ac:dyDescent="0.2">
      <c r="B143" s="30"/>
      <c r="C143" s="31"/>
      <c r="D143" s="31"/>
      <c r="E143" s="31"/>
      <c r="F143" s="31"/>
      <c r="G143" s="31"/>
      <c r="H143" s="31"/>
      <c r="I143" s="31"/>
      <c r="J143" s="31"/>
      <c r="K143" s="31"/>
      <c r="L143" s="32"/>
    </row>
    <row r="144" spans="2:12" s="191" customFormat="1" x14ac:dyDescent="0.2">
      <c r="B144" s="30"/>
      <c r="C144" s="31"/>
      <c r="D144" s="31"/>
      <c r="E144" s="31"/>
      <c r="F144" s="31"/>
      <c r="G144" s="31"/>
      <c r="H144" s="31"/>
      <c r="I144" s="31"/>
      <c r="J144" s="31"/>
      <c r="K144" s="31"/>
      <c r="L144" s="32"/>
    </row>
    <row r="145" spans="2:12" s="191" customFormat="1" x14ac:dyDescent="0.2">
      <c r="B145" s="30"/>
      <c r="C145" s="31"/>
      <c r="D145" s="31"/>
      <c r="E145" s="31"/>
      <c r="F145" s="31"/>
      <c r="G145" s="31"/>
      <c r="H145" s="31"/>
      <c r="I145" s="31"/>
      <c r="J145" s="31"/>
      <c r="K145" s="31"/>
      <c r="L145" s="32"/>
    </row>
    <row r="146" spans="2:12" s="191" customFormat="1" x14ac:dyDescent="0.2">
      <c r="B146" s="30"/>
      <c r="C146" s="31"/>
      <c r="D146" s="31"/>
      <c r="E146" s="31"/>
      <c r="F146" s="31"/>
      <c r="G146" s="31"/>
      <c r="H146" s="31"/>
      <c r="I146" s="31"/>
      <c r="J146" s="31"/>
      <c r="K146" s="31"/>
      <c r="L146" s="32"/>
    </row>
    <row r="147" spans="2:12" s="191" customFormat="1" x14ac:dyDescent="0.2">
      <c r="B147" s="30"/>
      <c r="C147" s="31"/>
      <c r="D147" s="31"/>
      <c r="E147" s="31"/>
      <c r="F147" s="31"/>
      <c r="G147" s="31"/>
      <c r="H147" s="31"/>
      <c r="I147" s="31"/>
      <c r="J147" s="31"/>
      <c r="K147" s="31"/>
      <c r="L147" s="32"/>
    </row>
    <row r="148" spans="2:12" s="191" customFormat="1" x14ac:dyDescent="0.2">
      <c r="B148" s="30"/>
      <c r="C148" s="31"/>
      <c r="D148" s="31"/>
      <c r="E148" s="31"/>
      <c r="F148" s="31"/>
      <c r="G148" s="31"/>
      <c r="H148" s="31"/>
      <c r="I148" s="31"/>
      <c r="J148" s="31"/>
      <c r="K148" s="31"/>
      <c r="L148" s="32"/>
    </row>
    <row r="149" spans="2:12" s="191" customFormat="1" x14ac:dyDescent="0.2">
      <c r="B149" s="30"/>
      <c r="C149" s="31"/>
      <c r="D149" s="31"/>
      <c r="E149" s="31"/>
      <c r="F149" s="31"/>
      <c r="G149" s="31"/>
      <c r="H149" s="31"/>
      <c r="I149" s="31"/>
      <c r="J149" s="31"/>
      <c r="K149" s="31"/>
      <c r="L149" s="32"/>
    </row>
    <row r="150" spans="2:12" s="191" customFormat="1" x14ac:dyDescent="0.2">
      <c r="B150" s="30"/>
      <c r="C150" s="31"/>
      <c r="D150" s="31"/>
      <c r="E150" s="31"/>
      <c r="F150" s="31"/>
      <c r="G150" s="31"/>
      <c r="H150" s="31"/>
      <c r="I150" s="31"/>
      <c r="J150" s="31"/>
      <c r="K150" s="31"/>
      <c r="L150" s="32"/>
    </row>
    <row r="151" spans="2:12" s="191" customFormat="1" x14ac:dyDescent="0.2">
      <c r="B151" s="30"/>
      <c r="C151" s="31"/>
      <c r="D151" s="31"/>
      <c r="E151" s="31"/>
      <c r="F151" s="31"/>
      <c r="G151" s="31"/>
      <c r="H151" s="31"/>
      <c r="I151" s="31"/>
      <c r="J151" s="31"/>
      <c r="K151" s="31"/>
      <c r="L151" s="32"/>
    </row>
    <row r="152" spans="2:12" s="191" customFormat="1" x14ac:dyDescent="0.2">
      <c r="B152" s="30"/>
      <c r="C152" s="31"/>
      <c r="D152" s="31"/>
      <c r="E152" s="31"/>
      <c r="F152" s="31"/>
      <c r="G152" s="31"/>
      <c r="H152" s="31"/>
      <c r="I152" s="31"/>
      <c r="J152" s="31"/>
      <c r="K152" s="31"/>
      <c r="L152" s="32"/>
    </row>
    <row r="153" spans="2:12" s="191" customFormat="1" x14ac:dyDescent="0.2">
      <c r="B153" s="30"/>
      <c r="C153" s="31"/>
      <c r="D153" s="31"/>
      <c r="E153" s="31"/>
      <c r="F153" s="31"/>
      <c r="G153" s="31"/>
      <c r="H153" s="31"/>
      <c r="I153" s="31"/>
      <c r="J153" s="31"/>
      <c r="K153" s="31"/>
      <c r="L153" s="32"/>
    </row>
    <row r="154" spans="2:12" s="191" customFormat="1" x14ac:dyDescent="0.2">
      <c r="B154" s="30"/>
      <c r="C154" s="31"/>
      <c r="D154" s="31"/>
      <c r="E154" s="31"/>
      <c r="F154" s="31"/>
      <c r="G154" s="31"/>
      <c r="H154" s="31"/>
      <c r="I154" s="31"/>
      <c r="J154" s="31"/>
      <c r="K154" s="31"/>
      <c r="L154" s="32"/>
    </row>
    <row r="155" spans="2:12" s="191" customFormat="1" x14ac:dyDescent="0.2">
      <c r="B155" s="30"/>
      <c r="C155" s="31"/>
      <c r="D155" s="31"/>
      <c r="E155" s="31"/>
      <c r="F155" s="31"/>
      <c r="G155" s="31"/>
      <c r="H155" s="31"/>
      <c r="I155" s="31"/>
      <c r="J155" s="31"/>
      <c r="K155" s="31"/>
      <c r="L155" s="32"/>
    </row>
    <row r="156" spans="2:12" s="191" customFormat="1" x14ac:dyDescent="0.2">
      <c r="B156" s="30"/>
      <c r="C156" s="31"/>
      <c r="D156" s="31"/>
      <c r="E156" s="31"/>
      <c r="F156" s="31"/>
      <c r="G156" s="31"/>
      <c r="H156" s="31"/>
      <c r="I156" s="31"/>
      <c r="J156" s="31"/>
      <c r="K156" s="31"/>
      <c r="L156" s="32"/>
    </row>
    <row r="157" spans="2:12" s="191" customFormat="1" x14ac:dyDescent="0.2">
      <c r="B157" s="30"/>
      <c r="C157" s="31"/>
      <c r="D157" s="31"/>
      <c r="E157" s="31"/>
      <c r="F157" s="31"/>
      <c r="G157" s="31"/>
      <c r="H157" s="31"/>
      <c r="I157" s="31"/>
      <c r="J157" s="31"/>
      <c r="K157" s="31"/>
      <c r="L157" s="32"/>
    </row>
    <row r="158" spans="2:12" s="191" customFormat="1" x14ac:dyDescent="0.2">
      <c r="B158" s="30"/>
      <c r="C158" s="31"/>
      <c r="D158" s="31"/>
      <c r="E158" s="31"/>
      <c r="F158" s="31"/>
      <c r="G158" s="31"/>
      <c r="H158" s="31"/>
      <c r="I158" s="31"/>
      <c r="J158" s="31"/>
      <c r="K158" s="31"/>
      <c r="L158" s="32"/>
    </row>
    <row r="159" spans="2:12" s="191" customFormat="1" x14ac:dyDescent="0.2">
      <c r="B159" s="30"/>
      <c r="C159" s="31"/>
      <c r="D159" s="31"/>
      <c r="E159" s="31"/>
      <c r="F159" s="31"/>
      <c r="G159" s="31"/>
      <c r="H159" s="31"/>
      <c r="I159" s="31"/>
      <c r="J159" s="31"/>
      <c r="K159" s="31"/>
      <c r="L159" s="32"/>
    </row>
    <row r="160" spans="2:12" s="191" customFormat="1" x14ac:dyDescent="0.2">
      <c r="B160" s="30"/>
      <c r="C160" s="31"/>
      <c r="D160" s="31"/>
      <c r="E160" s="31"/>
      <c r="F160" s="31"/>
      <c r="G160" s="31"/>
      <c r="H160" s="31"/>
      <c r="I160" s="31"/>
      <c r="J160" s="31"/>
      <c r="K160" s="31"/>
      <c r="L160" s="32"/>
    </row>
    <row r="161" spans="2:12" s="191" customFormat="1" x14ac:dyDescent="0.2">
      <c r="B161" s="30"/>
      <c r="C161" s="31"/>
      <c r="D161" s="31"/>
      <c r="E161" s="31"/>
      <c r="F161" s="31"/>
      <c r="G161" s="31"/>
      <c r="H161" s="31"/>
      <c r="I161" s="31"/>
      <c r="J161" s="31"/>
      <c r="K161" s="31"/>
      <c r="L161" s="32"/>
    </row>
    <row r="162" spans="2:12" s="191" customFormat="1" x14ac:dyDescent="0.2">
      <c r="B162" s="30"/>
      <c r="C162" s="31"/>
      <c r="D162" s="31"/>
      <c r="E162" s="31"/>
      <c r="F162" s="31"/>
      <c r="G162" s="31"/>
      <c r="H162" s="31"/>
      <c r="I162" s="31"/>
      <c r="J162" s="31"/>
      <c r="K162" s="31"/>
      <c r="L162" s="32"/>
    </row>
    <row r="163" spans="2:12" s="191" customFormat="1" x14ac:dyDescent="0.2">
      <c r="B163" s="30"/>
      <c r="C163" s="31"/>
      <c r="D163" s="31"/>
      <c r="E163" s="31"/>
      <c r="F163" s="31"/>
      <c r="G163" s="31"/>
      <c r="H163" s="31"/>
      <c r="I163" s="31"/>
      <c r="J163" s="31"/>
      <c r="K163" s="31"/>
      <c r="L163" s="32"/>
    </row>
    <row r="164" spans="2:12" s="191" customFormat="1" x14ac:dyDescent="0.2">
      <c r="B164" s="30"/>
      <c r="C164" s="31"/>
      <c r="D164" s="31"/>
      <c r="E164" s="31"/>
      <c r="F164" s="31"/>
      <c r="G164" s="31"/>
      <c r="H164" s="31"/>
      <c r="I164" s="31"/>
      <c r="J164" s="31"/>
      <c r="K164" s="31"/>
      <c r="L164" s="32"/>
    </row>
    <row r="165" spans="2:12" s="191" customFormat="1" x14ac:dyDescent="0.2">
      <c r="B165" s="30"/>
      <c r="C165" s="31"/>
      <c r="D165" s="31"/>
      <c r="E165" s="31"/>
      <c r="F165" s="31"/>
      <c r="G165" s="31"/>
      <c r="H165" s="31"/>
      <c r="I165" s="31"/>
      <c r="J165" s="31"/>
      <c r="K165" s="31"/>
      <c r="L165" s="32"/>
    </row>
    <row r="166" spans="2:12" s="191" customFormat="1" x14ac:dyDescent="0.2">
      <c r="B166" s="30"/>
      <c r="C166" s="31"/>
      <c r="D166" s="31"/>
      <c r="E166" s="31"/>
      <c r="F166" s="31"/>
      <c r="G166" s="31"/>
      <c r="H166" s="31"/>
      <c r="I166" s="31"/>
      <c r="J166" s="31"/>
      <c r="K166" s="31"/>
      <c r="L166" s="32"/>
    </row>
    <row r="167" spans="2:12" s="191" customFormat="1" x14ac:dyDescent="0.2">
      <c r="B167" s="30"/>
      <c r="C167" s="31"/>
      <c r="D167" s="31"/>
      <c r="E167" s="31"/>
      <c r="F167" s="31"/>
      <c r="G167" s="31"/>
      <c r="H167" s="31"/>
      <c r="I167" s="31"/>
      <c r="J167" s="31"/>
      <c r="K167" s="31"/>
      <c r="L167" s="32"/>
    </row>
    <row r="168" spans="2:12" s="191" customFormat="1" x14ac:dyDescent="0.2">
      <c r="B168" s="30"/>
      <c r="C168" s="31"/>
      <c r="D168" s="31"/>
      <c r="E168" s="31"/>
      <c r="F168" s="31"/>
      <c r="G168" s="31"/>
      <c r="H168" s="31"/>
      <c r="I168" s="31"/>
      <c r="J168" s="31"/>
      <c r="K168" s="31"/>
      <c r="L168" s="32"/>
    </row>
    <row r="169" spans="2:12" s="191" customFormat="1" x14ac:dyDescent="0.2">
      <c r="B169" s="30"/>
      <c r="C169" s="31"/>
      <c r="D169" s="31"/>
      <c r="E169" s="31"/>
      <c r="F169" s="31"/>
      <c r="G169" s="31"/>
      <c r="H169" s="31"/>
      <c r="I169" s="31"/>
      <c r="J169" s="31"/>
      <c r="K169" s="31"/>
      <c r="L169" s="32"/>
    </row>
    <row r="170" spans="2:12" s="191" customFormat="1" x14ac:dyDescent="0.2">
      <c r="B170" s="30"/>
      <c r="C170" s="31"/>
      <c r="D170" s="31"/>
      <c r="E170" s="31"/>
      <c r="F170" s="31"/>
      <c r="G170" s="31"/>
      <c r="H170" s="31"/>
      <c r="I170" s="31"/>
      <c r="J170" s="31"/>
      <c r="K170" s="31"/>
      <c r="L170" s="32"/>
    </row>
    <row r="171" spans="2:12" s="191" customFormat="1" x14ac:dyDescent="0.2">
      <c r="B171" s="30"/>
      <c r="C171" s="31"/>
      <c r="D171" s="31"/>
      <c r="E171" s="31"/>
      <c r="F171" s="31"/>
      <c r="G171" s="31"/>
      <c r="H171" s="31"/>
      <c r="I171" s="31"/>
      <c r="J171" s="31"/>
      <c r="K171" s="31"/>
      <c r="L171" s="32"/>
    </row>
    <row r="172" spans="2:12" s="191" customFormat="1" x14ac:dyDescent="0.2">
      <c r="B172" s="30"/>
      <c r="C172" s="31"/>
      <c r="D172" s="31"/>
      <c r="E172" s="31"/>
      <c r="F172" s="31"/>
      <c r="G172" s="31"/>
      <c r="H172" s="31"/>
      <c r="I172" s="31"/>
      <c r="J172" s="31"/>
      <c r="K172" s="31"/>
      <c r="L172" s="32"/>
    </row>
    <row r="173" spans="2:12" s="191" customFormat="1" x14ac:dyDescent="0.2">
      <c r="B173" s="30"/>
      <c r="C173" s="31"/>
      <c r="D173" s="31"/>
      <c r="E173" s="31"/>
      <c r="F173" s="31"/>
      <c r="G173" s="31"/>
      <c r="H173" s="31"/>
      <c r="I173" s="31"/>
      <c r="J173" s="31"/>
      <c r="K173" s="31"/>
      <c r="L173" s="32"/>
    </row>
    <row r="174" spans="2:12" s="191" customFormat="1" x14ac:dyDescent="0.2">
      <c r="B174" s="30"/>
      <c r="C174" s="31"/>
      <c r="D174" s="31"/>
      <c r="E174" s="31"/>
      <c r="F174" s="31"/>
      <c r="G174" s="31"/>
      <c r="H174" s="31"/>
      <c r="I174" s="31"/>
      <c r="J174" s="31"/>
      <c r="K174" s="31"/>
      <c r="L174" s="32"/>
    </row>
    <row r="175" spans="2:12" s="191" customFormat="1" x14ac:dyDescent="0.2">
      <c r="B175" s="30"/>
      <c r="C175" s="31"/>
      <c r="D175" s="31"/>
      <c r="E175" s="31"/>
      <c r="F175" s="31"/>
      <c r="G175" s="31"/>
      <c r="H175" s="31"/>
      <c r="I175" s="31"/>
      <c r="J175" s="31"/>
      <c r="K175" s="31"/>
      <c r="L175" s="32"/>
    </row>
    <row r="176" spans="2:12" s="191" customFormat="1" x14ac:dyDescent="0.2">
      <c r="B176" s="30"/>
      <c r="C176" s="31"/>
      <c r="D176" s="31"/>
      <c r="E176" s="31"/>
      <c r="F176" s="31"/>
      <c r="G176" s="31"/>
      <c r="H176" s="31"/>
      <c r="I176" s="31"/>
      <c r="J176" s="31"/>
      <c r="K176" s="31"/>
      <c r="L176" s="32"/>
    </row>
    <row r="177" spans="2:12" s="191" customFormat="1" x14ac:dyDescent="0.2">
      <c r="B177" s="30"/>
      <c r="C177" s="31"/>
      <c r="D177" s="31"/>
      <c r="E177" s="31"/>
      <c r="F177" s="31"/>
      <c r="G177" s="31"/>
      <c r="H177" s="31"/>
      <c r="I177" s="31"/>
      <c r="J177" s="31"/>
      <c r="K177" s="31"/>
      <c r="L177" s="32"/>
    </row>
    <row r="178" spans="2:12" s="191" customFormat="1" x14ac:dyDescent="0.2">
      <c r="B178" s="30"/>
      <c r="C178" s="31"/>
      <c r="D178" s="31"/>
      <c r="E178" s="31"/>
      <c r="F178" s="31"/>
      <c r="G178" s="31"/>
      <c r="H178" s="31"/>
      <c r="I178" s="31"/>
      <c r="J178" s="31"/>
      <c r="K178" s="31"/>
      <c r="L178" s="32"/>
    </row>
    <row r="179" spans="2:12" s="191" customFormat="1" x14ac:dyDescent="0.2">
      <c r="B179" s="30"/>
      <c r="C179" s="31"/>
      <c r="D179" s="31"/>
      <c r="E179" s="31"/>
      <c r="F179" s="31"/>
      <c r="G179" s="31"/>
      <c r="H179" s="31"/>
      <c r="I179" s="31"/>
      <c r="J179" s="31"/>
      <c r="K179" s="31"/>
      <c r="L179" s="32"/>
    </row>
    <row r="180" spans="2:12" s="191" customFormat="1" x14ac:dyDescent="0.2">
      <c r="B180" s="30"/>
      <c r="C180" s="31"/>
      <c r="D180" s="31"/>
      <c r="E180" s="31"/>
      <c r="F180" s="31"/>
      <c r="G180" s="31"/>
      <c r="H180" s="31"/>
      <c r="I180" s="31"/>
      <c r="J180" s="31"/>
      <c r="K180" s="31"/>
      <c r="L180" s="32"/>
    </row>
    <row r="181" spans="2:12" s="191" customFormat="1" x14ac:dyDescent="0.2">
      <c r="B181" s="30"/>
      <c r="C181" s="31"/>
      <c r="D181" s="31"/>
      <c r="E181" s="31"/>
      <c r="F181" s="31"/>
      <c r="G181" s="31"/>
      <c r="H181" s="31"/>
      <c r="I181" s="31"/>
      <c r="J181" s="31"/>
      <c r="K181" s="31"/>
      <c r="L181" s="32"/>
    </row>
    <row r="182" spans="2:12" s="191" customFormat="1" x14ac:dyDescent="0.2">
      <c r="B182" s="30"/>
      <c r="C182" s="31"/>
      <c r="D182" s="31"/>
      <c r="E182" s="31"/>
      <c r="F182" s="31"/>
      <c r="G182" s="31"/>
      <c r="H182" s="31"/>
      <c r="I182" s="31"/>
      <c r="J182" s="31"/>
      <c r="K182" s="31"/>
      <c r="L182" s="32"/>
    </row>
    <row r="183" spans="2:12" s="191" customFormat="1" x14ac:dyDescent="0.2">
      <c r="B183" s="30"/>
      <c r="C183" s="31"/>
      <c r="D183" s="31"/>
      <c r="E183" s="31"/>
      <c r="F183" s="31"/>
      <c r="G183" s="31"/>
      <c r="H183" s="31"/>
      <c r="I183" s="31"/>
      <c r="J183" s="31"/>
      <c r="K183" s="31"/>
      <c r="L183" s="32"/>
    </row>
    <row r="184" spans="2:12" s="191" customFormat="1" x14ac:dyDescent="0.2">
      <c r="B184" s="30"/>
      <c r="C184" s="31"/>
      <c r="D184" s="31"/>
      <c r="E184" s="31"/>
      <c r="F184" s="31"/>
      <c r="G184" s="31"/>
      <c r="H184" s="31"/>
      <c r="I184" s="31"/>
      <c r="J184" s="31"/>
      <c r="K184" s="31"/>
      <c r="L184" s="32"/>
    </row>
    <row r="185" spans="2:12" s="191" customFormat="1" x14ac:dyDescent="0.2">
      <c r="B185" s="30"/>
      <c r="C185" s="31"/>
      <c r="D185" s="31"/>
      <c r="E185" s="31"/>
      <c r="F185" s="31"/>
      <c r="G185" s="31"/>
      <c r="H185" s="31"/>
      <c r="I185" s="31"/>
      <c r="J185" s="31"/>
      <c r="K185" s="31"/>
      <c r="L185" s="32"/>
    </row>
    <row r="186" spans="2:12" s="191" customFormat="1" x14ac:dyDescent="0.2">
      <c r="B186" s="30"/>
      <c r="C186" s="31"/>
      <c r="D186" s="31"/>
      <c r="E186" s="31"/>
      <c r="F186" s="31"/>
      <c r="G186" s="31"/>
      <c r="H186" s="31"/>
      <c r="I186" s="31"/>
      <c r="J186" s="31"/>
      <c r="K186" s="31"/>
      <c r="L186" s="32"/>
    </row>
    <row r="187" spans="2:12" s="191" customFormat="1" x14ac:dyDescent="0.2">
      <c r="B187" s="30"/>
      <c r="C187" s="31"/>
      <c r="D187" s="31"/>
      <c r="E187" s="31"/>
      <c r="F187" s="31"/>
      <c r="G187" s="31"/>
      <c r="H187" s="31"/>
      <c r="I187" s="31"/>
      <c r="J187" s="31"/>
      <c r="K187" s="31"/>
      <c r="L187" s="32"/>
    </row>
    <row r="188" spans="2:12" s="191" customFormat="1" x14ac:dyDescent="0.2">
      <c r="B188" s="30"/>
      <c r="C188" s="31"/>
      <c r="D188" s="31"/>
      <c r="E188" s="31"/>
      <c r="F188" s="31"/>
      <c r="G188" s="31"/>
      <c r="H188" s="31"/>
      <c r="I188" s="31"/>
      <c r="J188" s="31"/>
      <c r="K188" s="31"/>
      <c r="L188" s="32"/>
    </row>
    <row r="189" spans="2:12" s="191" customFormat="1" x14ac:dyDescent="0.2">
      <c r="B189" s="38"/>
      <c r="C189" s="36"/>
      <c r="D189" s="36"/>
      <c r="E189" s="36"/>
      <c r="F189" s="36"/>
      <c r="G189" s="36"/>
      <c r="H189" s="36"/>
      <c r="I189" s="36"/>
      <c r="J189" s="36"/>
      <c r="K189" s="36"/>
      <c r="L189" s="39"/>
    </row>
    <row r="190" spans="2:12" s="191" customFormat="1" x14ac:dyDescent="0.2">
      <c r="D190" s="192"/>
    </row>
  </sheetData>
  <sheetProtection password="E10F" sheet="1"/>
  <mergeCells count="2">
    <mergeCell ref="C2:E2"/>
    <mergeCell ref="F2:G2"/>
  </mergeCells>
  <phoneticPr fontId="2" type="noConversion"/>
  <conditionalFormatting sqref="H34">
    <cfRule type="cellIs" dxfId="173" priority="1" stopIfTrue="1" operator="greaterThanOrEqual">
      <formula>100.01</formula>
    </cfRule>
    <cfRule type="cellIs" dxfId="172" priority="2" stopIfTrue="1" operator="lessThan">
      <formula>100.01</formula>
    </cfRule>
  </conditionalFormatting>
  <conditionalFormatting sqref="H27:H28">
    <cfRule type="cellIs" dxfId="171" priority="3" stopIfTrue="1" operator="greaterThanOrEqual">
      <formula>100</formula>
    </cfRule>
    <cfRule type="cellIs" dxfId="170" priority="4" stopIfTrue="1" operator="lessThan">
      <formula>100</formula>
    </cfRule>
  </conditionalFormatting>
  <conditionalFormatting sqref="H29:H33 H35">
    <cfRule type="cellIs" dxfId="169" priority="5" stopIfTrue="1" operator="greaterThan">
      <formula>99.9</formula>
    </cfRule>
    <cfRule type="cellIs" dxfId="168" priority="6" stopIfTrue="1" operator="lessThan">
      <formula>99.9</formula>
    </cfRule>
  </conditionalFormatting>
  <dataValidations count="4">
    <dataValidation type="list" allowBlank="1" showInputMessage="1" showErrorMessage="1" promptTitle="Select Material" sqref="G13:G14 C5 D5:D6 E5" xr:uid="{00000000-0002-0000-0E00-000000000000}">
      <formula1>Materials</formula1>
    </dataValidation>
    <dataValidation type="list" allowBlank="1" showInputMessage="1" showErrorMessage="1" sqref="F2" xr:uid="{00000000-0002-0000-0E00-000001000000}">
      <formula1>ConstructionType</formula1>
    </dataValidation>
    <dataValidation type="list" allowBlank="1" showInputMessage="1" showErrorMessage="1" sqref="E6" xr:uid="{00000000-0002-0000-0E00-000002000000}">
      <formula1>Tube_Type</formula1>
    </dataValidation>
    <dataValidation type="list" allowBlank="1" showInputMessage="1" showErrorMessage="1" sqref="F5" xr:uid="{00000000-0002-0000-0E00-000003000000}">
      <formula1>Material</formula1>
    </dataValidation>
  </dataValidations>
  <hyperlinks>
    <hyperlink ref="J35" location="'Cover Sheet'!A1" display="BACK to COVER SHEET" xr:uid="{00000000-0004-0000-0E00-000000000000}"/>
    <hyperlink ref="J35:L35" location="'Cover Sheet'!A1" display="BACK to COVER SHEET" xr:uid="{00000000-0004-0000-0E00-000001000000}"/>
  </hyperlinks>
  <pageMargins left="0.75" right="0.75" top="1" bottom="1" header="0.5" footer="0.5"/>
  <pageSetup paperSize="9" orientation="portrait" horizontalDpi="4294967294" verticalDpi="0"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pageSetUpPr fitToPage="1"/>
  </sheetPr>
  <dimension ref="B1:O194"/>
  <sheetViews>
    <sheetView showGridLines="0" view="pageBreakPreview" topLeftCell="A4" zoomScaleNormal="100" zoomScaleSheetLayoutView="100" workbookViewId="0">
      <selection activeCell="B14" sqref="B14"/>
    </sheetView>
  </sheetViews>
  <sheetFormatPr baseColWidth="10" defaultColWidth="9.140625" defaultRowHeight="12.75" x14ac:dyDescent="0.2"/>
  <cols>
    <col min="1" max="1" width="3.42578125" style="56" customWidth="1"/>
    <col min="2" max="2" width="45.7109375" style="56" customWidth="1"/>
    <col min="3" max="3" width="11.42578125" style="56" customWidth="1"/>
    <col min="4" max="4" width="15.42578125" style="56" bestFit="1" customWidth="1"/>
    <col min="5" max="5" width="6.140625" style="56" customWidth="1"/>
    <col min="6" max="6" width="8.7109375" style="56" customWidth="1"/>
    <col min="7" max="7" width="10" style="56" bestFit="1" customWidth="1"/>
    <col min="8" max="15" width="9.140625" style="56"/>
    <col min="16" max="16" width="3.42578125" style="56" customWidth="1"/>
    <col min="17" max="16384" width="9.140625" style="56"/>
  </cols>
  <sheetData>
    <row r="1" spans="2:9" ht="15.75" x14ac:dyDescent="0.25">
      <c r="B1" s="55" t="s">
        <v>63</v>
      </c>
    </row>
    <row r="3" spans="2:9" x14ac:dyDescent="0.2">
      <c r="B3" s="57" t="s">
        <v>18</v>
      </c>
      <c r="C3" s="57" t="s">
        <v>1</v>
      </c>
      <c r="D3" s="57" t="s">
        <v>200</v>
      </c>
      <c r="F3" s="127" t="s">
        <v>468</v>
      </c>
      <c r="G3" s="259" t="s">
        <v>290</v>
      </c>
      <c r="H3" s="259" t="s">
        <v>289</v>
      </c>
    </row>
    <row r="4" spans="2:9" x14ac:dyDescent="0.2">
      <c r="B4" s="58" t="s">
        <v>30</v>
      </c>
      <c r="C4" s="44" t="s">
        <v>7</v>
      </c>
      <c r="D4" s="3" t="s">
        <v>7</v>
      </c>
      <c r="F4" s="239" t="s">
        <v>247</v>
      </c>
      <c r="G4" s="56">
        <f>D17/1000</f>
        <v>0.35</v>
      </c>
      <c r="H4" s="250">
        <f>G4</f>
        <v>0.35</v>
      </c>
    </row>
    <row r="5" spans="2:9" x14ac:dyDescent="0.2">
      <c r="B5" s="59" t="s">
        <v>19</v>
      </c>
      <c r="C5" s="46" t="str">
        <f>HLOOKUP(C4,MaterialData!$C$3:$O$4,2,FALSE)</f>
        <v>Steel</v>
      </c>
      <c r="D5" s="46" t="str">
        <f>IF(D4="comp (IAD Test)","N/A",HLOOKUP(D4,MaterialData!$C$3:$O$4,2,FALSE))</f>
        <v>Steel</v>
      </c>
      <c r="F5" s="239" t="s">
        <v>248</v>
      </c>
      <c r="G5" s="56">
        <f>D16/1000</f>
        <v>2E-3</v>
      </c>
      <c r="H5" s="250">
        <f>D15/1000</f>
        <v>2E-3</v>
      </c>
    </row>
    <row r="6" spans="2:9" x14ac:dyDescent="0.2">
      <c r="B6" s="58" t="s">
        <v>20</v>
      </c>
      <c r="C6" s="46">
        <f>INDEX(Innertable,MATCH($B6,MaterialData!$B$5:$B$10,0),MATCH(C$5,MaterialData!$C$4:$O$4,0))</f>
        <v>200000000000</v>
      </c>
      <c r="D6" s="115">
        <f>IF(D4="comp (IAD Test)","N/A",INDEX(Innertable,MATCH($B6,MaterialData!$B$5:$B$10,0),MATCH(D$5,MaterialData!$C$4:$O$4,0)))</f>
        <v>200000000000</v>
      </c>
    </row>
    <row r="7" spans="2:9" ht="15.75" x14ac:dyDescent="0.3">
      <c r="B7" s="59" t="s">
        <v>10</v>
      </c>
      <c r="C7" s="46">
        <f>INDEX(Innertable,MATCH($B7,MaterialData!$B$5:$B$10,0),MATCH(C$5,MaterialData!$C$4:$O$4,0))</f>
        <v>305000000</v>
      </c>
      <c r="D7" s="115">
        <f>IF(D4="comp (IAD Test)","N/A",INDEX(Innertable,MATCH($B7,MaterialData!$B$5:$B$10,0),MATCH(D$5,MaterialData!$C$4:$O$4,0)))</f>
        <v>305000000</v>
      </c>
      <c r="F7" s="239" t="s">
        <v>250</v>
      </c>
      <c r="G7" s="60">
        <f>G4*G5</f>
        <v>6.9999999999999999E-4</v>
      </c>
      <c r="H7" s="239" t="s">
        <v>269</v>
      </c>
      <c r="I7" s="60">
        <f>(G4*G5^3)/12</f>
        <v>2.333333333333333E-10</v>
      </c>
    </row>
    <row r="8" spans="2:9" ht="15.75" x14ac:dyDescent="0.3">
      <c r="B8" s="59" t="s">
        <v>11</v>
      </c>
      <c r="C8" s="46">
        <f>INDEX(Innertable,MATCH($B8,MaterialData!$B$5:$B$10,0),MATCH(C$5,MaterialData!$C$4:$O$4,0))</f>
        <v>365000000</v>
      </c>
      <c r="D8" s="115">
        <f>IF(D4="comp (IAD Test)","N/A",INDEX(Innertable,MATCH($B8,MaterialData!$B$5:$B$10,0),MATCH(D$5,MaterialData!$C$4:$O$4,0)))</f>
        <v>365000000</v>
      </c>
      <c r="F8" s="239" t="s">
        <v>251</v>
      </c>
      <c r="G8" s="60">
        <f>H4*H5</f>
        <v>6.9999999999999999E-4</v>
      </c>
      <c r="H8" s="239" t="s">
        <v>270</v>
      </c>
      <c r="I8" s="60">
        <f>(H4*H5^3)/12</f>
        <v>2.333333333333333E-10</v>
      </c>
    </row>
    <row r="9" spans="2:9" ht="15.75" x14ac:dyDescent="0.3">
      <c r="B9" s="59" t="s">
        <v>9</v>
      </c>
      <c r="C9" s="46">
        <f>INDEX(Innertable,MATCH($B9,MaterialData!$B$5:$B$10,0),MATCH(C$5,MaterialData!$C$4:$O$4,0))</f>
        <v>180000000</v>
      </c>
      <c r="D9" s="115">
        <f>IF(D4="comp (IAD Test)","N/A",INDEX(Innertable,MATCH($B9,MaterialData!$B$5:$B$10,0),MATCH(D$5,MaterialData!$C$4:$O$4,0)))</f>
        <v>180000000</v>
      </c>
      <c r="F9" s="239" t="s">
        <v>263</v>
      </c>
      <c r="G9" s="56">
        <f>G5/2</f>
        <v>1E-3</v>
      </c>
      <c r="H9" s="239" t="s">
        <v>254</v>
      </c>
      <c r="I9" s="60">
        <f>I7+(G7*($G$11-G9)^2)</f>
        <v>2.7708333333333333E-10</v>
      </c>
    </row>
    <row r="10" spans="2:9" ht="15.75" x14ac:dyDescent="0.3">
      <c r="B10" s="59" t="s">
        <v>8</v>
      </c>
      <c r="C10" s="46">
        <f>INDEX(Innertable,MATCH($B10,MaterialData!$B$5:$B$10,0),MATCH(C$5,MaterialData!$C$4:$O$4,0))</f>
        <v>300000000</v>
      </c>
      <c r="D10" s="115">
        <f>IF(D4="comp (IAD Test)","N/A",INDEX(Innertable,MATCH($B10,MaterialData!$B$5:$B$10,0),MATCH(D$5,MaterialData!$C$4:$O$4,0)))</f>
        <v>300000000</v>
      </c>
      <c r="F10" s="239" t="s">
        <v>264</v>
      </c>
      <c r="G10" s="56">
        <f>(D13-0.5*D15)*0.001</f>
        <v>5.0000000000000001E-4</v>
      </c>
      <c r="H10" s="239" t="s">
        <v>255</v>
      </c>
      <c r="I10" s="60">
        <f>I8+(G8*($G$11-G10)^2)</f>
        <v>2.7708333333333328E-10</v>
      </c>
    </row>
    <row r="11" spans="2:9" ht="15.75" x14ac:dyDescent="0.3">
      <c r="B11" s="99" t="s">
        <v>201</v>
      </c>
      <c r="C11" s="46">
        <f>INDEX(Innertable,MATCH($B11,MaterialData!$B$5:$B$10,0),MATCH(C$5,MaterialData!$C$4:$O$4,0))</f>
        <v>219000000</v>
      </c>
      <c r="D11" s="115">
        <f>IF(D4="comp (IAD Test)","N/A",INDEX(Innertable,MATCH($B11,MaterialData!$B$5:$B$10,0),MATCH(D$5,MaterialData!$C$4:$O$4,0)))</f>
        <v>219000000</v>
      </c>
      <c r="F11" s="239" t="s">
        <v>249</v>
      </c>
      <c r="G11" s="252">
        <f>(G7*G9+G8*G10)/(G7+G8)</f>
        <v>7.4999999999999991E-4</v>
      </c>
      <c r="H11" s="239" t="s">
        <v>260</v>
      </c>
      <c r="I11" s="266">
        <f>SUM(I9:I10)</f>
        <v>5.5416666666666667E-10</v>
      </c>
    </row>
    <row r="12" spans="2:9" x14ac:dyDescent="0.2">
      <c r="B12" s="105"/>
      <c r="C12" s="105"/>
      <c r="D12" s="105"/>
    </row>
    <row r="13" spans="2:9" x14ac:dyDescent="0.2">
      <c r="B13" s="99" t="s">
        <v>24</v>
      </c>
      <c r="C13" s="114">
        <v>1.5</v>
      </c>
      <c r="D13" s="287">
        <f>IF(D4="steel",1.5,IF(D4="aluminium 1",4,SUM(D14:D16)))</f>
        <v>1.5</v>
      </c>
      <c r="F13" s="349" t="s">
        <v>469</v>
      </c>
      <c r="G13" s="259" t="s">
        <v>290</v>
      </c>
      <c r="H13" s="259" t="s">
        <v>289</v>
      </c>
    </row>
    <row r="14" spans="2:9" x14ac:dyDescent="0.2">
      <c r="B14" s="99" t="s">
        <v>25</v>
      </c>
      <c r="C14" s="114">
        <v>1.5</v>
      </c>
      <c r="D14" s="22">
        <v>10</v>
      </c>
      <c r="F14" s="239" t="s">
        <v>247</v>
      </c>
      <c r="G14" s="56">
        <f>D18/1000</f>
        <v>0.3</v>
      </c>
      <c r="H14" s="250">
        <f>G14</f>
        <v>0.3</v>
      </c>
    </row>
    <row r="15" spans="2:9" x14ac:dyDescent="0.2">
      <c r="B15" s="99" t="s">
        <v>287</v>
      </c>
      <c r="C15" s="114">
        <v>1.5</v>
      </c>
      <c r="D15" s="22">
        <v>2</v>
      </c>
      <c r="F15" s="239" t="s">
        <v>248</v>
      </c>
      <c r="G15" s="56">
        <f>D16/1000</f>
        <v>2E-3</v>
      </c>
      <c r="H15" s="250">
        <f>D15/1000</f>
        <v>2E-3</v>
      </c>
    </row>
    <row r="16" spans="2:9" x14ac:dyDescent="0.2">
      <c r="B16" s="99" t="s">
        <v>286</v>
      </c>
      <c r="C16" s="114">
        <v>1.5</v>
      </c>
      <c r="D16" s="22">
        <v>2</v>
      </c>
    </row>
    <row r="17" spans="2:9" ht="15.75" x14ac:dyDescent="0.3">
      <c r="B17" s="264" t="s">
        <v>343</v>
      </c>
      <c r="C17" s="44">
        <f>'T2.14 T2.6 Ft Bulkhead'!L16</f>
        <v>350</v>
      </c>
      <c r="D17" s="44">
        <f>C17</f>
        <v>350</v>
      </c>
      <c r="F17" s="239" t="s">
        <v>250</v>
      </c>
      <c r="G17" s="60">
        <f>G14*G15</f>
        <v>5.9999999999999995E-4</v>
      </c>
      <c r="H17" s="239" t="s">
        <v>269</v>
      </c>
      <c r="I17" s="60">
        <f>(G14*G15^3)/12</f>
        <v>2.0000000000000001E-10</v>
      </c>
    </row>
    <row r="18" spans="2:9" ht="15.75" x14ac:dyDescent="0.3">
      <c r="B18" s="264" t="s">
        <v>342</v>
      </c>
      <c r="C18" s="44">
        <f>'T2.14 T2.6 Ft Bulkhead'!L15</f>
        <v>300</v>
      </c>
      <c r="D18" s="44">
        <f>C18</f>
        <v>300</v>
      </c>
      <c r="F18" s="239" t="s">
        <v>251</v>
      </c>
      <c r="G18" s="60">
        <f>H14*H15</f>
        <v>5.9999999999999995E-4</v>
      </c>
      <c r="H18" s="239" t="s">
        <v>270</v>
      </c>
      <c r="I18" s="60">
        <f>(H14*H15^3)/12</f>
        <v>2.0000000000000001E-10</v>
      </c>
    </row>
    <row r="19" spans="2:9" ht="15.75" x14ac:dyDescent="0.3">
      <c r="B19" s="105"/>
      <c r="C19" s="285" t="s">
        <v>341</v>
      </c>
      <c r="D19" s="286" t="str">
        <f>IF(OR(AND($D$4="steel",$D$13&gt;=1.5),AND($D$4="aluminium 1",$D$13&gt;=4)),"YES","NO")</f>
        <v>YES</v>
      </c>
      <c r="F19" s="239" t="s">
        <v>263</v>
      </c>
      <c r="G19" s="56">
        <f>G15/2</f>
        <v>1E-3</v>
      </c>
      <c r="H19" s="239" t="s">
        <v>254</v>
      </c>
      <c r="I19" s="60">
        <f>I17+(G17*($G$21-G19)^2)</f>
        <v>2.3750000000000001E-10</v>
      </c>
    </row>
    <row r="20" spans="2:9" ht="15.75" x14ac:dyDescent="0.3">
      <c r="B20" s="105"/>
      <c r="C20" s="105"/>
      <c r="D20" s="105"/>
      <c r="F20" s="239" t="s">
        <v>264</v>
      </c>
      <c r="G20" s="56">
        <f>(D13-0.5*D15)*0.001</f>
        <v>5.0000000000000001E-4</v>
      </c>
      <c r="H20" s="239" t="s">
        <v>255</v>
      </c>
      <c r="I20" s="60">
        <f>I18+(G18*($G$21-G20)^2)</f>
        <v>2.3750000000000001E-10</v>
      </c>
    </row>
    <row r="21" spans="2:9" ht="15.75" x14ac:dyDescent="0.3">
      <c r="B21" s="127" t="s">
        <v>339</v>
      </c>
      <c r="F21" s="239" t="s">
        <v>249</v>
      </c>
      <c r="G21" s="252">
        <f>(G17*G19+G18*G20)/(G17+G18)</f>
        <v>7.5000000000000002E-4</v>
      </c>
      <c r="H21" s="239" t="s">
        <v>260</v>
      </c>
      <c r="I21" s="266">
        <f>SUM(I19:I20)</f>
        <v>4.7500000000000001E-10</v>
      </c>
    </row>
    <row r="22" spans="2:9" x14ac:dyDescent="0.2">
      <c r="B22" s="291" t="s">
        <v>344</v>
      </c>
      <c r="C22" s="58" t="s">
        <v>153</v>
      </c>
      <c r="D22" s="22">
        <v>250</v>
      </c>
      <c r="E22" s="56" t="str">
        <f>IF(D22&gt;D17,"INVALID ENTRY, AIP IS TOO HIGH","")</f>
        <v/>
      </c>
      <c r="G22" s="289"/>
    </row>
    <row r="23" spans="2:9" x14ac:dyDescent="0.2">
      <c r="B23" s="58" t="s">
        <v>345</v>
      </c>
      <c r="C23" s="58" t="s">
        <v>153</v>
      </c>
      <c r="D23" s="22">
        <v>250</v>
      </c>
      <c r="E23" s="56" t="str">
        <f>IF(D23&gt;D18,"INVALID ENTRY, AIP IS TOO WIDE","")</f>
        <v/>
      </c>
      <c r="G23" s="289"/>
    </row>
    <row r="24" spans="2:9" x14ac:dyDescent="0.2">
      <c r="B24" s="58" t="s">
        <v>346</v>
      </c>
      <c r="C24" s="58" t="s">
        <v>153</v>
      </c>
      <c r="D24" s="287" t="str">
        <f>IF(D4="composite AIP",60000*((D17-D22)/2000+(60000/(2*120000/(D22/1000)))),"N/A")</f>
        <v>N/A</v>
      </c>
    </row>
    <row r="25" spans="2:9" x14ac:dyDescent="0.2">
      <c r="B25" s="58" t="s">
        <v>347</v>
      </c>
      <c r="C25" s="58" t="s">
        <v>153</v>
      </c>
      <c r="D25" s="287" t="str">
        <f>IF(D5="composite AIP",60000*((D18-D23)/2000+(60000/(2*120000/(D23/1000)))),"N/A")</f>
        <v>N/A</v>
      </c>
    </row>
    <row r="26" spans="2:9" x14ac:dyDescent="0.2">
      <c r="B26" s="58" t="s">
        <v>351</v>
      </c>
      <c r="C26" s="58" t="s">
        <v>153</v>
      </c>
      <c r="D26" s="288">
        <f>I11</f>
        <v>5.5416666666666667E-10</v>
      </c>
    </row>
    <row r="27" spans="2:9" x14ac:dyDescent="0.2">
      <c r="B27" s="58" t="s">
        <v>352</v>
      </c>
      <c r="C27" s="58" t="s">
        <v>153</v>
      </c>
      <c r="D27" s="288">
        <f>I21</f>
        <v>4.7500000000000001E-10</v>
      </c>
    </row>
    <row r="28" spans="2:9" x14ac:dyDescent="0.2">
      <c r="B28" s="58" t="s">
        <v>348</v>
      </c>
      <c r="C28" s="58" t="s">
        <v>153</v>
      </c>
      <c r="D28" s="288" t="str">
        <f>IF($D$4="composite AIP",(D24*0.5*($D$13/1000))/D26,"N/A")</f>
        <v>N/A</v>
      </c>
    </row>
    <row r="29" spans="2:9" x14ac:dyDescent="0.2">
      <c r="B29" s="58" t="s">
        <v>349</v>
      </c>
      <c r="C29" s="58" t="s">
        <v>153</v>
      </c>
      <c r="D29" s="288" t="str">
        <f>IF($D$4="composite AIP",(D25*0.5*($D$13/1000))/D27,"N/A")</f>
        <v>N/A</v>
      </c>
    </row>
    <row r="30" spans="2:9" x14ac:dyDescent="0.2">
      <c r="B30" s="58" t="s">
        <v>350</v>
      </c>
      <c r="C30" s="58" t="s">
        <v>153</v>
      </c>
      <c r="D30" s="290" t="str">
        <f>IF(D4="composite AIP",MIN(D8/D28,D8/D29),"N/A")</f>
        <v>N/A</v>
      </c>
    </row>
    <row r="31" spans="2:9" x14ac:dyDescent="0.2">
      <c r="B31" s="264" t="s">
        <v>353</v>
      </c>
      <c r="C31" s="264" t="s">
        <v>153</v>
      </c>
      <c r="D31" s="266" t="str">
        <f>IF(D4="composite AIP",120000/(2*(D22+D23)*(D16+D15)*0.000001),"N/A")</f>
        <v>N/A</v>
      </c>
      <c r="F31" s="292"/>
    </row>
    <row r="32" spans="2:9" x14ac:dyDescent="0.2">
      <c r="B32" s="264" t="s">
        <v>354</v>
      </c>
      <c r="C32" s="264" t="s">
        <v>153</v>
      </c>
      <c r="D32" s="290" t="str">
        <f>IF(D4="composite AIP",D11/D31,"N/A")</f>
        <v>N/A</v>
      </c>
    </row>
    <row r="33" spans="2:15" x14ac:dyDescent="0.2">
      <c r="B33" s="101"/>
      <c r="C33" s="101"/>
      <c r="D33" s="269" t="str">
        <f>IF(AND(D4="composite AIP",D30&gt;=1,D32&gt;=1),"PASS",IF(AND(D4="composite AIP",OR(D30&lt;1,D32&lt;1)),"FAIL","N/A"))</f>
        <v>N/A</v>
      </c>
      <c r="K33" s="298" t="s">
        <v>565</v>
      </c>
      <c r="L33" s="298"/>
      <c r="M33" s="298"/>
    </row>
    <row r="34" spans="2:15" x14ac:dyDescent="0.2">
      <c r="G34" s="60"/>
    </row>
    <row r="35" spans="2:15" x14ac:dyDescent="0.2">
      <c r="B35" s="127" t="s">
        <v>281</v>
      </c>
      <c r="D35" s="105"/>
      <c r="E35" s="60"/>
    </row>
    <row r="36" spans="2:15" x14ac:dyDescent="0.2">
      <c r="B36" s="24"/>
      <c r="C36" s="25"/>
      <c r="D36" s="25"/>
      <c r="E36" s="25"/>
      <c r="F36" s="25"/>
      <c r="G36" s="25"/>
      <c r="H36" s="25"/>
      <c r="I36" s="25"/>
      <c r="J36" s="25"/>
      <c r="K36" s="25"/>
      <c r="L36" s="25"/>
      <c r="M36" s="25"/>
      <c r="N36" s="25"/>
      <c r="O36" s="26"/>
    </row>
    <row r="37" spans="2:15" x14ac:dyDescent="0.2">
      <c r="B37" s="398"/>
      <c r="C37" s="268"/>
      <c r="D37" s="31"/>
      <c r="E37" s="31"/>
      <c r="F37" s="31"/>
      <c r="G37" s="31"/>
      <c r="H37" s="31"/>
      <c r="I37" s="31"/>
      <c r="J37" s="31"/>
      <c r="K37" s="31"/>
      <c r="L37" s="31"/>
      <c r="M37" s="31"/>
      <c r="N37" s="31"/>
      <c r="O37" s="32"/>
    </row>
    <row r="38" spans="2:15" x14ac:dyDescent="0.2">
      <c r="B38" s="513" t="s">
        <v>480</v>
      </c>
      <c r="C38" s="31"/>
      <c r="D38" s="31"/>
      <c r="E38" s="31"/>
      <c r="F38" s="31"/>
      <c r="G38" s="31"/>
      <c r="H38" s="31"/>
      <c r="I38" s="31"/>
      <c r="J38" s="31"/>
      <c r="K38" s="31"/>
      <c r="L38" s="31"/>
      <c r="M38" s="31"/>
      <c r="N38" s="31"/>
      <c r="O38" s="32"/>
    </row>
    <row r="39" spans="2:15" x14ac:dyDescent="0.2">
      <c r="B39" s="30"/>
      <c r="C39" s="31"/>
      <c r="D39" s="31"/>
      <c r="E39" s="31"/>
      <c r="F39" s="31"/>
      <c r="G39" s="31"/>
      <c r="H39" s="31"/>
      <c r="I39" s="31"/>
      <c r="J39" s="31"/>
      <c r="K39" s="31"/>
      <c r="L39" s="31"/>
      <c r="M39" s="31"/>
      <c r="N39" s="31"/>
      <c r="O39" s="32"/>
    </row>
    <row r="40" spans="2:15" x14ac:dyDescent="0.2">
      <c r="B40" s="30"/>
      <c r="C40" s="31"/>
      <c r="D40" s="31"/>
      <c r="E40" s="31"/>
      <c r="F40" s="31"/>
      <c r="G40" s="31"/>
      <c r="H40" s="31"/>
      <c r="I40" s="31"/>
      <c r="J40" s="31"/>
      <c r="K40" s="31"/>
      <c r="L40" s="31"/>
      <c r="M40" s="31"/>
      <c r="N40" s="31"/>
      <c r="O40" s="32"/>
    </row>
    <row r="41" spans="2:15" x14ac:dyDescent="0.2">
      <c r="B41" s="30"/>
      <c r="C41" s="31"/>
      <c r="D41" s="31"/>
      <c r="E41" s="31"/>
      <c r="F41" s="31"/>
      <c r="G41" s="31"/>
      <c r="H41" s="31"/>
      <c r="I41" s="31"/>
      <c r="J41" s="31"/>
      <c r="K41" s="31"/>
      <c r="L41" s="31"/>
      <c r="M41" s="31"/>
      <c r="N41" s="31"/>
      <c r="O41" s="32"/>
    </row>
    <row r="42" spans="2:15" x14ac:dyDescent="0.2">
      <c r="B42" s="30"/>
      <c r="C42" s="31"/>
      <c r="D42" s="31"/>
      <c r="E42" s="31"/>
      <c r="F42" s="31"/>
      <c r="G42" s="31"/>
      <c r="H42" s="31"/>
      <c r="I42" s="31"/>
      <c r="J42" s="31"/>
      <c r="K42" s="31"/>
      <c r="L42" s="31"/>
      <c r="M42" s="31"/>
      <c r="N42" s="31"/>
      <c r="O42" s="32"/>
    </row>
    <row r="43" spans="2:15" x14ac:dyDescent="0.2">
      <c r="B43" s="30"/>
      <c r="C43" s="31"/>
      <c r="D43" s="31"/>
      <c r="E43" s="31"/>
      <c r="F43" s="31"/>
      <c r="G43" s="31"/>
      <c r="H43" s="31"/>
      <c r="I43" s="31"/>
      <c r="J43" s="31"/>
      <c r="K43" s="31"/>
      <c r="L43" s="31"/>
      <c r="M43" s="31"/>
      <c r="N43" s="31"/>
      <c r="O43" s="32"/>
    </row>
    <row r="44" spans="2:15" x14ac:dyDescent="0.2">
      <c r="B44" s="30"/>
      <c r="C44" s="31"/>
      <c r="D44" s="31"/>
      <c r="E44" s="31"/>
      <c r="F44" s="31"/>
      <c r="G44" s="31"/>
      <c r="H44" s="31"/>
      <c r="I44" s="31"/>
      <c r="J44" s="31"/>
      <c r="K44" s="31"/>
      <c r="L44" s="31"/>
      <c r="M44" s="31"/>
      <c r="N44" s="31"/>
      <c r="O44" s="32"/>
    </row>
    <row r="45" spans="2:15" x14ac:dyDescent="0.2">
      <c r="B45" s="30"/>
      <c r="C45" s="31"/>
      <c r="D45" s="31"/>
      <c r="E45" s="31"/>
      <c r="F45" s="31"/>
      <c r="G45" s="31"/>
      <c r="H45" s="31"/>
      <c r="I45" s="31"/>
      <c r="J45" s="31"/>
      <c r="K45" s="31"/>
      <c r="L45" s="31"/>
      <c r="M45" s="31"/>
      <c r="N45" s="31"/>
      <c r="O45" s="32"/>
    </row>
    <row r="46" spans="2:15" x14ac:dyDescent="0.2">
      <c r="B46" s="30"/>
      <c r="C46" s="31"/>
      <c r="D46" s="31"/>
      <c r="E46" s="31"/>
      <c r="F46" s="31"/>
      <c r="G46" s="31"/>
      <c r="H46" s="31"/>
      <c r="I46" s="31"/>
      <c r="J46" s="31"/>
      <c r="K46" s="31"/>
      <c r="L46" s="31"/>
      <c r="M46" s="31"/>
      <c r="N46" s="31"/>
      <c r="O46" s="32"/>
    </row>
    <row r="47" spans="2:15" x14ac:dyDescent="0.2">
      <c r="B47" s="30"/>
      <c r="C47" s="31"/>
      <c r="D47" s="31"/>
      <c r="E47" s="31"/>
      <c r="F47" s="31"/>
      <c r="G47" s="31"/>
      <c r="H47" s="31"/>
      <c r="I47" s="31"/>
      <c r="J47" s="31"/>
      <c r="K47" s="31"/>
      <c r="L47" s="31"/>
      <c r="M47" s="31"/>
      <c r="N47" s="31"/>
      <c r="O47" s="32"/>
    </row>
    <row r="48" spans="2:15" x14ac:dyDescent="0.2">
      <c r="B48" s="30"/>
      <c r="C48" s="31"/>
      <c r="D48" s="31"/>
      <c r="E48" s="31"/>
      <c r="F48" s="31"/>
      <c r="G48" s="31"/>
      <c r="H48" s="31"/>
      <c r="I48" s="31"/>
      <c r="J48" s="31"/>
      <c r="K48" s="31"/>
      <c r="L48" s="31"/>
      <c r="M48" s="31"/>
      <c r="N48" s="31"/>
      <c r="O48" s="32"/>
    </row>
    <row r="49" spans="2:15" x14ac:dyDescent="0.2">
      <c r="B49" s="30"/>
      <c r="C49" s="31"/>
      <c r="D49" s="31"/>
      <c r="E49" s="31"/>
      <c r="F49" s="31"/>
      <c r="G49" s="31"/>
      <c r="H49" s="31"/>
      <c r="I49" s="31"/>
      <c r="J49" s="31"/>
      <c r="K49" s="31"/>
      <c r="L49" s="31"/>
      <c r="M49" s="31"/>
      <c r="N49" s="31"/>
      <c r="O49" s="32"/>
    </row>
    <row r="50" spans="2:15" x14ac:dyDescent="0.2">
      <c r="B50" s="30"/>
      <c r="C50" s="31"/>
      <c r="D50" s="31"/>
      <c r="E50" s="31"/>
      <c r="F50" s="31"/>
      <c r="G50" s="31"/>
      <c r="H50" s="31"/>
      <c r="I50" s="31"/>
      <c r="J50" s="31"/>
      <c r="K50" s="31"/>
      <c r="L50" s="31"/>
      <c r="M50" s="31"/>
      <c r="N50" s="31"/>
      <c r="O50" s="32"/>
    </row>
    <row r="51" spans="2:15" x14ac:dyDescent="0.2">
      <c r="B51" s="30"/>
      <c r="C51" s="31"/>
      <c r="D51" s="31"/>
      <c r="E51" s="31"/>
      <c r="F51" s="31"/>
      <c r="G51" s="31"/>
      <c r="H51" s="31"/>
      <c r="I51" s="31"/>
      <c r="J51" s="31"/>
      <c r="K51" s="31"/>
      <c r="L51" s="31"/>
      <c r="M51" s="31"/>
      <c r="N51" s="31"/>
      <c r="O51" s="32"/>
    </row>
    <row r="52" spans="2:15" x14ac:dyDescent="0.2">
      <c r="B52" s="30"/>
      <c r="C52" s="31"/>
      <c r="D52" s="31"/>
      <c r="E52" s="31"/>
      <c r="F52" s="31"/>
      <c r="G52" s="31"/>
      <c r="H52" s="31"/>
      <c r="I52" s="31"/>
      <c r="J52" s="31"/>
      <c r="K52" s="31"/>
      <c r="L52" s="31"/>
      <c r="M52" s="31"/>
      <c r="N52" s="31"/>
      <c r="O52" s="32"/>
    </row>
    <row r="53" spans="2:15" x14ac:dyDescent="0.2">
      <c r="B53" s="30"/>
      <c r="C53" s="31"/>
      <c r="D53" s="31"/>
      <c r="E53" s="31"/>
      <c r="F53" s="31"/>
      <c r="G53" s="31"/>
      <c r="H53" s="31"/>
      <c r="I53" s="31"/>
      <c r="J53" s="31"/>
      <c r="K53" s="31"/>
      <c r="L53" s="31"/>
      <c r="M53" s="31"/>
      <c r="N53" s="31"/>
      <c r="O53" s="32"/>
    </row>
    <row r="54" spans="2:15" x14ac:dyDescent="0.2">
      <c r="B54" s="30"/>
      <c r="C54" s="31"/>
      <c r="D54" s="31"/>
      <c r="E54" s="31"/>
      <c r="F54" s="31"/>
      <c r="G54" s="31"/>
      <c r="H54" s="31"/>
      <c r="I54" s="31"/>
      <c r="J54" s="31"/>
      <c r="K54" s="31"/>
      <c r="L54" s="31"/>
      <c r="M54" s="31"/>
      <c r="N54" s="31"/>
      <c r="O54" s="32"/>
    </row>
    <row r="55" spans="2:15" x14ac:dyDescent="0.2">
      <c r="B55" s="30"/>
      <c r="C55" s="31"/>
      <c r="D55" s="31"/>
      <c r="E55" s="31"/>
      <c r="F55" s="31"/>
      <c r="G55" s="31"/>
      <c r="H55" s="31"/>
      <c r="I55" s="31"/>
      <c r="J55" s="31"/>
      <c r="K55" s="31"/>
      <c r="L55" s="31"/>
      <c r="M55" s="31"/>
      <c r="N55" s="31"/>
      <c r="O55" s="32"/>
    </row>
    <row r="56" spans="2:15" x14ac:dyDescent="0.2">
      <c r="B56" s="30"/>
      <c r="C56" s="31"/>
      <c r="D56" s="31"/>
      <c r="E56" s="31"/>
      <c r="F56" s="31"/>
      <c r="G56" s="31"/>
      <c r="H56" s="31"/>
      <c r="I56" s="31"/>
      <c r="J56" s="31"/>
      <c r="K56" s="31"/>
      <c r="L56" s="31"/>
      <c r="M56" s="31"/>
      <c r="N56" s="31"/>
      <c r="O56" s="32"/>
    </row>
    <row r="57" spans="2:15" x14ac:dyDescent="0.2">
      <c r="B57" s="30"/>
      <c r="C57" s="31"/>
      <c r="D57" s="31"/>
      <c r="E57" s="31"/>
      <c r="F57" s="31"/>
      <c r="G57" s="31"/>
      <c r="H57" s="31"/>
      <c r="I57" s="31"/>
      <c r="J57" s="31"/>
      <c r="K57" s="31"/>
      <c r="L57" s="31"/>
      <c r="M57" s="31"/>
      <c r="N57" s="31"/>
      <c r="O57" s="32"/>
    </row>
    <row r="58" spans="2:15" x14ac:dyDescent="0.2">
      <c r="B58" s="30"/>
      <c r="C58" s="31"/>
      <c r="D58" s="31"/>
      <c r="E58" s="31"/>
      <c r="F58" s="31"/>
      <c r="G58" s="31"/>
      <c r="H58" s="31"/>
      <c r="I58" s="31"/>
      <c r="J58" s="31"/>
      <c r="K58" s="31"/>
      <c r="L58" s="31"/>
      <c r="M58" s="31"/>
      <c r="N58" s="31"/>
      <c r="O58" s="32"/>
    </row>
    <row r="59" spans="2:15" x14ac:dyDescent="0.2">
      <c r="B59" s="30"/>
      <c r="C59" s="31"/>
      <c r="D59" s="31"/>
      <c r="E59" s="31"/>
      <c r="F59" s="31"/>
      <c r="G59" s="31"/>
      <c r="H59" s="31"/>
      <c r="I59" s="31"/>
      <c r="J59" s="31"/>
      <c r="K59" s="31"/>
      <c r="L59" s="31"/>
      <c r="M59" s="31"/>
      <c r="N59" s="31"/>
      <c r="O59" s="32"/>
    </row>
    <row r="60" spans="2:15" x14ac:dyDescent="0.2">
      <c r="B60" s="30"/>
      <c r="C60" s="31"/>
      <c r="D60" s="31"/>
      <c r="E60" s="31"/>
      <c r="F60" s="31"/>
      <c r="G60" s="31"/>
      <c r="H60" s="31"/>
      <c r="I60" s="31"/>
      <c r="J60" s="31"/>
      <c r="K60" s="31"/>
      <c r="L60" s="31"/>
      <c r="M60" s="31"/>
      <c r="N60" s="31"/>
      <c r="O60" s="32"/>
    </row>
    <row r="61" spans="2:15" x14ac:dyDescent="0.2">
      <c r="B61" s="30"/>
      <c r="C61" s="31"/>
      <c r="D61" s="31"/>
      <c r="E61" s="31"/>
      <c r="F61" s="31"/>
      <c r="G61" s="31"/>
      <c r="H61" s="31"/>
      <c r="I61" s="31"/>
      <c r="J61" s="31"/>
      <c r="K61" s="31"/>
      <c r="L61" s="31"/>
      <c r="M61" s="31"/>
      <c r="N61" s="31"/>
      <c r="O61" s="32"/>
    </row>
    <row r="62" spans="2:15" x14ac:dyDescent="0.2">
      <c r="B62" s="30"/>
      <c r="C62" s="31"/>
      <c r="D62" s="31"/>
      <c r="E62" s="31"/>
      <c r="F62" s="31"/>
      <c r="G62" s="31"/>
      <c r="H62" s="31"/>
      <c r="I62" s="31"/>
      <c r="J62" s="31"/>
      <c r="K62" s="31"/>
      <c r="L62" s="31"/>
      <c r="M62" s="31"/>
      <c r="N62" s="31"/>
      <c r="O62" s="32"/>
    </row>
    <row r="63" spans="2:15" x14ac:dyDescent="0.2">
      <c r="B63" s="30"/>
      <c r="C63" s="31"/>
      <c r="D63" s="31"/>
      <c r="E63" s="31"/>
      <c r="F63" s="31"/>
      <c r="G63" s="31"/>
      <c r="H63" s="31"/>
      <c r="I63" s="31"/>
      <c r="J63" s="31"/>
      <c r="K63" s="31"/>
      <c r="L63" s="31"/>
      <c r="M63" s="31"/>
      <c r="N63" s="31"/>
      <c r="O63" s="32"/>
    </row>
    <row r="64" spans="2:15" x14ac:dyDescent="0.2">
      <c r="B64" s="30"/>
      <c r="C64" s="31"/>
      <c r="D64" s="31"/>
      <c r="E64" s="31"/>
      <c r="F64" s="31"/>
      <c r="G64" s="31"/>
      <c r="H64" s="31"/>
      <c r="I64" s="31"/>
      <c r="J64" s="31"/>
      <c r="K64" s="31"/>
      <c r="L64" s="31"/>
      <c r="M64" s="31"/>
      <c r="N64" s="31"/>
      <c r="O64" s="32"/>
    </row>
    <row r="65" spans="2:15" x14ac:dyDescent="0.2">
      <c r="B65" s="30"/>
      <c r="C65" s="31"/>
      <c r="D65" s="31"/>
      <c r="E65" s="31"/>
      <c r="F65" s="31"/>
      <c r="G65" s="31"/>
      <c r="H65" s="31"/>
      <c r="I65" s="31"/>
      <c r="J65" s="31"/>
      <c r="K65" s="31"/>
      <c r="L65" s="31"/>
      <c r="M65" s="31"/>
      <c r="N65" s="31"/>
      <c r="O65" s="32"/>
    </row>
    <row r="66" spans="2:15" x14ac:dyDescent="0.2">
      <c r="B66" s="30"/>
      <c r="C66" s="31"/>
      <c r="D66" s="31"/>
      <c r="E66" s="31"/>
      <c r="F66" s="31"/>
      <c r="G66" s="31"/>
      <c r="H66" s="31"/>
      <c r="I66" s="31"/>
      <c r="J66" s="31"/>
      <c r="K66" s="31"/>
      <c r="L66" s="31"/>
      <c r="M66" s="31"/>
      <c r="N66" s="31"/>
      <c r="O66" s="32"/>
    </row>
    <row r="67" spans="2:15" x14ac:dyDescent="0.2">
      <c r="B67" s="30"/>
      <c r="C67" s="31"/>
      <c r="D67" s="31"/>
      <c r="E67" s="31"/>
      <c r="F67" s="31"/>
      <c r="G67" s="31"/>
      <c r="H67" s="31"/>
      <c r="I67" s="31"/>
      <c r="J67" s="31"/>
      <c r="K67" s="31"/>
      <c r="L67" s="31"/>
      <c r="M67" s="31"/>
      <c r="N67" s="31"/>
      <c r="O67" s="32"/>
    </row>
    <row r="68" spans="2:15" x14ac:dyDescent="0.2">
      <c r="B68" s="30"/>
      <c r="C68" s="31"/>
      <c r="D68" s="31"/>
      <c r="E68" s="31"/>
      <c r="F68" s="31"/>
      <c r="G68" s="31"/>
      <c r="H68" s="31"/>
      <c r="I68" s="31"/>
      <c r="J68" s="31"/>
      <c r="K68" s="31"/>
      <c r="L68" s="31"/>
      <c r="M68" s="31"/>
      <c r="N68" s="31"/>
      <c r="O68" s="32"/>
    </row>
    <row r="69" spans="2:15" x14ac:dyDescent="0.2">
      <c r="B69" s="30"/>
      <c r="C69" s="31"/>
      <c r="D69" s="31"/>
      <c r="E69" s="31"/>
      <c r="F69" s="31"/>
      <c r="G69" s="31"/>
      <c r="H69" s="31"/>
      <c r="I69" s="31"/>
      <c r="J69" s="31"/>
      <c r="K69" s="31"/>
      <c r="L69" s="31"/>
      <c r="M69" s="31"/>
      <c r="N69" s="31"/>
      <c r="O69" s="32"/>
    </row>
    <row r="70" spans="2:15" x14ac:dyDescent="0.2">
      <c r="B70" s="30"/>
      <c r="C70" s="31"/>
      <c r="D70" s="31"/>
      <c r="E70" s="31"/>
      <c r="F70" s="31"/>
      <c r="G70" s="31"/>
      <c r="H70" s="31"/>
      <c r="I70" s="31"/>
      <c r="J70" s="31"/>
      <c r="K70" s="31"/>
      <c r="L70" s="31"/>
      <c r="M70" s="31"/>
      <c r="N70" s="31"/>
      <c r="O70" s="32"/>
    </row>
    <row r="71" spans="2:15" x14ac:dyDescent="0.2">
      <c r="B71" s="30"/>
      <c r="C71" s="31"/>
      <c r="D71" s="31"/>
      <c r="E71" s="31"/>
      <c r="F71" s="31"/>
      <c r="G71" s="31"/>
      <c r="H71" s="31"/>
      <c r="I71" s="31"/>
      <c r="J71" s="31"/>
      <c r="K71" s="31"/>
      <c r="L71" s="31"/>
      <c r="M71" s="31"/>
      <c r="N71" s="31"/>
      <c r="O71" s="32"/>
    </row>
    <row r="72" spans="2:15" x14ac:dyDescent="0.2">
      <c r="B72" s="30"/>
      <c r="C72" s="31"/>
      <c r="D72" s="31"/>
      <c r="E72" s="31"/>
      <c r="F72" s="31"/>
      <c r="G72" s="31"/>
      <c r="H72" s="31"/>
      <c r="I72" s="31"/>
      <c r="J72" s="31"/>
      <c r="K72" s="31"/>
      <c r="L72" s="31"/>
      <c r="M72" s="31"/>
      <c r="N72" s="31"/>
      <c r="O72" s="32"/>
    </row>
    <row r="73" spans="2:15" x14ac:dyDescent="0.2">
      <c r="B73" s="30"/>
      <c r="C73" s="31"/>
      <c r="D73" s="31"/>
      <c r="E73" s="31"/>
      <c r="F73" s="31"/>
      <c r="G73" s="31"/>
      <c r="H73" s="31"/>
      <c r="I73" s="31"/>
      <c r="J73" s="31"/>
      <c r="K73" s="31"/>
      <c r="L73" s="31"/>
      <c r="M73" s="31"/>
      <c r="N73" s="31"/>
      <c r="O73" s="32"/>
    </row>
    <row r="74" spans="2:15" x14ac:dyDescent="0.2">
      <c r="B74" s="30"/>
      <c r="C74" s="31"/>
      <c r="D74" s="31"/>
      <c r="E74" s="31"/>
      <c r="F74" s="31"/>
      <c r="G74" s="31"/>
      <c r="H74" s="31"/>
      <c r="I74" s="31"/>
      <c r="J74" s="31"/>
      <c r="K74" s="31"/>
      <c r="L74" s="31"/>
      <c r="M74" s="31"/>
      <c r="N74" s="31"/>
      <c r="O74" s="32"/>
    </row>
    <row r="75" spans="2:15" x14ac:dyDescent="0.2">
      <c r="B75" s="30"/>
      <c r="C75" s="31"/>
      <c r="D75" s="31"/>
      <c r="E75" s="31"/>
      <c r="F75" s="31"/>
      <c r="G75" s="31"/>
      <c r="H75" s="31"/>
      <c r="I75" s="31"/>
      <c r="J75" s="31"/>
      <c r="K75" s="31"/>
      <c r="L75" s="31"/>
      <c r="M75" s="31"/>
      <c r="N75" s="31"/>
      <c r="O75" s="32"/>
    </row>
    <row r="76" spans="2:15" x14ac:dyDescent="0.2">
      <c r="B76" s="30"/>
      <c r="C76" s="31"/>
      <c r="D76" s="31"/>
      <c r="E76" s="31"/>
      <c r="F76" s="31"/>
      <c r="G76" s="31"/>
      <c r="H76" s="31"/>
      <c r="I76" s="31"/>
      <c r="J76" s="31"/>
      <c r="K76" s="31"/>
      <c r="L76" s="31"/>
      <c r="M76" s="31"/>
      <c r="N76" s="31"/>
      <c r="O76" s="32"/>
    </row>
    <row r="77" spans="2:15" x14ac:dyDescent="0.2">
      <c r="B77" s="30"/>
      <c r="C77" s="31"/>
      <c r="D77" s="31"/>
      <c r="E77" s="31"/>
      <c r="F77" s="31"/>
      <c r="G77" s="31"/>
      <c r="H77" s="31"/>
      <c r="I77" s="31"/>
      <c r="J77" s="31"/>
      <c r="K77" s="31"/>
      <c r="L77" s="31"/>
      <c r="M77" s="31"/>
      <c r="N77" s="31"/>
      <c r="O77" s="32"/>
    </row>
    <row r="78" spans="2:15" x14ac:dyDescent="0.2">
      <c r="B78" s="30"/>
      <c r="C78" s="31"/>
      <c r="D78" s="31"/>
      <c r="E78" s="31"/>
      <c r="F78" s="31"/>
      <c r="G78" s="31"/>
      <c r="H78" s="31"/>
      <c r="I78" s="31"/>
      <c r="J78" s="31"/>
      <c r="K78" s="31"/>
      <c r="L78" s="31"/>
      <c r="M78" s="31"/>
      <c r="N78" s="31"/>
      <c r="O78" s="32"/>
    </row>
    <row r="79" spans="2:15" x14ac:dyDescent="0.2">
      <c r="B79" s="30"/>
      <c r="C79" s="31"/>
      <c r="D79" s="31"/>
      <c r="E79" s="31"/>
      <c r="F79" s="31"/>
      <c r="G79" s="31"/>
      <c r="H79" s="31"/>
      <c r="I79" s="31"/>
      <c r="J79" s="31"/>
      <c r="K79" s="31"/>
      <c r="L79" s="31"/>
      <c r="M79" s="31"/>
      <c r="N79" s="31"/>
      <c r="O79" s="32"/>
    </row>
    <row r="80" spans="2:15" x14ac:dyDescent="0.2">
      <c r="B80" s="30"/>
      <c r="C80" s="31"/>
      <c r="D80" s="31"/>
      <c r="E80" s="31"/>
      <c r="F80" s="31"/>
      <c r="G80" s="31"/>
      <c r="H80" s="31"/>
      <c r="I80" s="31"/>
      <c r="J80" s="31"/>
      <c r="K80" s="31"/>
      <c r="L80" s="31"/>
      <c r="M80" s="31"/>
      <c r="N80" s="31"/>
      <c r="O80" s="32"/>
    </row>
    <row r="81" spans="2:15" x14ac:dyDescent="0.2">
      <c r="B81" s="30"/>
      <c r="C81" s="31"/>
      <c r="D81" s="31"/>
      <c r="E81" s="31"/>
      <c r="F81" s="31"/>
      <c r="G81" s="31"/>
      <c r="H81" s="31"/>
      <c r="I81" s="31"/>
      <c r="J81" s="31"/>
      <c r="K81" s="31"/>
      <c r="L81" s="31"/>
      <c r="M81" s="31"/>
      <c r="N81" s="31"/>
      <c r="O81" s="32"/>
    </row>
    <row r="82" spans="2:15" x14ac:dyDescent="0.2">
      <c r="B82" s="30"/>
      <c r="C82" s="31"/>
      <c r="D82" s="31"/>
      <c r="E82" s="31"/>
      <c r="F82" s="31"/>
      <c r="G82" s="31"/>
      <c r="H82" s="31"/>
      <c r="I82" s="31"/>
      <c r="J82" s="31"/>
      <c r="K82" s="31"/>
      <c r="L82" s="31"/>
      <c r="M82" s="31"/>
      <c r="N82" s="31"/>
      <c r="O82" s="32"/>
    </row>
    <row r="83" spans="2:15" x14ac:dyDescent="0.2">
      <c r="B83" s="30"/>
      <c r="C83" s="31"/>
      <c r="D83" s="31"/>
      <c r="E83" s="31"/>
      <c r="F83" s="31"/>
      <c r="G83" s="31"/>
      <c r="H83" s="31"/>
      <c r="I83" s="31"/>
      <c r="J83" s="31"/>
      <c r="K83" s="31"/>
      <c r="L83" s="31"/>
      <c r="M83" s="31"/>
      <c r="N83" s="31"/>
      <c r="O83" s="32"/>
    </row>
    <row r="84" spans="2:15" x14ac:dyDescent="0.2">
      <c r="B84" s="30"/>
      <c r="C84" s="31"/>
      <c r="D84" s="31"/>
      <c r="E84" s="31"/>
      <c r="F84" s="31"/>
      <c r="G84" s="31"/>
      <c r="H84" s="31"/>
      <c r="I84" s="31"/>
      <c r="J84" s="31"/>
      <c r="K84" s="31"/>
      <c r="L84" s="31"/>
      <c r="M84" s="31"/>
      <c r="N84" s="31"/>
      <c r="O84" s="32"/>
    </row>
    <row r="85" spans="2:15" x14ac:dyDescent="0.2">
      <c r="B85" s="30"/>
      <c r="C85" s="31"/>
      <c r="D85" s="31"/>
      <c r="E85" s="31"/>
      <c r="F85" s="31"/>
      <c r="G85" s="31"/>
      <c r="H85" s="31"/>
      <c r="I85" s="31"/>
      <c r="J85" s="31"/>
      <c r="K85" s="31"/>
      <c r="L85" s="31"/>
      <c r="M85" s="31"/>
      <c r="N85" s="31"/>
      <c r="O85" s="32"/>
    </row>
    <row r="86" spans="2:15" x14ac:dyDescent="0.2">
      <c r="B86" s="30"/>
      <c r="C86" s="31"/>
      <c r="D86" s="31"/>
      <c r="E86" s="31"/>
      <c r="F86" s="31"/>
      <c r="G86" s="31"/>
      <c r="H86" s="31"/>
      <c r="I86" s="31"/>
      <c r="J86" s="31"/>
      <c r="K86" s="31"/>
      <c r="L86" s="31"/>
      <c r="M86" s="31"/>
      <c r="N86" s="31"/>
      <c r="O86" s="32"/>
    </row>
    <row r="87" spans="2:15" x14ac:dyDescent="0.2">
      <c r="B87" s="30"/>
      <c r="C87" s="31"/>
      <c r="D87" s="31"/>
      <c r="E87" s="31"/>
      <c r="F87" s="31"/>
      <c r="G87" s="31"/>
      <c r="H87" s="31"/>
      <c r="I87" s="31"/>
      <c r="J87" s="31"/>
      <c r="K87" s="31"/>
      <c r="L87" s="31"/>
      <c r="M87" s="31"/>
      <c r="N87" s="31"/>
      <c r="O87" s="32"/>
    </row>
    <row r="88" spans="2:15" x14ac:dyDescent="0.2">
      <c r="B88" s="30"/>
      <c r="C88" s="31"/>
      <c r="D88" s="31"/>
      <c r="E88" s="31"/>
      <c r="F88" s="31"/>
      <c r="G88" s="31"/>
      <c r="H88" s="31"/>
      <c r="I88" s="31"/>
      <c r="J88" s="31"/>
      <c r="K88" s="31"/>
      <c r="L88" s="31"/>
      <c r="M88" s="31"/>
      <c r="N88" s="31"/>
      <c r="O88" s="32"/>
    </row>
    <row r="89" spans="2:15" x14ac:dyDescent="0.2">
      <c r="B89" s="30"/>
      <c r="C89" s="31"/>
      <c r="D89" s="31"/>
      <c r="E89" s="31"/>
      <c r="F89" s="31"/>
      <c r="G89" s="31"/>
      <c r="H89" s="31"/>
      <c r="I89" s="31"/>
      <c r="J89" s="31"/>
      <c r="K89" s="31"/>
      <c r="L89" s="31"/>
      <c r="M89" s="31"/>
      <c r="N89" s="31"/>
      <c r="O89" s="32"/>
    </row>
    <row r="90" spans="2:15" x14ac:dyDescent="0.2">
      <c r="B90" s="30"/>
      <c r="C90" s="31"/>
      <c r="D90" s="31"/>
      <c r="E90" s="31"/>
      <c r="F90" s="31"/>
      <c r="G90" s="31"/>
      <c r="H90" s="31"/>
      <c r="I90" s="31"/>
      <c r="J90" s="31"/>
      <c r="K90" s="31"/>
      <c r="L90" s="31"/>
      <c r="M90" s="31"/>
      <c r="N90" s="31"/>
      <c r="O90" s="32"/>
    </row>
    <row r="91" spans="2:15" x14ac:dyDescent="0.2">
      <c r="B91" s="30"/>
      <c r="C91" s="31"/>
      <c r="D91" s="31"/>
      <c r="E91" s="31"/>
      <c r="F91" s="31"/>
      <c r="G91" s="31"/>
      <c r="H91" s="31"/>
      <c r="I91" s="31"/>
      <c r="J91" s="31"/>
      <c r="K91" s="31"/>
      <c r="L91" s="31"/>
      <c r="M91" s="31"/>
      <c r="N91" s="31"/>
      <c r="O91" s="32"/>
    </row>
    <row r="92" spans="2:15" x14ac:dyDescent="0.2">
      <c r="B92" s="30"/>
      <c r="C92" s="31"/>
      <c r="D92" s="31"/>
      <c r="E92" s="31"/>
      <c r="F92" s="31"/>
      <c r="G92" s="31"/>
      <c r="H92" s="31"/>
      <c r="I92" s="31"/>
      <c r="J92" s="31"/>
      <c r="K92" s="31"/>
      <c r="L92" s="31"/>
      <c r="M92" s="31"/>
      <c r="N92" s="31"/>
      <c r="O92" s="32"/>
    </row>
    <row r="93" spans="2:15" x14ac:dyDescent="0.2">
      <c r="B93" s="30"/>
      <c r="C93" s="31"/>
      <c r="D93" s="31"/>
      <c r="E93" s="31"/>
      <c r="F93" s="31"/>
      <c r="G93" s="31"/>
      <c r="H93" s="31"/>
      <c r="I93" s="31"/>
      <c r="J93" s="31"/>
      <c r="K93" s="31"/>
      <c r="L93" s="31"/>
      <c r="M93" s="31"/>
      <c r="N93" s="31"/>
      <c r="O93" s="32"/>
    </row>
    <row r="94" spans="2:15" x14ac:dyDescent="0.2">
      <c r="B94" s="30"/>
      <c r="C94" s="31"/>
      <c r="D94" s="31"/>
      <c r="E94" s="31"/>
      <c r="F94" s="31"/>
      <c r="G94" s="31"/>
      <c r="H94" s="31"/>
      <c r="I94" s="31"/>
      <c r="J94" s="31"/>
      <c r="K94" s="31"/>
      <c r="L94" s="31"/>
      <c r="M94" s="31"/>
      <c r="N94" s="31"/>
      <c r="O94" s="32"/>
    </row>
    <row r="95" spans="2:15" x14ac:dyDescent="0.2">
      <c r="B95" s="30"/>
      <c r="C95" s="31"/>
      <c r="D95" s="31"/>
      <c r="E95" s="31"/>
      <c r="F95" s="31"/>
      <c r="G95" s="31"/>
      <c r="H95" s="31"/>
      <c r="I95" s="31"/>
      <c r="J95" s="31"/>
      <c r="K95" s="31"/>
      <c r="L95" s="31"/>
      <c r="M95" s="31"/>
      <c r="N95" s="31"/>
      <c r="O95" s="32"/>
    </row>
    <row r="96" spans="2:15" x14ac:dyDescent="0.2">
      <c r="B96" s="30"/>
      <c r="C96" s="31"/>
      <c r="D96" s="31"/>
      <c r="E96" s="31"/>
      <c r="F96" s="31"/>
      <c r="G96" s="31"/>
      <c r="H96" s="31"/>
      <c r="I96" s="31"/>
      <c r="J96" s="31"/>
      <c r="K96" s="31"/>
      <c r="L96" s="31"/>
      <c r="M96" s="31"/>
      <c r="N96" s="31"/>
      <c r="O96" s="32"/>
    </row>
    <row r="97" spans="2:15" x14ac:dyDescent="0.2">
      <c r="B97" s="30"/>
      <c r="C97" s="31"/>
      <c r="D97" s="31"/>
      <c r="E97" s="31"/>
      <c r="F97" s="31"/>
      <c r="G97" s="31"/>
      <c r="H97" s="31"/>
      <c r="I97" s="31"/>
      <c r="J97" s="31"/>
      <c r="K97" s="31"/>
      <c r="L97" s="31"/>
      <c r="M97" s="31"/>
      <c r="N97" s="31"/>
      <c r="O97" s="32"/>
    </row>
    <row r="98" spans="2:15" x14ac:dyDescent="0.2">
      <c r="B98" s="30"/>
      <c r="C98" s="31"/>
      <c r="D98" s="31"/>
      <c r="E98" s="31"/>
      <c r="F98" s="31"/>
      <c r="G98" s="31"/>
      <c r="H98" s="31"/>
      <c r="I98" s="31"/>
      <c r="J98" s="31"/>
      <c r="K98" s="31"/>
      <c r="L98" s="31"/>
      <c r="M98" s="31"/>
      <c r="N98" s="31"/>
      <c r="O98" s="32"/>
    </row>
    <row r="99" spans="2:15" x14ac:dyDescent="0.2">
      <c r="B99" s="30"/>
      <c r="C99" s="31"/>
      <c r="D99" s="31"/>
      <c r="E99" s="31"/>
      <c r="F99" s="31"/>
      <c r="G99" s="31"/>
      <c r="H99" s="31"/>
      <c r="I99" s="31"/>
      <c r="J99" s="31"/>
      <c r="K99" s="31"/>
      <c r="L99" s="31"/>
      <c r="M99" s="31"/>
      <c r="N99" s="31"/>
      <c r="O99" s="32"/>
    </row>
    <row r="100" spans="2:15" x14ac:dyDescent="0.2">
      <c r="B100" s="30"/>
      <c r="C100" s="31"/>
      <c r="D100" s="31"/>
      <c r="E100" s="31"/>
      <c r="F100" s="31"/>
      <c r="G100" s="31"/>
      <c r="H100" s="31"/>
      <c r="I100" s="31"/>
      <c r="J100" s="31"/>
      <c r="K100" s="31"/>
      <c r="L100" s="31"/>
      <c r="M100" s="31"/>
      <c r="N100" s="31"/>
      <c r="O100" s="32"/>
    </row>
    <row r="101" spans="2:15" x14ac:dyDescent="0.2">
      <c r="B101" s="30"/>
      <c r="C101" s="31"/>
      <c r="D101" s="31"/>
      <c r="E101" s="31"/>
      <c r="F101" s="31"/>
      <c r="G101" s="31"/>
      <c r="H101" s="31"/>
      <c r="I101" s="31"/>
      <c r="J101" s="31"/>
      <c r="K101" s="31"/>
      <c r="L101" s="31"/>
      <c r="M101" s="31"/>
      <c r="N101" s="31"/>
      <c r="O101" s="32"/>
    </row>
    <row r="102" spans="2:15" x14ac:dyDescent="0.2">
      <c r="B102" s="30"/>
      <c r="C102" s="31"/>
      <c r="D102" s="31"/>
      <c r="E102" s="31"/>
      <c r="F102" s="31"/>
      <c r="G102" s="31"/>
      <c r="H102" s="31"/>
      <c r="I102" s="31"/>
      <c r="J102" s="31"/>
      <c r="K102" s="31"/>
      <c r="L102" s="31"/>
      <c r="M102" s="31"/>
      <c r="N102" s="31"/>
      <c r="O102" s="32"/>
    </row>
    <row r="103" spans="2:15" x14ac:dyDescent="0.2">
      <c r="B103" s="30"/>
      <c r="C103" s="31"/>
      <c r="D103" s="31"/>
      <c r="E103" s="31"/>
      <c r="F103" s="31"/>
      <c r="G103" s="31"/>
      <c r="H103" s="31"/>
      <c r="I103" s="31"/>
      <c r="J103" s="31"/>
      <c r="K103" s="31"/>
      <c r="L103" s="31"/>
      <c r="M103" s="31"/>
      <c r="N103" s="31"/>
      <c r="O103" s="32"/>
    </row>
    <row r="104" spans="2:15" x14ac:dyDescent="0.2">
      <c r="B104" s="30"/>
      <c r="C104" s="31"/>
      <c r="D104" s="31"/>
      <c r="E104" s="31"/>
      <c r="F104" s="31"/>
      <c r="G104" s="31"/>
      <c r="H104" s="31"/>
      <c r="I104" s="31"/>
      <c r="J104" s="31"/>
      <c r="K104" s="31"/>
      <c r="L104" s="31"/>
      <c r="M104" s="31"/>
      <c r="N104" s="31"/>
      <c r="O104" s="32"/>
    </row>
    <row r="105" spans="2:15" x14ac:dyDescent="0.2">
      <c r="B105" s="30"/>
      <c r="C105" s="31"/>
      <c r="D105" s="31"/>
      <c r="E105" s="31"/>
      <c r="F105" s="31"/>
      <c r="G105" s="31"/>
      <c r="H105" s="31"/>
      <c r="I105" s="31"/>
      <c r="J105" s="31"/>
      <c r="K105" s="31"/>
      <c r="L105" s="31"/>
      <c r="M105" s="31"/>
      <c r="N105" s="31"/>
      <c r="O105" s="32"/>
    </row>
    <row r="106" spans="2:15" x14ac:dyDescent="0.2">
      <c r="B106" s="30"/>
      <c r="C106" s="31"/>
      <c r="D106" s="31"/>
      <c r="E106" s="31"/>
      <c r="F106" s="31"/>
      <c r="G106" s="31"/>
      <c r="H106" s="31"/>
      <c r="I106" s="31"/>
      <c r="J106" s="31"/>
      <c r="K106" s="31"/>
      <c r="L106" s="31"/>
      <c r="M106" s="31"/>
      <c r="N106" s="31"/>
      <c r="O106" s="32"/>
    </row>
    <row r="107" spans="2:15" x14ac:dyDescent="0.2">
      <c r="B107" s="30"/>
      <c r="C107" s="31"/>
      <c r="D107" s="31"/>
      <c r="E107" s="31"/>
      <c r="F107" s="31"/>
      <c r="G107" s="31"/>
      <c r="H107" s="31"/>
      <c r="I107" s="31"/>
      <c r="J107" s="31"/>
      <c r="K107" s="31"/>
      <c r="L107" s="31"/>
      <c r="M107" s="31"/>
      <c r="N107" s="31"/>
      <c r="O107" s="32"/>
    </row>
    <row r="108" spans="2:15" x14ac:dyDescent="0.2">
      <c r="B108" s="30"/>
      <c r="C108" s="31"/>
      <c r="D108" s="31"/>
      <c r="E108" s="31"/>
      <c r="F108" s="31"/>
      <c r="G108" s="31"/>
      <c r="H108" s="31"/>
      <c r="I108" s="31"/>
      <c r="J108" s="31"/>
      <c r="K108" s="31"/>
      <c r="L108" s="31"/>
      <c r="M108" s="31"/>
      <c r="N108" s="31"/>
      <c r="O108" s="32"/>
    </row>
    <row r="109" spans="2:15" x14ac:dyDescent="0.2">
      <c r="B109" s="30"/>
      <c r="C109" s="31"/>
      <c r="D109" s="31"/>
      <c r="E109" s="31"/>
      <c r="F109" s="31"/>
      <c r="G109" s="31"/>
      <c r="H109" s="31"/>
      <c r="I109" s="31"/>
      <c r="J109" s="31"/>
      <c r="K109" s="31"/>
      <c r="L109" s="31"/>
      <c r="M109" s="31"/>
      <c r="N109" s="31"/>
      <c r="O109" s="32"/>
    </row>
    <row r="110" spans="2:15" x14ac:dyDescent="0.2">
      <c r="B110" s="30"/>
      <c r="C110" s="31"/>
      <c r="D110" s="31"/>
      <c r="E110" s="31"/>
      <c r="F110" s="31"/>
      <c r="G110" s="31"/>
      <c r="H110" s="31"/>
      <c r="I110" s="31"/>
      <c r="J110" s="31"/>
      <c r="K110" s="31"/>
      <c r="L110" s="31"/>
      <c r="M110" s="31"/>
      <c r="N110" s="31"/>
      <c r="O110" s="32"/>
    </row>
    <row r="111" spans="2:15" x14ac:dyDescent="0.2">
      <c r="B111" s="30"/>
      <c r="C111" s="31"/>
      <c r="D111" s="31"/>
      <c r="E111" s="31"/>
      <c r="F111" s="31"/>
      <c r="G111" s="31"/>
      <c r="H111" s="31"/>
      <c r="I111" s="31"/>
      <c r="J111" s="31"/>
      <c r="K111" s="31"/>
      <c r="L111" s="31"/>
      <c r="M111" s="31"/>
      <c r="N111" s="31"/>
      <c r="O111" s="32"/>
    </row>
    <row r="112" spans="2:15" x14ac:dyDescent="0.2">
      <c r="B112" s="30"/>
      <c r="C112" s="31"/>
      <c r="D112" s="31"/>
      <c r="E112" s="31"/>
      <c r="F112" s="31"/>
      <c r="G112" s="31"/>
      <c r="H112" s="31"/>
      <c r="I112" s="31"/>
      <c r="J112" s="31"/>
      <c r="K112" s="31"/>
      <c r="L112" s="31"/>
      <c r="M112" s="31"/>
      <c r="N112" s="31"/>
      <c r="O112" s="32"/>
    </row>
    <row r="113" spans="2:15" x14ac:dyDescent="0.2">
      <c r="B113" s="30"/>
      <c r="C113" s="31"/>
      <c r="D113" s="31"/>
      <c r="E113" s="31"/>
      <c r="F113" s="31"/>
      <c r="G113" s="31"/>
      <c r="H113" s="31"/>
      <c r="I113" s="31"/>
      <c r="J113" s="31"/>
      <c r="K113" s="31"/>
      <c r="L113" s="31"/>
      <c r="M113" s="31"/>
      <c r="N113" s="31"/>
      <c r="O113" s="32"/>
    </row>
    <row r="114" spans="2:15" x14ac:dyDescent="0.2">
      <c r="B114" s="30"/>
      <c r="C114" s="31"/>
      <c r="D114" s="31"/>
      <c r="E114" s="31"/>
      <c r="F114" s="31"/>
      <c r="G114" s="31"/>
      <c r="H114" s="31"/>
      <c r="I114" s="31"/>
      <c r="J114" s="31"/>
      <c r="K114" s="31"/>
      <c r="L114" s="31"/>
      <c r="M114" s="31"/>
      <c r="N114" s="31"/>
      <c r="O114" s="32"/>
    </row>
    <row r="115" spans="2:15" x14ac:dyDescent="0.2">
      <c r="B115" s="30"/>
      <c r="C115" s="31"/>
      <c r="D115" s="31"/>
      <c r="E115" s="31"/>
      <c r="F115" s="31"/>
      <c r="G115" s="31"/>
      <c r="H115" s="31"/>
      <c r="I115" s="31"/>
      <c r="J115" s="31"/>
      <c r="K115" s="31"/>
      <c r="L115" s="31"/>
      <c r="M115" s="31"/>
      <c r="N115" s="31"/>
      <c r="O115" s="32"/>
    </row>
    <row r="116" spans="2:15" x14ac:dyDescent="0.2">
      <c r="B116" s="30"/>
      <c r="C116" s="31"/>
      <c r="D116" s="31"/>
      <c r="E116" s="31"/>
      <c r="F116" s="31"/>
      <c r="G116" s="31"/>
      <c r="H116" s="31"/>
      <c r="I116" s="31"/>
      <c r="J116" s="31"/>
      <c r="K116" s="31"/>
      <c r="L116" s="31"/>
      <c r="M116" s="31"/>
      <c r="N116" s="31"/>
      <c r="O116" s="32"/>
    </row>
    <row r="117" spans="2:15" x14ac:dyDescent="0.2">
      <c r="B117" s="30"/>
      <c r="C117" s="31"/>
      <c r="D117" s="31"/>
      <c r="E117" s="31"/>
      <c r="F117" s="31"/>
      <c r="G117" s="31"/>
      <c r="H117" s="31"/>
      <c r="I117" s="31"/>
      <c r="J117" s="31"/>
      <c r="K117" s="31"/>
      <c r="L117" s="31"/>
      <c r="M117" s="31"/>
      <c r="N117" s="31"/>
      <c r="O117" s="32"/>
    </row>
    <row r="118" spans="2:15" x14ac:dyDescent="0.2">
      <c r="B118" s="30"/>
      <c r="C118" s="31"/>
      <c r="D118" s="31"/>
      <c r="E118" s="31"/>
      <c r="F118" s="31"/>
      <c r="G118" s="31"/>
      <c r="H118" s="31"/>
      <c r="I118" s="31"/>
      <c r="J118" s="31"/>
      <c r="K118" s="31"/>
      <c r="L118" s="31"/>
      <c r="M118" s="31"/>
      <c r="N118" s="31"/>
      <c r="O118" s="32"/>
    </row>
    <row r="119" spans="2:15" x14ac:dyDescent="0.2">
      <c r="B119" s="30"/>
      <c r="C119" s="31"/>
      <c r="D119" s="31"/>
      <c r="E119" s="31"/>
      <c r="F119" s="31"/>
      <c r="G119" s="31"/>
      <c r="H119" s="31"/>
      <c r="I119" s="31"/>
      <c r="J119" s="31"/>
      <c r="K119" s="31"/>
      <c r="L119" s="31"/>
      <c r="M119" s="31"/>
      <c r="N119" s="31"/>
      <c r="O119" s="32"/>
    </row>
    <row r="120" spans="2:15" x14ac:dyDescent="0.2">
      <c r="B120" s="30"/>
      <c r="C120" s="31"/>
      <c r="D120" s="31"/>
      <c r="E120" s="31"/>
      <c r="F120" s="31"/>
      <c r="G120" s="31"/>
      <c r="H120" s="31"/>
      <c r="I120" s="31"/>
      <c r="J120" s="31"/>
      <c r="K120" s="31"/>
      <c r="L120" s="31"/>
      <c r="M120" s="31"/>
      <c r="N120" s="31"/>
      <c r="O120" s="32"/>
    </row>
    <row r="121" spans="2:15" x14ac:dyDescent="0.2">
      <c r="B121" s="30"/>
      <c r="C121" s="31"/>
      <c r="D121" s="31"/>
      <c r="E121" s="31"/>
      <c r="F121" s="31"/>
      <c r="G121" s="31"/>
      <c r="H121" s="31"/>
      <c r="I121" s="31"/>
      <c r="J121" s="31"/>
      <c r="K121" s="31"/>
      <c r="L121" s="31"/>
      <c r="M121" s="31"/>
      <c r="N121" s="31"/>
      <c r="O121" s="32"/>
    </row>
    <row r="122" spans="2:15" x14ac:dyDescent="0.2">
      <c r="B122" s="30"/>
      <c r="C122" s="31"/>
      <c r="D122" s="31"/>
      <c r="E122" s="31"/>
      <c r="F122" s="31"/>
      <c r="G122" s="31"/>
      <c r="H122" s="31"/>
      <c r="I122" s="31"/>
      <c r="J122" s="31"/>
      <c r="K122" s="31"/>
      <c r="L122" s="31"/>
      <c r="M122" s="31"/>
      <c r="N122" s="31"/>
      <c r="O122" s="32"/>
    </row>
    <row r="123" spans="2:15" x14ac:dyDescent="0.2">
      <c r="B123" s="30"/>
      <c r="C123" s="31"/>
      <c r="D123" s="31"/>
      <c r="E123" s="31"/>
      <c r="F123" s="31"/>
      <c r="G123" s="31"/>
      <c r="H123" s="31"/>
      <c r="I123" s="31"/>
      <c r="J123" s="31"/>
      <c r="K123" s="31"/>
      <c r="L123" s="31"/>
      <c r="M123" s="31"/>
      <c r="N123" s="31"/>
      <c r="O123" s="32"/>
    </row>
    <row r="124" spans="2:15" x14ac:dyDescent="0.2">
      <c r="B124" s="30"/>
      <c r="C124" s="31"/>
      <c r="D124" s="31"/>
      <c r="E124" s="31"/>
      <c r="F124" s="31"/>
      <c r="G124" s="31"/>
      <c r="H124" s="31"/>
      <c r="I124" s="31"/>
      <c r="J124" s="31"/>
      <c r="K124" s="31"/>
      <c r="L124" s="31"/>
      <c r="M124" s="31"/>
      <c r="N124" s="31"/>
      <c r="O124" s="32"/>
    </row>
    <row r="125" spans="2:15" x14ac:dyDescent="0.2">
      <c r="B125" s="30"/>
      <c r="C125" s="31"/>
      <c r="D125" s="31"/>
      <c r="E125" s="31"/>
      <c r="F125" s="31"/>
      <c r="G125" s="31"/>
      <c r="H125" s="31"/>
      <c r="I125" s="31"/>
      <c r="J125" s="31"/>
      <c r="K125" s="31"/>
      <c r="L125" s="31"/>
      <c r="M125" s="31"/>
      <c r="N125" s="31"/>
      <c r="O125" s="32"/>
    </row>
    <row r="126" spans="2:15" x14ac:dyDescent="0.2">
      <c r="B126" s="30"/>
      <c r="C126" s="31"/>
      <c r="D126" s="31"/>
      <c r="E126" s="31"/>
      <c r="F126" s="31"/>
      <c r="G126" s="31"/>
      <c r="H126" s="31"/>
      <c r="I126" s="31"/>
      <c r="J126" s="31"/>
      <c r="K126" s="31"/>
      <c r="L126" s="31"/>
      <c r="M126" s="31"/>
      <c r="N126" s="31"/>
      <c r="O126" s="32"/>
    </row>
    <row r="127" spans="2:15" x14ac:dyDescent="0.2">
      <c r="B127" s="30"/>
      <c r="C127" s="31"/>
      <c r="D127" s="31"/>
      <c r="E127" s="31"/>
      <c r="F127" s="31"/>
      <c r="G127" s="31"/>
      <c r="H127" s="31"/>
      <c r="I127" s="31"/>
      <c r="J127" s="31"/>
      <c r="K127" s="31"/>
      <c r="L127" s="31"/>
      <c r="M127" s="31"/>
      <c r="N127" s="31"/>
      <c r="O127" s="32"/>
    </row>
    <row r="128" spans="2:15" x14ac:dyDescent="0.2">
      <c r="B128" s="30"/>
      <c r="C128" s="31"/>
      <c r="D128" s="31"/>
      <c r="E128" s="31"/>
      <c r="F128" s="31"/>
      <c r="G128" s="31"/>
      <c r="H128" s="31"/>
      <c r="I128" s="31"/>
      <c r="J128" s="31"/>
      <c r="K128" s="31"/>
      <c r="L128" s="31"/>
      <c r="M128" s="31"/>
      <c r="N128" s="31"/>
      <c r="O128" s="32"/>
    </row>
    <row r="129" spans="2:15" x14ac:dyDescent="0.2">
      <c r="B129" s="30"/>
      <c r="C129" s="31"/>
      <c r="D129" s="31"/>
      <c r="E129" s="31"/>
      <c r="F129" s="31"/>
      <c r="G129" s="31"/>
      <c r="H129" s="31"/>
      <c r="I129" s="31"/>
      <c r="J129" s="31"/>
      <c r="K129" s="31"/>
      <c r="L129" s="31"/>
      <c r="M129" s="31"/>
      <c r="N129" s="31"/>
      <c r="O129" s="32"/>
    </row>
    <row r="130" spans="2:15" x14ac:dyDescent="0.2">
      <c r="B130" s="30"/>
      <c r="C130" s="31"/>
      <c r="D130" s="31"/>
      <c r="E130" s="31"/>
      <c r="F130" s="31"/>
      <c r="G130" s="31"/>
      <c r="H130" s="31"/>
      <c r="I130" s="31"/>
      <c r="J130" s="31"/>
      <c r="K130" s="31"/>
      <c r="L130" s="31"/>
      <c r="M130" s="31"/>
      <c r="N130" s="31"/>
      <c r="O130" s="32"/>
    </row>
    <row r="131" spans="2:15" x14ac:dyDescent="0.2">
      <c r="B131" s="30"/>
      <c r="C131" s="31"/>
      <c r="D131" s="31"/>
      <c r="E131" s="31"/>
      <c r="F131" s="31"/>
      <c r="G131" s="31"/>
      <c r="H131" s="31"/>
      <c r="I131" s="31"/>
      <c r="J131" s="31"/>
      <c r="K131" s="31"/>
      <c r="L131" s="31"/>
      <c r="M131" s="31"/>
      <c r="N131" s="31"/>
      <c r="O131" s="32"/>
    </row>
    <row r="132" spans="2:15" x14ac:dyDescent="0.2">
      <c r="B132" s="30"/>
      <c r="C132" s="31"/>
      <c r="D132" s="31"/>
      <c r="E132" s="31"/>
      <c r="F132" s="31"/>
      <c r="G132" s="31"/>
      <c r="H132" s="31"/>
      <c r="I132" s="31"/>
      <c r="J132" s="31"/>
      <c r="K132" s="31"/>
      <c r="L132" s="31"/>
      <c r="M132" s="31"/>
      <c r="N132" s="31"/>
      <c r="O132" s="32"/>
    </row>
    <row r="133" spans="2:15" x14ac:dyDescent="0.2">
      <c r="B133" s="30"/>
      <c r="C133" s="31"/>
      <c r="D133" s="31"/>
      <c r="E133" s="31"/>
      <c r="F133" s="31"/>
      <c r="G133" s="31"/>
      <c r="H133" s="31"/>
      <c r="I133" s="31"/>
      <c r="J133" s="31"/>
      <c r="K133" s="31"/>
      <c r="L133" s="31"/>
      <c r="M133" s="31"/>
      <c r="N133" s="31"/>
      <c r="O133" s="32"/>
    </row>
    <row r="134" spans="2:15" x14ac:dyDescent="0.2">
      <c r="B134" s="30"/>
      <c r="C134" s="31"/>
      <c r="D134" s="31"/>
      <c r="E134" s="31"/>
      <c r="F134" s="31"/>
      <c r="G134" s="31"/>
      <c r="H134" s="31"/>
      <c r="I134" s="31"/>
      <c r="J134" s="31"/>
      <c r="K134" s="31"/>
      <c r="L134" s="31"/>
      <c r="M134" s="31"/>
      <c r="N134" s="31"/>
      <c r="O134" s="32"/>
    </row>
    <row r="135" spans="2:15" x14ac:dyDescent="0.2">
      <c r="B135" s="30"/>
      <c r="C135" s="31"/>
      <c r="D135" s="31"/>
      <c r="E135" s="31"/>
      <c r="F135" s="31"/>
      <c r="G135" s="31"/>
      <c r="H135" s="31"/>
      <c r="I135" s="31"/>
      <c r="J135" s="31"/>
      <c r="K135" s="31"/>
      <c r="L135" s="31"/>
      <c r="M135" s="31"/>
      <c r="N135" s="31"/>
      <c r="O135" s="32"/>
    </row>
    <row r="136" spans="2:15" x14ac:dyDescent="0.2">
      <c r="B136" s="30"/>
      <c r="C136" s="31"/>
      <c r="D136" s="31"/>
      <c r="E136" s="31"/>
      <c r="F136" s="31"/>
      <c r="G136" s="31"/>
      <c r="H136" s="31"/>
      <c r="I136" s="31"/>
      <c r="J136" s="31"/>
      <c r="K136" s="31"/>
      <c r="L136" s="31"/>
      <c r="M136" s="31"/>
      <c r="N136" s="31"/>
      <c r="O136" s="32"/>
    </row>
    <row r="137" spans="2:15" x14ac:dyDescent="0.2">
      <c r="B137" s="30"/>
      <c r="C137" s="31"/>
      <c r="D137" s="31"/>
      <c r="E137" s="31"/>
      <c r="F137" s="31"/>
      <c r="G137" s="31"/>
      <c r="H137" s="31"/>
      <c r="I137" s="31"/>
      <c r="J137" s="31"/>
      <c r="K137" s="31"/>
      <c r="L137" s="31"/>
      <c r="M137" s="31"/>
      <c r="N137" s="31"/>
      <c r="O137" s="32"/>
    </row>
    <row r="138" spans="2:15" x14ac:dyDescent="0.2">
      <c r="B138" s="30"/>
      <c r="C138" s="31"/>
      <c r="D138" s="31"/>
      <c r="E138" s="31"/>
      <c r="F138" s="31"/>
      <c r="G138" s="31"/>
      <c r="H138" s="31"/>
      <c r="I138" s="31"/>
      <c r="J138" s="31"/>
      <c r="K138" s="31"/>
      <c r="L138" s="31"/>
      <c r="M138" s="31"/>
      <c r="N138" s="31"/>
      <c r="O138" s="32"/>
    </row>
    <row r="139" spans="2:15" x14ac:dyDescent="0.2">
      <c r="B139" s="30"/>
      <c r="C139" s="31"/>
      <c r="D139" s="31"/>
      <c r="E139" s="31"/>
      <c r="F139" s="31"/>
      <c r="G139" s="31"/>
      <c r="H139" s="31"/>
      <c r="I139" s="31"/>
      <c r="J139" s="31"/>
      <c r="K139" s="31"/>
      <c r="L139" s="31"/>
      <c r="M139" s="31"/>
      <c r="N139" s="31"/>
      <c r="O139" s="32"/>
    </row>
    <row r="140" spans="2:15" x14ac:dyDescent="0.2">
      <c r="B140" s="30"/>
      <c r="C140" s="31"/>
      <c r="D140" s="31"/>
      <c r="E140" s="31"/>
      <c r="F140" s="31"/>
      <c r="G140" s="31"/>
      <c r="H140" s="31"/>
      <c r="I140" s="31"/>
      <c r="J140" s="31"/>
      <c r="K140" s="31"/>
      <c r="L140" s="31"/>
      <c r="M140" s="31"/>
      <c r="N140" s="31"/>
      <c r="O140" s="32"/>
    </row>
    <row r="141" spans="2:15" x14ac:dyDescent="0.2">
      <c r="B141" s="30"/>
      <c r="C141" s="31"/>
      <c r="D141" s="31"/>
      <c r="E141" s="31"/>
      <c r="F141" s="31"/>
      <c r="G141" s="31"/>
      <c r="H141" s="31"/>
      <c r="I141" s="31"/>
      <c r="J141" s="31"/>
      <c r="K141" s="31"/>
      <c r="L141" s="31"/>
      <c r="M141" s="31"/>
      <c r="N141" s="31"/>
      <c r="O141" s="32"/>
    </row>
    <row r="142" spans="2:15" x14ac:dyDescent="0.2">
      <c r="B142" s="30"/>
      <c r="C142" s="31"/>
      <c r="D142" s="31"/>
      <c r="E142" s="31"/>
      <c r="F142" s="31"/>
      <c r="G142" s="31"/>
      <c r="H142" s="31"/>
      <c r="I142" s="31"/>
      <c r="J142" s="31"/>
      <c r="K142" s="31"/>
      <c r="L142" s="31"/>
      <c r="M142" s="31"/>
      <c r="N142" s="31"/>
      <c r="O142" s="32"/>
    </row>
    <row r="143" spans="2:15" x14ac:dyDescent="0.2">
      <c r="B143" s="30"/>
      <c r="C143" s="31"/>
      <c r="D143" s="31"/>
      <c r="E143" s="31"/>
      <c r="F143" s="31"/>
      <c r="G143" s="31"/>
      <c r="H143" s="31"/>
      <c r="I143" s="31"/>
      <c r="J143" s="31"/>
      <c r="K143" s="31"/>
      <c r="L143" s="31"/>
      <c r="M143" s="31"/>
      <c r="N143" s="31"/>
      <c r="O143" s="32"/>
    </row>
    <row r="144" spans="2:15" x14ac:dyDescent="0.2">
      <c r="B144" s="30"/>
      <c r="C144" s="31"/>
      <c r="D144" s="31"/>
      <c r="E144" s="31"/>
      <c r="F144" s="31"/>
      <c r="G144" s="31"/>
      <c r="H144" s="31"/>
      <c r="I144" s="31"/>
      <c r="J144" s="31"/>
      <c r="K144" s="31"/>
      <c r="L144" s="31"/>
      <c r="M144" s="31"/>
      <c r="N144" s="31"/>
      <c r="O144" s="32"/>
    </row>
    <row r="145" spans="2:15" x14ac:dyDescent="0.2">
      <c r="B145" s="30"/>
      <c r="C145" s="31"/>
      <c r="D145" s="31"/>
      <c r="E145" s="31"/>
      <c r="F145" s="31"/>
      <c r="G145" s="31"/>
      <c r="H145" s="31"/>
      <c r="I145" s="31"/>
      <c r="J145" s="31"/>
      <c r="K145" s="31"/>
      <c r="L145" s="31"/>
      <c r="M145" s="31"/>
      <c r="N145" s="31"/>
      <c r="O145" s="32"/>
    </row>
    <row r="146" spans="2:15" x14ac:dyDescent="0.2">
      <c r="B146" s="30"/>
      <c r="C146" s="31"/>
      <c r="D146" s="31"/>
      <c r="E146" s="31"/>
      <c r="F146" s="31"/>
      <c r="G146" s="31"/>
      <c r="H146" s="31"/>
      <c r="I146" s="31"/>
      <c r="J146" s="31"/>
      <c r="K146" s="31"/>
      <c r="L146" s="31"/>
      <c r="M146" s="31"/>
      <c r="N146" s="31"/>
      <c r="O146" s="32"/>
    </row>
    <row r="147" spans="2:15" x14ac:dyDescent="0.2">
      <c r="B147" s="30"/>
      <c r="C147" s="31"/>
      <c r="D147" s="31"/>
      <c r="E147" s="31"/>
      <c r="F147" s="31"/>
      <c r="G147" s="31"/>
      <c r="H147" s="31"/>
      <c r="I147" s="31"/>
      <c r="J147" s="31"/>
      <c r="K147" s="31"/>
      <c r="L147" s="31"/>
      <c r="M147" s="31"/>
      <c r="N147" s="31"/>
      <c r="O147" s="32"/>
    </row>
    <row r="148" spans="2:15" x14ac:dyDescent="0.2">
      <c r="B148" s="30"/>
      <c r="C148" s="31"/>
      <c r="D148" s="31"/>
      <c r="E148" s="31"/>
      <c r="F148" s="31"/>
      <c r="G148" s="31"/>
      <c r="H148" s="31"/>
      <c r="I148" s="31"/>
      <c r="J148" s="31"/>
      <c r="K148" s="31"/>
      <c r="L148" s="31"/>
      <c r="M148" s="31"/>
      <c r="N148" s="31"/>
      <c r="O148" s="32"/>
    </row>
    <row r="149" spans="2:15" x14ac:dyDescent="0.2">
      <c r="B149" s="30"/>
      <c r="C149" s="31"/>
      <c r="D149" s="31"/>
      <c r="E149" s="31"/>
      <c r="F149" s="31"/>
      <c r="G149" s="31"/>
      <c r="H149" s="31"/>
      <c r="I149" s="31"/>
      <c r="J149" s="31"/>
      <c r="K149" s="31"/>
      <c r="L149" s="31"/>
      <c r="M149" s="31"/>
      <c r="N149" s="31"/>
      <c r="O149" s="32"/>
    </row>
    <row r="150" spans="2:15" x14ac:dyDescent="0.2">
      <c r="B150" s="30"/>
      <c r="C150" s="31"/>
      <c r="D150" s="31"/>
      <c r="E150" s="31"/>
      <c r="F150" s="31"/>
      <c r="G150" s="31"/>
      <c r="H150" s="31"/>
      <c r="I150" s="31"/>
      <c r="J150" s="31"/>
      <c r="K150" s="31"/>
      <c r="L150" s="31"/>
      <c r="M150" s="31"/>
      <c r="N150" s="31"/>
      <c r="O150" s="32"/>
    </row>
    <row r="151" spans="2:15" x14ac:dyDescent="0.2">
      <c r="B151" s="30"/>
      <c r="C151" s="31"/>
      <c r="D151" s="31"/>
      <c r="E151" s="31"/>
      <c r="F151" s="31"/>
      <c r="G151" s="31"/>
      <c r="H151" s="31"/>
      <c r="I151" s="31"/>
      <c r="J151" s="31"/>
      <c r="K151" s="31"/>
      <c r="L151" s="31"/>
      <c r="M151" s="31"/>
      <c r="N151" s="31"/>
      <c r="O151" s="32"/>
    </row>
    <row r="152" spans="2:15" x14ac:dyDescent="0.2">
      <c r="B152" s="30"/>
      <c r="C152" s="31"/>
      <c r="D152" s="31"/>
      <c r="E152" s="31"/>
      <c r="F152" s="31"/>
      <c r="G152" s="31"/>
      <c r="H152" s="31"/>
      <c r="I152" s="31"/>
      <c r="J152" s="31"/>
      <c r="K152" s="31"/>
      <c r="L152" s="31"/>
      <c r="M152" s="31"/>
      <c r="N152" s="31"/>
      <c r="O152" s="32"/>
    </row>
    <row r="153" spans="2:15" x14ac:dyDescent="0.2">
      <c r="B153" s="30"/>
      <c r="C153" s="31"/>
      <c r="D153" s="31"/>
      <c r="E153" s="31"/>
      <c r="F153" s="31"/>
      <c r="G153" s="31"/>
      <c r="H153" s="31"/>
      <c r="I153" s="31"/>
      <c r="J153" s="31"/>
      <c r="K153" s="31"/>
      <c r="L153" s="31"/>
      <c r="M153" s="31"/>
      <c r="N153" s="31"/>
      <c r="O153" s="32"/>
    </row>
    <row r="154" spans="2:15" x14ac:dyDescent="0.2">
      <c r="B154" s="30"/>
      <c r="C154" s="31"/>
      <c r="D154" s="31"/>
      <c r="E154" s="31"/>
      <c r="F154" s="31"/>
      <c r="G154" s="31"/>
      <c r="H154" s="31"/>
      <c r="I154" s="31"/>
      <c r="J154" s="31"/>
      <c r="K154" s="31"/>
      <c r="L154" s="31"/>
      <c r="M154" s="31"/>
      <c r="N154" s="31"/>
      <c r="O154" s="32"/>
    </row>
    <row r="155" spans="2:15" x14ac:dyDescent="0.2">
      <c r="B155" s="30"/>
      <c r="C155" s="31"/>
      <c r="D155" s="31"/>
      <c r="E155" s="31"/>
      <c r="F155" s="31"/>
      <c r="G155" s="31"/>
      <c r="H155" s="31"/>
      <c r="I155" s="31"/>
      <c r="J155" s="31"/>
      <c r="K155" s="31"/>
      <c r="L155" s="31"/>
      <c r="M155" s="31"/>
      <c r="N155" s="31"/>
      <c r="O155" s="32"/>
    </row>
    <row r="156" spans="2:15" x14ac:dyDescent="0.2">
      <c r="B156" s="30"/>
      <c r="C156" s="31"/>
      <c r="D156" s="31"/>
      <c r="E156" s="31"/>
      <c r="F156" s="31"/>
      <c r="G156" s="31"/>
      <c r="H156" s="31"/>
      <c r="I156" s="31"/>
      <c r="J156" s="31"/>
      <c r="K156" s="31"/>
      <c r="L156" s="31"/>
      <c r="M156" s="31"/>
      <c r="N156" s="31"/>
      <c r="O156" s="32"/>
    </row>
    <row r="157" spans="2:15" x14ac:dyDescent="0.2">
      <c r="B157" s="30"/>
      <c r="C157" s="31"/>
      <c r="D157" s="31"/>
      <c r="E157" s="31"/>
      <c r="F157" s="31"/>
      <c r="G157" s="31"/>
      <c r="H157" s="31"/>
      <c r="I157" s="31"/>
      <c r="J157" s="31"/>
      <c r="K157" s="31"/>
      <c r="L157" s="31"/>
      <c r="M157" s="31"/>
      <c r="N157" s="31"/>
      <c r="O157" s="32"/>
    </row>
    <row r="158" spans="2:15" x14ac:dyDescent="0.2">
      <c r="B158" s="30"/>
      <c r="C158" s="31"/>
      <c r="D158" s="31"/>
      <c r="E158" s="31"/>
      <c r="F158" s="31"/>
      <c r="G158" s="31"/>
      <c r="H158" s="31"/>
      <c r="I158" s="31"/>
      <c r="J158" s="31"/>
      <c r="K158" s="31"/>
      <c r="L158" s="31"/>
      <c r="M158" s="31"/>
      <c r="N158" s="31"/>
      <c r="O158" s="32"/>
    </row>
    <row r="159" spans="2:15" x14ac:dyDescent="0.2">
      <c r="B159" s="30"/>
      <c r="C159" s="31"/>
      <c r="D159" s="31"/>
      <c r="E159" s="31"/>
      <c r="F159" s="31"/>
      <c r="G159" s="31"/>
      <c r="H159" s="31"/>
      <c r="I159" s="31"/>
      <c r="J159" s="31"/>
      <c r="K159" s="31"/>
      <c r="L159" s="31"/>
      <c r="M159" s="31"/>
      <c r="N159" s="31"/>
      <c r="O159" s="32"/>
    </row>
    <row r="160" spans="2:15" x14ac:dyDescent="0.2">
      <c r="B160" s="30"/>
      <c r="C160" s="31"/>
      <c r="D160" s="31"/>
      <c r="E160" s="31"/>
      <c r="F160" s="31"/>
      <c r="G160" s="31"/>
      <c r="H160" s="31"/>
      <c r="I160" s="31"/>
      <c r="J160" s="31"/>
      <c r="K160" s="31"/>
      <c r="L160" s="31"/>
      <c r="M160" s="31"/>
      <c r="N160" s="31"/>
      <c r="O160" s="32"/>
    </row>
    <row r="161" spans="2:15" x14ac:dyDescent="0.2">
      <c r="B161" s="30"/>
      <c r="C161" s="31"/>
      <c r="D161" s="31"/>
      <c r="E161" s="31"/>
      <c r="F161" s="31"/>
      <c r="G161" s="31"/>
      <c r="H161" s="31"/>
      <c r="I161" s="31"/>
      <c r="J161" s="31"/>
      <c r="K161" s="31"/>
      <c r="L161" s="31"/>
      <c r="M161" s="31"/>
      <c r="N161" s="31"/>
      <c r="O161" s="32"/>
    </row>
    <row r="162" spans="2:15" x14ac:dyDescent="0.2">
      <c r="B162" s="30"/>
      <c r="C162" s="31"/>
      <c r="D162" s="31"/>
      <c r="E162" s="31"/>
      <c r="F162" s="31"/>
      <c r="G162" s="31"/>
      <c r="H162" s="31"/>
      <c r="I162" s="31"/>
      <c r="J162" s="31"/>
      <c r="K162" s="31"/>
      <c r="L162" s="31"/>
      <c r="M162" s="31"/>
      <c r="N162" s="31"/>
      <c r="O162" s="32"/>
    </row>
    <row r="163" spans="2:15" x14ac:dyDescent="0.2">
      <c r="B163" s="30"/>
      <c r="C163" s="31"/>
      <c r="D163" s="31"/>
      <c r="E163" s="31"/>
      <c r="F163" s="31"/>
      <c r="G163" s="31"/>
      <c r="H163" s="31"/>
      <c r="I163" s="31"/>
      <c r="J163" s="31"/>
      <c r="K163" s="31"/>
      <c r="L163" s="31"/>
      <c r="M163" s="31"/>
      <c r="N163" s="31"/>
      <c r="O163" s="32"/>
    </row>
    <row r="164" spans="2:15" x14ac:dyDescent="0.2">
      <c r="B164" s="30"/>
      <c r="C164" s="31"/>
      <c r="D164" s="31"/>
      <c r="E164" s="31"/>
      <c r="F164" s="31"/>
      <c r="G164" s="31"/>
      <c r="H164" s="31"/>
      <c r="I164" s="31"/>
      <c r="J164" s="31"/>
      <c r="K164" s="31"/>
      <c r="L164" s="31"/>
      <c r="M164" s="31"/>
      <c r="N164" s="31"/>
      <c r="O164" s="32"/>
    </row>
    <row r="165" spans="2:15" x14ac:dyDescent="0.2">
      <c r="B165" s="30"/>
      <c r="C165" s="31"/>
      <c r="D165" s="31"/>
      <c r="E165" s="31"/>
      <c r="F165" s="31"/>
      <c r="G165" s="31"/>
      <c r="H165" s="31"/>
      <c r="I165" s="31"/>
      <c r="J165" s="31"/>
      <c r="K165" s="31"/>
      <c r="L165" s="31"/>
      <c r="M165" s="31"/>
      <c r="N165" s="31"/>
      <c r="O165" s="32"/>
    </row>
    <row r="166" spans="2:15" x14ac:dyDescent="0.2">
      <c r="B166" s="30"/>
      <c r="C166" s="31"/>
      <c r="D166" s="31"/>
      <c r="E166" s="31"/>
      <c r="F166" s="31"/>
      <c r="G166" s="31"/>
      <c r="H166" s="31"/>
      <c r="I166" s="31"/>
      <c r="J166" s="31"/>
      <c r="K166" s="31"/>
      <c r="L166" s="31"/>
      <c r="M166" s="31"/>
      <c r="N166" s="31"/>
      <c r="O166" s="32"/>
    </row>
    <row r="167" spans="2:15" x14ac:dyDescent="0.2">
      <c r="B167" s="30"/>
      <c r="C167" s="31"/>
      <c r="D167" s="31"/>
      <c r="E167" s="31"/>
      <c r="F167" s="31"/>
      <c r="G167" s="31"/>
      <c r="H167" s="31"/>
      <c r="I167" s="31"/>
      <c r="J167" s="31"/>
      <c r="K167" s="31"/>
      <c r="L167" s="31"/>
      <c r="M167" s="31"/>
      <c r="N167" s="31"/>
      <c r="O167" s="32"/>
    </row>
    <row r="168" spans="2:15" x14ac:dyDescent="0.2">
      <c r="B168" s="30"/>
      <c r="C168" s="31"/>
      <c r="D168" s="31"/>
      <c r="E168" s="31"/>
      <c r="F168" s="31"/>
      <c r="G168" s="31"/>
      <c r="H168" s="31"/>
      <c r="I168" s="31"/>
      <c r="J168" s="31"/>
      <c r="K168" s="31"/>
      <c r="L168" s="31"/>
      <c r="M168" s="31"/>
      <c r="N168" s="31"/>
      <c r="O168" s="32"/>
    </row>
    <row r="169" spans="2:15" x14ac:dyDescent="0.2">
      <c r="B169" s="30"/>
      <c r="C169" s="31"/>
      <c r="D169" s="31"/>
      <c r="E169" s="31"/>
      <c r="F169" s="31"/>
      <c r="G169" s="31"/>
      <c r="H169" s="31"/>
      <c r="I169" s="31"/>
      <c r="J169" s="31"/>
      <c r="K169" s="31"/>
      <c r="L169" s="31"/>
      <c r="M169" s="31"/>
      <c r="N169" s="31"/>
      <c r="O169" s="32"/>
    </row>
    <row r="170" spans="2:15" x14ac:dyDescent="0.2">
      <c r="B170" s="30"/>
      <c r="C170" s="31"/>
      <c r="D170" s="31"/>
      <c r="E170" s="31"/>
      <c r="F170" s="31"/>
      <c r="G170" s="31"/>
      <c r="H170" s="31"/>
      <c r="I170" s="31"/>
      <c r="J170" s="31"/>
      <c r="K170" s="31"/>
      <c r="L170" s="31"/>
      <c r="M170" s="31"/>
      <c r="N170" s="31"/>
      <c r="O170" s="32"/>
    </row>
    <row r="171" spans="2:15" x14ac:dyDescent="0.2">
      <c r="B171" s="30"/>
      <c r="C171" s="31"/>
      <c r="D171" s="31"/>
      <c r="E171" s="31"/>
      <c r="F171" s="31"/>
      <c r="G171" s="31"/>
      <c r="H171" s="31"/>
      <c r="I171" s="31"/>
      <c r="J171" s="31"/>
      <c r="K171" s="31"/>
      <c r="L171" s="31"/>
      <c r="M171" s="31"/>
      <c r="N171" s="31"/>
      <c r="O171" s="32"/>
    </row>
    <row r="172" spans="2:15" x14ac:dyDescent="0.2">
      <c r="B172" s="30"/>
      <c r="C172" s="31"/>
      <c r="D172" s="31"/>
      <c r="E172" s="31"/>
      <c r="F172" s="31"/>
      <c r="G172" s="31"/>
      <c r="H172" s="31"/>
      <c r="I172" s="31"/>
      <c r="J172" s="31"/>
      <c r="K172" s="31"/>
      <c r="L172" s="31"/>
      <c r="M172" s="31"/>
      <c r="N172" s="31"/>
      <c r="O172" s="32"/>
    </row>
    <row r="173" spans="2:15" x14ac:dyDescent="0.2">
      <c r="B173" s="30"/>
      <c r="C173" s="31"/>
      <c r="D173" s="31"/>
      <c r="E173" s="31"/>
      <c r="F173" s="31"/>
      <c r="G173" s="31"/>
      <c r="H173" s="31"/>
      <c r="I173" s="31"/>
      <c r="J173" s="31"/>
      <c r="K173" s="31"/>
      <c r="L173" s="31"/>
      <c r="M173" s="31"/>
      <c r="N173" s="31"/>
      <c r="O173" s="32"/>
    </row>
    <row r="174" spans="2:15" x14ac:dyDescent="0.2">
      <c r="B174" s="30"/>
      <c r="C174" s="31"/>
      <c r="D174" s="31"/>
      <c r="E174" s="31"/>
      <c r="F174" s="31"/>
      <c r="G174" s="31"/>
      <c r="H174" s="31"/>
      <c r="I174" s="31"/>
      <c r="J174" s="31"/>
      <c r="K174" s="31"/>
      <c r="L174" s="31"/>
      <c r="M174" s="31"/>
      <c r="N174" s="31"/>
      <c r="O174" s="32"/>
    </row>
    <row r="175" spans="2:15" x14ac:dyDescent="0.2">
      <c r="B175" s="30"/>
      <c r="C175" s="31"/>
      <c r="D175" s="31"/>
      <c r="E175" s="31"/>
      <c r="F175" s="31"/>
      <c r="G175" s="31"/>
      <c r="H175" s="31"/>
      <c r="I175" s="31"/>
      <c r="J175" s="31"/>
      <c r="K175" s="31"/>
      <c r="L175" s="31"/>
      <c r="M175" s="31"/>
      <c r="N175" s="31"/>
      <c r="O175" s="32"/>
    </row>
    <row r="176" spans="2:15" x14ac:dyDescent="0.2">
      <c r="B176" s="30"/>
      <c r="C176" s="31"/>
      <c r="D176" s="31"/>
      <c r="E176" s="31"/>
      <c r="F176" s="31"/>
      <c r="G176" s="31"/>
      <c r="H176" s="31"/>
      <c r="I176" s="31"/>
      <c r="J176" s="31"/>
      <c r="K176" s="31"/>
      <c r="L176" s="31"/>
      <c r="M176" s="31"/>
      <c r="N176" s="31"/>
      <c r="O176" s="32"/>
    </row>
    <row r="177" spans="2:15" x14ac:dyDescent="0.2">
      <c r="B177" s="30"/>
      <c r="C177" s="31"/>
      <c r="D177" s="31"/>
      <c r="E177" s="31"/>
      <c r="F177" s="31"/>
      <c r="G177" s="31"/>
      <c r="H177" s="31"/>
      <c r="I177" s="31"/>
      <c r="J177" s="31"/>
      <c r="K177" s="31"/>
      <c r="L177" s="31"/>
      <c r="M177" s="31"/>
      <c r="N177" s="31"/>
      <c r="O177" s="32"/>
    </row>
    <row r="178" spans="2:15" x14ac:dyDescent="0.2">
      <c r="B178" s="30"/>
      <c r="C178" s="31"/>
      <c r="D178" s="31"/>
      <c r="E178" s="31"/>
      <c r="F178" s="31"/>
      <c r="G178" s="31"/>
      <c r="H178" s="31"/>
      <c r="I178" s="31"/>
      <c r="J178" s="31"/>
      <c r="K178" s="31"/>
      <c r="L178" s="31"/>
      <c r="M178" s="31"/>
      <c r="N178" s="31"/>
      <c r="O178" s="32"/>
    </row>
    <row r="179" spans="2:15" x14ac:dyDescent="0.2">
      <c r="B179" s="30"/>
      <c r="C179" s="31"/>
      <c r="D179" s="31"/>
      <c r="E179" s="31"/>
      <c r="F179" s="31"/>
      <c r="G179" s="31"/>
      <c r="H179" s="31"/>
      <c r="I179" s="31"/>
      <c r="J179" s="31"/>
      <c r="K179" s="31"/>
      <c r="L179" s="31"/>
      <c r="M179" s="31"/>
      <c r="N179" s="31"/>
      <c r="O179" s="32"/>
    </row>
    <row r="180" spans="2:15" x14ac:dyDescent="0.2">
      <c r="B180" s="30"/>
      <c r="C180" s="31"/>
      <c r="D180" s="31"/>
      <c r="E180" s="31"/>
      <c r="F180" s="31"/>
      <c r="G180" s="31"/>
      <c r="H180" s="31"/>
      <c r="I180" s="31"/>
      <c r="J180" s="31"/>
      <c r="K180" s="31"/>
      <c r="L180" s="31"/>
      <c r="M180" s="31"/>
      <c r="N180" s="31"/>
      <c r="O180" s="32"/>
    </row>
    <row r="181" spans="2:15" x14ac:dyDescent="0.2">
      <c r="B181" s="30"/>
      <c r="C181" s="31"/>
      <c r="D181" s="31"/>
      <c r="E181" s="31"/>
      <c r="F181" s="31"/>
      <c r="G181" s="31"/>
      <c r="H181" s="31"/>
      <c r="I181" s="31"/>
      <c r="J181" s="31"/>
      <c r="K181" s="31"/>
      <c r="L181" s="31"/>
      <c r="M181" s="31"/>
      <c r="N181" s="31"/>
      <c r="O181" s="32"/>
    </row>
    <row r="182" spans="2:15" x14ac:dyDescent="0.2">
      <c r="B182" s="30"/>
      <c r="C182" s="31"/>
      <c r="D182" s="31"/>
      <c r="E182" s="31"/>
      <c r="F182" s="31"/>
      <c r="G182" s="31"/>
      <c r="H182" s="31"/>
      <c r="I182" s="31"/>
      <c r="J182" s="31"/>
      <c r="K182" s="31"/>
      <c r="L182" s="31"/>
      <c r="M182" s="31"/>
      <c r="N182" s="31"/>
      <c r="O182" s="32"/>
    </row>
    <row r="183" spans="2:15" x14ac:dyDescent="0.2">
      <c r="B183" s="30"/>
      <c r="C183" s="31"/>
      <c r="D183" s="31"/>
      <c r="E183" s="31"/>
      <c r="F183" s="31"/>
      <c r="G183" s="31"/>
      <c r="H183" s="31"/>
      <c r="I183" s="31"/>
      <c r="J183" s="31"/>
      <c r="K183" s="31"/>
      <c r="L183" s="31"/>
      <c r="M183" s="31"/>
      <c r="N183" s="31"/>
      <c r="O183" s="32"/>
    </row>
    <row r="184" spans="2:15" x14ac:dyDescent="0.2">
      <c r="B184" s="30"/>
      <c r="C184" s="31"/>
      <c r="D184" s="31"/>
      <c r="E184" s="31"/>
      <c r="F184" s="31"/>
      <c r="G184" s="31"/>
      <c r="H184" s="31"/>
      <c r="I184" s="31"/>
      <c r="J184" s="31"/>
      <c r="K184" s="31"/>
      <c r="L184" s="31"/>
      <c r="M184" s="31"/>
      <c r="N184" s="31"/>
      <c r="O184" s="32"/>
    </row>
    <row r="185" spans="2:15" x14ac:dyDescent="0.2">
      <c r="B185" s="30"/>
      <c r="C185" s="31"/>
      <c r="D185" s="31"/>
      <c r="E185" s="31"/>
      <c r="F185" s="31"/>
      <c r="G185" s="31"/>
      <c r="H185" s="31"/>
      <c r="I185" s="31"/>
      <c r="J185" s="31"/>
      <c r="K185" s="31"/>
      <c r="L185" s="31"/>
      <c r="M185" s="31"/>
      <c r="N185" s="31"/>
      <c r="O185" s="32"/>
    </row>
    <row r="186" spans="2:15" x14ac:dyDescent="0.2">
      <c r="B186" s="30"/>
      <c r="C186" s="31"/>
      <c r="D186" s="31"/>
      <c r="E186" s="31"/>
      <c r="F186" s="31"/>
      <c r="G186" s="31"/>
      <c r="H186" s="31"/>
      <c r="I186" s="31"/>
      <c r="J186" s="31"/>
      <c r="K186" s="31"/>
      <c r="L186" s="31"/>
      <c r="M186" s="31"/>
      <c r="N186" s="31"/>
      <c r="O186" s="32"/>
    </row>
    <row r="187" spans="2:15" x14ac:dyDescent="0.2">
      <c r="B187" s="30"/>
      <c r="C187" s="31"/>
      <c r="D187" s="31"/>
      <c r="E187" s="31"/>
      <c r="F187" s="31"/>
      <c r="G187" s="31"/>
      <c r="H187" s="31"/>
      <c r="I187" s="31"/>
      <c r="J187" s="31"/>
      <c r="K187" s="31"/>
      <c r="L187" s="31"/>
      <c r="M187" s="31"/>
      <c r="N187" s="31"/>
      <c r="O187" s="32"/>
    </row>
    <row r="188" spans="2:15" x14ac:dyDescent="0.2">
      <c r="B188" s="30"/>
      <c r="C188" s="31"/>
      <c r="D188" s="31"/>
      <c r="E188" s="31"/>
      <c r="F188" s="31"/>
      <c r="G188" s="31"/>
      <c r="H188" s="31"/>
      <c r="I188" s="31"/>
      <c r="J188" s="31"/>
      <c r="K188" s="31"/>
      <c r="L188" s="31"/>
      <c r="M188" s="31"/>
      <c r="N188" s="31"/>
      <c r="O188" s="32"/>
    </row>
    <row r="189" spans="2:15" x14ac:dyDescent="0.2">
      <c r="B189" s="30"/>
      <c r="C189" s="31"/>
      <c r="D189" s="31"/>
      <c r="E189" s="31"/>
      <c r="F189" s="31"/>
      <c r="G189" s="31"/>
      <c r="H189" s="31"/>
      <c r="I189" s="31"/>
      <c r="J189" s="31"/>
      <c r="K189" s="31"/>
      <c r="L189" s="31"/>
      <c r="M189" s="31"/>
      <c r="N189" s="31"/>
      <c r="O189" s="32"/>
    </row>
    <row r="190" spans="2:15" x14ac:dyDescent="0.2">
      <c r="B190" s="30"/>
      <c r="C190" s="31"/>
      <c r="D190" s="31"/>
      <c r="E190" s="31"/>
      <c r="F190" s="31"/>
      <c r="G190" s="31"/>
      <c r="H190" s="31"/>
      <c r="I190" s="31"/>
      <c r="J190" s="31"/>
      <c r="K190" s="31"/>
      <c r="L190" s="31"/>
      <c r="M190" s="31"/>
      <c r="N190" s="31"/>
      <c r="O190" s="32"/>
    </row>
    <row r="191" spans="2:15" x14ac:dyDescent="0.2">
      <c r="B191" s="30"/>
      <c r="C191" s="31"/>
      <c r="D191" s="31"/>
      <c r="E191" s="31"/>
      <c r="F191" s="31"/>
      <c r="G191" s="31"/>
      <c r="H191" s="31"/>
      <c r="I191" s="31"/>
      <c r="J191" s="31"/>
      <c r="K191" s="31"/>
      <c r="L191" s="31"/>
      <c r="M191" s="31"/>
      <c r="N191" s="31"/>
      <c r="O191" s="32"/>
    </row>
    <row r="192" spans="2:15" x14ac:dyDescent="0.2">
      <c r="B192" s="30"/>
      <c r="C192" s="31"/>
      <c r="D192" s="31"/>
      <c r="E192" s="31"/>
      <c r="F192" s="31"/>
      <c r="G192" s="31"/>
      <c r="H192" s="31"/>
      <c r="I192" s="31"/>
      <c r="J192" s="31"/>
      <c r="K192" s="31"/>
      <c r="L192" s="31"/>
      <c r="M192" s="31"/>
      <c r="N192" s="31"/>
      <c r="O192" s="32"/>
    </row>
    <row r="193" spans="2:15" x14ac:dyDescent="0.2">
      <c r="B193" s="30"/>
      <c r="C193" s="31"/>
      <c r="D193" s="31"/>
      <c r="E193" s="31"/>
      <c r="F193" s="31"/>
      <c r="G193" s="31"/>
      <c r="H193" s="31"/>
      <c r="I193" s="31"/>
      <c r="J193" s="31"/>
      <c r="K193" s="31"/>
      <c r="L193" s="31"/>
      <c r="M193" s="31"/>
      <c r="N193" s="31"/>
      <c r="O193" s="32"/>
    </row>
    <row r="194" spans="2:15" x14ac:dyDescent="0.2">
      <c r="B194" s="38"/>
      <c r="C194" s="36"/>
      <c r="D194" s="36"/>
      <c r="E194" s="36"/>
      <c r="F194" s="36"/>
      <c r="G194" s="36"/>
      <c r="H194" s="36"/>
      <c r="I194" s="36"/>
      <c r="J194" s="36"/>
      <c r="K194" s="36"/>
      <c r="L194" s="36"/>
      <c r="M194" s="36"/>
      <c r="N194" s="36"/>
      <c r="O194" s="39"/>
    </row>
  </sheetData>
  <sheetProtection password="E10F" sheet="1"/>
  <phoneticPr fontId="3" type="noConversion"/>
  <conditionalFormatting sqref="D30">
    <cfRule type="cellIs" dxfId="167" priority="8" stopIfTrue="1" operator="lessThan">
      <formula>1</formula>
    </cfRule>
    <cfRule type="cellIs" dxfId="166" priority="9" stopIfTrue="1" operator="greaterThanOrEqual">
      <formula>1</formula>
    </cfRule>
  </conditionalFormatting>
  <conditionalFormatting sqref="D32">
    <cfRule type="cellIs" dxfId="165" priority="6" stopIfTrue="1" operator="lessThan">
      <formula>1</formula>
    </cfRule>
    <cfRule type="cellIs" dxfId="164" priority="7" stopIfTrue="1" operator="greaterThanOrEqual">
      <formula>1</formula>
    </cfRule>
  </conditionalFormatting>
  <conditionalFormatting sqref="D22">
    <cfRule type="cellIs" dxfId="163" priority="5" stopIfTrue="1" operator="greaterThan">
      <formula>$D$17</formula>
    </cfRule>
  </conditionalFormatting>
  <conditionalFormatting sqref="D23">
    <cfRule type="cellIs" dxfId="162" priority="4" stopIfTrue="1" operator="greaterThan">
      <formula>$D$18</formula>
    </cfRule>
  </conditionalFormatting>
  <conditionalFormatting sqref="D33">
    <cfRule type="cellIs" dxfId="161" priority="1" stopIfTrue="1" operator="equal">
      <formula>"N/A"</formula>
    </cfRule>
    <cfRule type="cellIs" dxfId="160" priority="2" stopIfTrue="1" operator="equal">
      <formula>"FAIL"</formula>
    </cfRule>
    <cfRule type="cellIs" dxfId="159" priority="3" stopIfTrue="1" operator="equal">
      <formula>"PASS"</formula>
    </cfRule>
  </conditionalFormatting>
  <dataValidations count="2">
    <dataValidation type="list" allowBlank="1" showInputMessage="1" showErrorMessage="1" promptTitle="Select Material" sqref="C4" xr:uid="{00000000-0002-0000-0F00-000000000000}">
      <formula1>Materials</formula1>
    </dataValidation>
    <dataValidation type="list" allowBlank="1" showInputMessage="1" showErrorMessage="1" promptTitle="Select Material" sqref="D4" xr:uid="{00000000-0002-0000-0F00-000001000000}">
      <formula1>"Steel, Aluminium 1, Composite AIP,Comp (IAD Test)"</formula1>
    </dataValidation>
  </dataValidations>
  <hyperlinks>
    <hyperlink ref="B38" location="'T2.20 Guidance Notes'!A1" display="Link to guidance notes" xr:uid="{00000000-0004-0000-0F00-000000000000}"/>
    <hyperlink ref="K33" location="'Cover Sheet'!A1" display="BACK to COVER SHEET" xr:uid="{00000000-0004-0000-0F00-000001000000}"/>
    <hyperlink ref="K33:M33" location="'Cover Sheet'!A1" display="BACK to COVER SHEET" xr:uid="{00000000-0004-0000-0F00-000002000000}"/>
  </hyperlinks>
  <pageMargins left="0.75" right="0.75" top="1" bottom="1" header="0.5" footer="0.5"/>
  <pageSetup paperSize="9" scale="49" fitToHeight="2"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O186"/>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98" t="s">
        <v>559</v>
      </c>
      <c r="B1" s="699"/>
      <c r="C1" s="699"/>
      <c r="D1" s="699"/>
      <c r="E1" s="699"/>
      <c r="F1" s="699"/>
      <c r="G1" s="699"/>
      <c r="H1" s="699"/>
      <c r="I1" s="699"/>
      <c r="J1" s="699"/>
      <c r="K1" s="699"/>
      <c r="L1" s="699"/>
      <c r="M1" s="699"/>
      <c r="N1" s="699"/>
      <c r="O1" s="699"/>
      <c r="P1" s="699"/>
      <c r="Q1" s="699"/>
      <c r="R1" s="699"/>
      <c r="S1" s="700"/>
      <c r="T1" s="698" t="s">
        <v>560</v>
      </c>
      <c r="U1" s="699"/>
      <c r="V1" s="699"/>
      <c r="W1" s="699"/>
      <c r="X1" s="699"/>
      <c r="Y1" s="699"/>
      <c r="Z1" s="699"/>
      <c r="AA1" s="699"/>
      <c r="AB1" s="699"/>
      <c r="AC1" s="699"/>
      <c r="AD1" s="699"/>
      <c r="AE1" s="699"/>
      <c r="AF1" s="699"/>
      <c r="AG1" s="699"/>
      <c r="AH1" s="699"/>
      <c r="AI1" s="699"/>
      <c r="AJ1" s="699"/>
      <c r="AK1" s="699"/>
      <c r="AL1" s="700"/>
    </row>
    <row r="2" spans="1:41"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701" t="str">
        <f>IF('Cover Sheet'!D14:J14&gt;0,'Cover Sheet'!D14:J14,"")</f>
        <v>EPSA</v>
      </c>
      <c r="E3" s="701"/>
      <c r="F3" s="701"/>
      <c r="G3" s="701"/>
      <c r="H3" s="701"/>
      <c r="I3" s="701"/>
      <c r="J3" s="701"/>
      <c r="K3" t="s">
        <v>48</v>
      </c>
      <c r="O3" s="701" t="str">
        <f>IF('Cover Sheet'!O14:S14&gt;0,'Cover Sheet'!O14:S14,"")</f>
        <v/>
      </c>
      <c r="P3" s="701"/>
      <c r="Q3" s="701"/>
      <c r="R3" s="701"/>
      <c r="S3" s="701"/>
      <c r="T3" s="8" t="s">
        <v>47</v>
      </c>
      <c r="W3" s="701" t="str">
        <f>IF('Cover Sheet'!W14:AC14&gt;0,'Cover Sheet'!W14:AC14,"")</f>
        <v/>
      </c>
      <c r="X3" s="701"/>
      <c r="Y3" s="701"/>
      <c r="Z3" s="701"/>
      <c r="AA3" s="701"/>
      <c r="AB3" s="701"/>
      <c r="AC3" s="701"/>
      <c r="AD3" t="s">
        <v>48</v>
      </c>
      <c r="AH3" s="701" t="str">
        <f>IF('Cover Sheet'!AH14:AL14&gt;0,'Cover Sheet'!AH14:AL14,"")</f>
        <v/>
      </c>
      <c r="AI3" s="701"/>
      <c r="AJ3" s="701"/>
      <c r="AK3" s="701"/>
      <c r="AL3" s="702"/>
      <c r="AM3" s="8"/>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691"/>
      <c r="B5" s="692"/>
      <c r="C5" s="692"/>
      <c r="D5" s="692"/>
      <c r="E5" s="692"/>
      <c r="F5" s="692"/>
      <c r="G5" s="692"/>
      <c r="H5" s="692"/>
      <c r="I5" s="692"/>
      <c r="J5" s="692"/>
      <c r="K5" s="692"/>
      <c r="L5" s="692"/>
      <c r="M5" s="692"/>
      <c r="N5" s="692"/>
      <c r="O5" s="692"/>
      <c r="P5" s="692"/>
      <c r="Q5" s="692"/>
      <c r="R5" s="692"/>
      <c r="S5" s="693"/>
      <c r="T5" s="24"/>
      <c r="U5" s="25"/>
      <c r="V5" s="25"/>
      <c r="W5" s="25"/>
      <c r="X5" s="25"/>
      <c r="Y5" s="25"/>
      <c r="Z5" s="25"/>
      <c r="AA5" s="25"/>
      <c r="AB5" s="25"/>
      <c r="AC5" s="25"/>
      <c r="AD5" s="25"/>
      <c r="AE5" s="25"/>
      <c r="AF5" s="25"/>
      <c r="AG5" s="25"/>
      <c r="AH5" s="25"/>
      <c r="AI5" s="25"/>
      <c r="AJ5" s="25"/>
      <c r="AK5" s="25"/>
      <c r="AL5" s="26"/>
    </row>
    <row r="6" spans="1:41" x14ac:dyDescent="0.2">
      <c r="A6" s="27"/>
      <c r="B6" s="28"/>
      <c r="C6" s="28"/>
      <c r="D6" s="28"/>
      <c r="E6" s="28"/>
      <c r="F6" s="28"/>
      <c r="G6" s="28"/>
      <c r="H6" s="28"/>
      <c r="I6" s="28"/>
      <c r="J6" s="28"/>
      <c r="K6" s="28"/>
      <c r="L6" s="28"/>
      <c r="M6" s="28"/>
      <c r="N6" s="28"/>
      <c r="O6" s="28"/>
      <c r="P6" s="28"/>
      <c r="Q6" s="28"/>
      <c r="R6" s="28"/>
      <c r="S6" s="29"/>
      <c r="T6" s="30"/>
      <c r="U6" s="31"/>
      <c r="V6" s="31"/>
      <c r="W6" s="31"/>
      <c r="X6" s="31"/>
      <c r="Y6" s="31"/>
      <c r="Z6" s="31"/>
      <c r="AA6" s="31"/>
      <c r="AB6" s="31"/>
      <c r="AC6" s="31"/>
      <c r="AD6" s="31"/>
      <c r="AE6" s="31"/>
      <c r="AF6" s="31"/>
      <c r="AG6" s="31"/>
      <c r="AH6" s="31"/>
      <c r="AI6" s="31"/>
      <c r="AJ6" s="31"/>
      <c r="AK6" s="31"/>
      <c r="AL6" s="32"/>
    </row>
    <row r="7" spans="1:41" x14ac:dyDescent="0.2">
      <c r="A7" s="27"/>
      <c r="B7" s="28"/>
      <c r="C7" s="28"/>
      <c r="D7" s="28"/>
      <c r="E7" s="28"/>
      <c r="F7" s="28"/>
      <c r="G7" s="28"/>
      <c r="H7" s="28"/>
      <c r="I7" s="28"/>
      <c r="J7" s="28"/>
      <c r="K7" s="28"/>
      <c r="L7" s="28"/>
      <c r="M7" s="28"/>
      <c r="N7" s="28"/>
      <c r="O7" s="28"/>
      <c r="P7" s="28"/>
      <c r="Q7" s="28"/>
      <c r="R7" s="28"/>
      <c r="S7" s="29"/>
      <c r="T7" s="30"/>
      <c r="U7" s="31"/>
      <c r="V7" s="31"/>
      <c r="W7" s="31"/>
      <c r="X7" s="31"/>
      <c r="Y7" s="31"/>
      <c r="Z7" s="31"/>
      <c r="AA7" s="31"/>
      <c r="AB7" s="31"/>
      <c r="AC7" s="31"/>
      <c r="AD7" s="31"/>
      <c r="AE7" s="31"/>
      <c r="AF7" s="31"/>
      <c r="AG7" s="31"/>
      <c r="AH7" s="31"/>
      <c r="AI7" s="31"/>
      <c r="AJ7" s="31"/>
      <c r="AK7" s="31"/>
      <c r="AL7" s="32"/>
    </row>
    <row r="8" spans="1:41" x14ac:dyDescent="0.2">
      <c r="A8" s="27"/>
      <c r="B8" s="28"/>
      <c r="C8" s="28"/>
      <c r="D8" s="28"/>
      <c r="E8" s="28"/>
      <c r="F8" s="28"/>
      <c r="G8" s="28"/>
      <c r="H8" s="28"/>
      <c r="I8" s="28"/>
      <c r="J8" s="28"/>
      <c r="K8" s="28"/>
      <c r="L8" s="28"/>
      <c r="M8" s="28"/>
      <c r="N8" s="28"/>
      <c r="O8" s="28"/>
      <c r="P8" s="28"/>
      <c r="Q8" s="28"/>
      <c r="R8" s="28"/>
      <c r="S8" s="29"/>
      <c r="T8" s="30"/>
      <c r="U8" s="31"/>
      <c r="V8" s="31"/>
      <c r="W8" s="31"/>
      <c r="X8" s="31"/>
      <c r="Y8" s="31"/>
      <c r="Z8" s="31"/>
      <c r="AA8" s="31"/>
      <c r="AB8" s="31"/>
      <c r="AC8" s="31"/>
      <c r="AD8" s="31"/>
      <c r="AE8" s="31"/>
      <c r="AF8" s="31"/>
      <c r="AG8" s="31"/>
      <c r="AH8" s="31"/>
      <c r="AI8" s="31"/>
      <c r="AJ8" s="31"/>
      <c r="AK8" s="31"/>
      <c r="AL8" s="32"/>
    </row>
    <row r="9" spans="1:41" x14ac:dyDescent="0.2">
      <c r="A9" s="27"/>
      <c r="B9" s="28"/>
      <c r="C9" s="28"/>
      <c r="D9" s="28"/>
      <c r="E9" s="28"/>
      <c r="F9" s="31"/>
      <c r="G9" s="31"/>
      <c r="H9" s="28"/>
      <c r="I9" s="28"/>
      <c r="J9" s="28"/>
      <c r="K9" s="28"/>
      <c r="L9" s="28"/>
      <c r="M9" s="28"/>
      <c r="N9" s="28"/>
      <c r="O9" s="28"/>
      <c r="P9" s="28"/>
      <c r="Q9" s="28"/>
      <c r="R9" s="28"/>
      <c r="S9" s="29"/>
      <c r="T9" s="30"/>
      <c r="U9" s="31"/>
      <c r="V9" s="31"/>
      <c r="W9" s="31"/>
      <c r="X9" s="31"/>
      <c r="Y9" s="31"/>
      <c r="Z9" s="31"/>
      <c r="AA9" s="31"/>
      <c r="AB9" s="31"/>
      <c r="AC9" s="31"/>
      <c r="AD9" s="31"/>
      <c r="AE9" s="31"/>
      <c r="AF9" s="31"/>
      <c r="AG9" s="31"/>
      <c r="AH9" s="31"/>
      <c r="AI9" s="31"/>
      <c r="AJ9" s="31"/>
      <c r="AK9" s="31"/>
      <c r="AL9" s="32"/>
    </row>
    <row r="10" spans="1:41" x14ac:dyDescent="0.2">
      <c r="A10" s="27"/>
      <c r="B10" s="28"/>
      <c r="C10" s="28"/>
      <c r="D10" s="28"/>
      <c r="E10" s="28"/>
      <c r="F10" s="28"/>
      <c r="G10" s="28"/>
      <c r="H10" s="28"/>
      <c r="I10" s="28"/>
      <c r="J10" s="28"/>
      <c r="K10" s="28"/>
      <c r="L10" s="28"/>
      <c r="M10" s="28"/>
      <c r="N10" s="28"/>
      <c r="O10" s="28"/>
      <c r="P10" s="28"/>
      <c r="Q10" s="28"/>
      <c r="R10" s="28"/>
      <c r="S10" s="29"/>
      <c r="T10" s="30"/>
      <c r="U10" s="31"/>
      <c r="V10" s="31"/>
      <c r="W10" s="31"/>
      <c r="X10" s="31"/>
      <c r="Y10" s="31"/>
      <c r="Z10" s="31"/>
      <c r="AA10" s="31"/>
      <c r="AB10" s="31"/>
      <c r="AC10" s="31"/>
      <c r="AD10" s="31"/>
      <c r="AE10" s="31"/>
      <c r="AF10" s="31"/>
      <c r="AG10" s="31"/>
      <c r="AH10" s="31"/>
      <c r="AI10" s="31"/>
      <c r="AJ10" s="31"/>
      <c r="AK10" s="31"/>
      <c r="AL10" s="32"/>
    </row>
    <row r="11" spans="1:41" x14ac:dyDescent="0.2">
      <c r="A11" s="27"/>
      <c r="B11" s="28"/>
      <c r="C11" s="28"/>
      <c r="D11" s="28"/>
      <c r="E11" s="28"/>
      <c r="F11" s="28"/>
      <c r="G11" s="33" t="s">
        <v>101</v>
      </c>
      <c r="H11" s="28"/>
      <c r="I11" s="28"/>
      <c r="J11" s="28"/>
      <c r="K11" s="28"/>
      <c r="L11" s="28"/>
      <c r="M11" s="28"/>
      <c r="N11" s="28"/>
      <c r="O11" s="28"/>
      <c r="P11" s="28"/>
      <c r="Q11" s="28"/>
      <c r="R11" s="28"/>
      <c r="S11" s="29"/>
      <c r="T11" s="30"/>
      <c r="U11" s="31"/>
      <c r="V11" s="31"/>
      <c r="W11" s="31"/>
      <c r="X11" s="33"/>
      <c r="Y11" s="31"/>
      <c r="Z11" s="33" t="s">
        <v>101</v>
      </c>
      <c r="AA11" s="31"/>
      <c r="AB11" s="31"/>
      <c r="AC11" s="31"/>
      <c r="AD11" s="31"/>
      <c r="AE11" s="31"/>
      <c r="AF11" s="31"/>
      <c r="AG11" s="31"/>
      <c r="AH11" s="31"/>
      <c r="AI11" s="31"/>
      <c r="AJ11" s="31"/>
      <c r="AK11" s="31"/>
      <c r="AL11" s="32"/>
    </row>
    <row r="12" spans="1:41" x14ac:dyDescent="0.2">
      <c r="A12" s="27"/>
      <c r="B12" s="28"/>
      <c r="C12" s="28"/>
      <c r="D12" s="28"/>
      <c r="E12" s="28"/>
      <c r="F12" s="28"/>
      <c r="G12" s="28"/>
      <c r="H12" s="28"/>
      <c r="I12" s="28"/>
      <c r="J12" s="28"/>
      <c r="K12" s="28"/>
      <c r="L12" s="28"/>
      <c r="M12" s="28"/>
      <c r="N12" s="28"/>
      <c r="O12" s="28"/>
      <c r="P12" s="28"/>
      <c r="Q12" s="28"/>
      <c r="R12" s="28"/>
      <c r="S12" s="29"/>
      <c r="T12" s="30"/>
      <c r="U12" s="31"/>
      <c r="V12" s="31"/>
      <c r="W12" s="31"/>
      <c r="X12" s="31"/>
      <c r="Y12" s="31"/>
      <c r="Z12" s="31"/>
      <c r="AA12" s="31"/>
      <c r="AB12" s="31"/>
      <c r="AC12" s="31"/>
      <c r="AD12" s="31"/>
      <c r="AE12" s="31"/>
      <c r="AF12" s="31"/>
      <c r="AG12" s="31"/>
      <c r="AH12" s="31"/>
      <c r="AI12" s="31"/>
      <c r="AJ12" s="31"/>
      <c r="AK12" s="31"/>
      <c r="AL12" s="32"/>
    </row>
    <row r="13" spans="1:41" x14ac:dyDescent="0.2">
      <c r="A13" s="27"/>
      <c r="B13" s="28"/>
      <c r="C13" s="28"/>
      <c r="D13" s="28"/>
      <c r="E13" s="28"/>
      <c r="F13" s="28"/>
      <c r="G13" s="33" t="s">
        <v>282</v>
      </c>
      <c r="H13" s="28"/>
      <c r="I13" s="28"/>
      <c r="J13" s="28"/>
      <c r="K13" s="28"/>
      <c r="L13" s="28"/>
      <c r="M13" s="28"/>
      <c r="N13" s="28"/>
      <c r="O13" s="28"/>
      <c r="P13" s="28"/>
      <c r="Q13" s="28"/>
      <c r="R13" s="28"/>
      <c r="S13" s="29"/>
      <c r="T13" s="30"/>
      <c r="U13" s="31"/>
      <c r="V13" s="31"/>
      <c r="W13" s="31"/>
      <c r="X13" s="31"/>
      <c r="Y13" s="31"/>
      <c r="Z13" s="33" t="s">
        <v>282</v>
      </c>
      <c r="AA13" s="31"/>
      <c r="AB13" s="31"/>
      <c r="AC13" s="31"/>
      <c r="AD13" s="31"/>
      <c r="AE13" s="31"/>
      <c r="AF13" s="31"/>
      <c r="AG13" s="31"/>
      <c r="AH13" s="31"/>
      <c r="AI13" s="31"/>
      <c r="AJ13" s="31"/>
      <c r="AK13" s="31"/>
      <c r="AL13" s="32"/>
    </row>
    <row r="14" spans="1:41" x14ac:dyDescent="0.2">
      <c r="A14" s="27"/>
      <c r="B14" s="28"/>
      <c r="C14" s="28"/>
      <c r="D14" s="28"/>
      <c r="E14" s="28"/>
      <c r="F14" s="28"/>
      <c r="G14" s="28"/>
      <c r="H14" s="28"/>
      <c r="I14" s="28"/>
      <c r="J14" s="28"/>
      <c r="K14" s="28"/>
      <c r="L14" s="28"/>
      <c r="M14" s="28"/>
      <c r="N14" s="28"/>
      <c r="O14" s="28"/>
      <c r="P14" s="28"/>
      <c r="Q14" s="28"/>
      <c r="R14" s="28"/>
      <c r="S14" s="29"/>
      <c r="T14" s="30"/>
      <c r="U14" s="31"/>
      <c r="V14" s="31"/>
      <c r="W14" s="31"/>
      <c r="X14" s="31"/>
      <c r="Y14" s="31"/>
      <c r="Z14" s="31"/>
      <c r="AA14" s="31"/>
      <c r="AB14" s="31"/>
      <c r="AC14" s="31"/>
      <c r="AD14" s="31"/>
      <c r="AE14" s="31"/>
      <c r="AF14" s="31"/>
      <c r="AG14" s="31"/>
      <c r="AH14" s="31"/>
      <c r="AI14" s="31"/>
      <c r="AJ14" s="31"/>
      <c r="AK14" s="31"/>
      <c r="AL14" s="32"/>
    </row>
    <row r="15" spans="1:41" x14ac:dyDescent="0.2">
      <c r="A15" s="27"/>
      <c r="B15" s="28"/>
      <c r="C15" s="28"/>
      <c r="D15" s="28"/>
      <c r="E15" s="28"/>
      <c r="F15" s="28"/>
      <c r="G15" s="28"/>
      <c r="H15" s="28"/>
      <c r="I15" s="28"/>
      <c r="J15" s="28"/>
      <c r="K15" s="28"/>
      <c r="L15" s="28"/>
      <c r="M15" s="28"/>
      <c r="N15" s="28"/>
      <c r="O15" s="28"/>
      <c r="P15" s="28"/>
      <c r="Q15" s="28"/>
      <c r="R15" s="28"/>
      <c r="S15" s="29"/>
      <c r="T15" s="30"/>
      <c r="U15" s="31"/>
      <c r="V15" s="31"/>
      <c r="W15" s="31"/>
      <c r="X15" s="31"/>
      <c r="Y15" s="31"/>
      <c r="Z15" s="31"/>
      <c r="AA15" s="31"/>
      <c r="AB15" s="31"/>
      <c r="AC15" s="31"/>
      <c r="AD15" s="31"/>
      <c r="AE15" s="31"/>
      <c r="AF15" s="31"/>
      <c r="AG15" s="31"/>
      <c r="AH15" s="31"/>
      <c r="AI15" s="31"/>
      <c r="AJ15" s="31"/>
      <c r="AK15" s="31"/>
      <c r="AL15" s="32"/>
    </row>
    <row r="16" spans="1:41" x14ac:dyDescent="0.2">
      <c r="A16" s="27"/>
      <c r="B16" s="28"/>
      <c r="C16" s="28"/>
      <c r="D16" s="28"/>
      <c r="E16" s="28"/>
      <c r="F16" s="28"/>
      <c r="G16" s="28"/>
      <c r="H16" s="28"/>
      <c r="I16" s="28"/>
      <c r="J16" s="28"/>
      <c r="K16" s="28"/>
      <c r="L16" s="28"/>
      <c r="M16" s="28"/>
      <c r="N16" s="28"/>
      <c r="O16" s="28"/>
      <c r="P16" s="28"/>
      <c r="Q16" s="28"/>
      <c r="R16" s="28"/>
      <c r="S16" s="29"/>
      <c r="T16" s="30"/>
      <c r="U16" s="31"/>
      <c r="V16" s="31"/>
      <c r="W16" s="31"/>
      <c r="X16" s="31"/>
      <c r="Y16" s="31"/>
      <c r="Z16" s="31"/>
      <c r="AA16" s="31"/>
      <c r="AB16" s="31"/>
      <c r="AC16" s="31"/>
      <c r="AD16" s="31"/>
      <c r="AE16" s="31"/>
      <c r="AF16" s="31"/>
      <c r="AG16" s="31"/>
      <c r="AH16" s="31"/>
      <c r="AI16" s="31"/>
      <c r="AJ16" s="31"/>
      <c r="AK16" s="31"/>
      <c r="AL16" s="32"/>
    </row>
    <row r="17" spans="1:38" x14ac:dyDescent="0.2">
      <c r="A17" s="27"/>
      <c r="B17" s="28"/>
      <c r="C17" s="28"/>
      <c r="D17" s="28"/>
      <c r="E17" s="28"/>
      <c r="F17" s="28"/>
      <c r="G17" s="28"/>
      <c r="H17" s="28"/>
      <c r="I17" s="28"/>
      <c r="J17" s="28"/>
      <c r="K17" s="28"/>
      <c r="L17" s="28"/>
      <c r="M17" s="28"/>
      <c r="N17" s="28"/>
      <c r="O17" s="28"/>
      <c r="P17" s="28"/>
      <c r="Q17" s="28"/>
      <c r="R17" s="28"/>
      <c r="S17" s="29"/>
      <c r="T17" s="30"/>
      <c r="U17" s="31"/>
      <c r="V17" s="31"/>
      <c r="W17" s="31"/>
      <c r="X17" s="31"/>
      <c r="Y17" s="31"/>
      <c r="Z17" s="31"/>
      <c r="AA17" s="31"/>
      <c r="AB17" s="31"/>
      <c r="AC17" s="31"/>
      <c r="AD17" s="31"/>
      <c r="AE17" s="31"/>
      <c r="AF17" s="31"/>
      <c r="AG17" s="31"/>
      <c r="AH17" s="31"/>
      <c r="AI17" s="31"/>
      <c r="AJ17" s="31"/>
      <c r="AK17" s="31"/>
      <c r="AL17" s="32"/>
    </row>
    <row r="18" spans="1:38" x14ac:dyDescent="0.2">
      <c r="A18" s="34"/>
      <c r="B18" s="35"/>
      <c r="C18" s="35"/>
      <c r="D18" s="35"/>
      <c r="E18" s="36"/>
      <c r="F18" s="36"/>
      <c r="G18" s="35"/>
      <c r="H18" s="36"/>
      <c r="I18" s="35"/>
      <c r="J18" s="35"/>
      <c r="K18" s="35"/>
      <c r="L18" s="35"/>
      <c r="M18" s="35"/>
      <c r="N18" s="35"/>
      <c r="O18" s="35"/>
      <c r="P18" s="35"/>
      <c r="Q18" s="35"/>
      <c r="R18" s="35"/>
      <c r="S18" s="37"/>
      <c r="T18" s="38"/>
      <c r="U18" s="36"/>
      <c r="V18" s="36"/>
      <c r="W18" s="36"/>
      <c r="X18" s="36"/>
      <c r="Y18" s="36"/>
      <c r="Z18" s="36"/>
      <c r="AA18" s="36"/>
      <c r="AB18" s="36"/>
      <c r="AC18" s="36"/>
      <c r="AD18" s="36"/>
      <c r="AE18" s="36"/>
      <c r="AF18" s="36"/>
      <c r="AG18" s="36"/>
      <c r="AH18" s="36"/>
      <c r="AI18" s="36"/>
      <c r="AJ18" s="36"/>
      <c r="AK18" s="36"/>
      <c r="AL18" s="39"/>
    </row>
    <row r="19" spans="1:38" x14ac:dyDescent="0.2">
      <c r="A19" s="13" t="s">
        <v>132</v>
      </c>
      <c r="B19" s="10"/>
      <c r="C19" s="10"/>
      <c r="D19" s="10"/>
      <c r="E19" s="10"/>
      <c r="F19" s="10"/>
      <c r="G19" s="10"/>
      <c r="H19" s="10"/>
      <c r="I19" s="10"/>
      <c r="J19" s="10"/>
      <c r="K19" s="10"/>
      <c r="L19" s="10"/>
      <c r="M19" s="10"/>
      <c r="N19" s="10"/>
      <c r="O19" s="10"/>
      <c r="P19" s="10"/>
      <c r="Q19" s="10"/>
      <c r="R19" s="10"/>
      <c r="S19" s="11"/>
      <c r="T19" s="14" t="s">
        <v>149</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40"/>
      <c r="B21" s="41"/>
      <c r="C21" s="41"/>
      <c r="D21" s="41"/>
      <c r="E21" s="41"/>
      <c r="F21" s="41"/>
      <c r="G21" s="41"/>
      <c r="H21" s="41"/>
      <c r="I21" s="41"/>
      <c r="J21" s="41"/>
      <c r="K21" s="41"/>
      <c r="L21" s="41"/>
      <c r="M21" s="41"/>
      <c r="N21" s="41"/>
      <c r="O21" s="41"/>
      <c r="P21" s="41"/>
      <c r="Q21" s="41"/>
      <c r="R21" s="41"/>
      <c r="S21" s="42"/>
      <c r="T21" s="24"/>
      <c r="U21" s="25"/>
      <c r="V21" s="25"/>
      <c r="W21" s="25"/>
      <c r="X21" s="25"/>
      <c r="Y21" s="25"/>
      <c r="Z21" s="25"/>
      <c r="AA21" s="25"/>
      <c r="AB21" s="25"/>
      <c r="AC21" s="25"/>
      <c r="AD21" s="25"/>
      <c r="AE21" s="25"/>
      <c r="AF21" s="25"/>
      <c r="AG21" s="25"/>
      <c r="AH21" s="25"/>
      <c r="AI21" s="25"/>
      <c r="AJ21" s="25"/>
      <c r="AK21" s="25"/>
      <c r="AL21" s="26"/>
    </row>
    <row r="22" spans="1:38" x14ac:dyDescent="0.2">
      <c r="A22" s="27"/>
      <c r="B22" s="28"/>
      <c r="C22" s="28"/>
      <c r="D22" s="28"/>
      <c r="E22" s="28"/>
      <c r="F22" s="28"/>
      <c r="G22" s="28"/>
      <c r="H22" s="28"/>
      <c r="I22" s="28"/>
      <c r="J22" s="28"/>
      <c r="K22" s="28"/>
      <c r="L22" s="28"/>
      <c r="M22" s="28"/>
      <c r="N22" s="28"/>
      <c r="O22" s="28"/>
      <c r="P22" s="28"/>
      <c r="Q22" s="28"/>
      <c r="R22" s="28"/>
      <c r="S22" s="29"/>
      <c r="T22" s="30"/>
      <c r="U22" s="31"/>
      <c r="V22" s="31"/>
      <c r="W22" s="31"/>
      <c r="X22" s="31"/>
      <c r="Y22" s="31"/>
      <c r="Z22" s="31"/>
      <c r="AA22" s="31"/>
      <c r="AB22" s="31"/>
      <c r="AC22" s="31"/>
      <c r="AD22" s="31"/>
      <c r="AE22" s="31"/>
      <c r="AF22" s="31"/>
      <c r="AG22" s="31"/>
      <c r="AH22" s="31"/>
      <c r="AI22" s="31"/>
      <c r="AJ22" s="31"/>
      <c r="AK22" s="31"/>
      <c r="AL22" s="32"/>
    </row>
    <row r="23" spans="1:38" x14ac:dyDescent="0.2">
      <c r="A23" s="27"/>
      <c r="B23" s="28"/>
      <c r="C23" s="28"/>
      <c r="D23" s="28"/>
      <c r="E23" s="28"/>
      <c r="F23" s="28"/>
      <c r="G23" s="28"/>
      <c r="H23" s="28"/>
      <c r="I23" s="28"/>
      <c r="J23" s="28"/>
      <c r="K23" s="28"/>
      <c r="L23" s="28"/>
      <c r="M23" s="28"/>
      <c r="N23" s="28"/>
      <c r="O23" s="28"/>
      <c r="P23" s="28"/>
      <c r="Q23" s="28"/>
      <c r="R23" s="28"/>
      <c r="S23" s="29"/>
      <c r="T23" s="30"/>
      <c r="U23" s="31"/>
      <c r="V23" s="31"/>
      <c r="W23" s="31"/>
      <c r="X23" s="31"/>
      <c r="Y23" s="31"/>
      <c r="Z23" s="31"/>
      <c r="AA23" s="31"/>
      <c r="AB23" s="31"/>
      <c r="AC23" s="31"/>
      <c r="AD23" s="31"/>
      <c r="AE23" s="31"/>
      <c r="AF23" s="31"/>
      <c r="AG23" s="31"/>
      <c r="AH23" s="31"/>
      <c r="AI23" s="31"/>
      <c r="AJ23" s="31"/>
      <c r="AK23" s="31"/>
      <c r="AL23" s="32"/>
    </row>
    <row r="24" spans="1:38" x14ac:dyDescent="0.2">
      <c r="A24" s="27"/>
      <c r="B24" s="28"/>
      <c r="C24" s="28"/>
      <c r="D24" s="28"/>
      <c r="E24" s="28"/>
      <c r="F24" s="28"/>
      <c r="G24" s="28"/>
      <c r="H24" s="28"/>
      <c r="I24" s="28"/>
      <c r="J24" s="28"/>
      <c r="K24" s="28"/>
      <c r="L24" s="28"/>
      <c r="M24" s="28"/>
      <c r="N24" s="28"/>
      <c r="O24" s="28"/>
      <c r="P24" s="28"/>
      <c r="Q24" s="28"/>
      <c r="R24" s="28"/>
      <c r="S24" s="29"/>
      <c r="T24" s="30"/>
      <c r="U24" s="31"/>
      <c r="V24" s="31"/>
      <c r="W24" s="31"/>
      <c r="X24" s="31"/>
      <c r="Y24" s="31"/>
      <c r="Z24" s="31"/>
      <c r="AA24" s="31"/>
      <c r="AB24" s="31"/>
      <c r="AC24" s="31"/>
      <c r="AD24" s="31"/>
      <c r="AE24" s="31"/>
      <c r="AF24" s="31"/>
      <c r="AG24" s="31"/>
      <c r="AH24" s="31"/>
      <c r="AI24" s="31"/>
      <c r="AJ24" s="31"/>
      <c r="AK24" s="31"/>
      <c r="AL24" s="32"/>
    </row>
    <row r="25" spans="1:38" x14ac:dyDescent="0.2">
      <c r="A25" s="27"/>
      <c r="B25" s="28"/>
      <c r="C25" s="28"/>
      <c r="D25" s="28"/>
      <c r="E25" s="28"/>
      <c r="F25" s="28"/>
      <c r="G25" s="28"/>
      <c r="H25" s="28"/>
      <c r="I25" s="28"/>
      <c r="J25" s="28"/>
      <c r="K25" s="28"/>
      <c r="L25" s="28"/>
      <c r="M25" s="28"/>
      <c r="N25" s="28"/>
      <c r="O25" s="28"/>
      <c r="P25" s="28"/>
      <c r="Q25" s="28"/>
      <c r="R25" s="28"/>
      <c r="S25" s="29"/>
      <c r="T25" s="30"/>
      <c r="U25" s="31"/>
      <c r="V25" s="31"/>
      <c r="W25" s="31"/>
      <c r="X25" s="31"/>
      <c r="Y25" s="31"/>
      <c r="Z25" s="31"/>
      <c r="AA25" s="31"/>
      <c r="AB25" s="31"/>
      <c r="AC25" s="31"/>
      <c r="AD25" s="31"/>
      <c r="AE25" s="31"/>
      <c r="AF25" s="31"/>
      <c r="AG25" s="31"/>
      <c r="AH25" s="31"/>
      <c r="AI25" s="31"/>
      <c r="AJ25" s="31"/>
      <c r="AK25" s="31"/>
      <c r="AL25" s="32"/>
    </row>
    <row r="26" spans="1:38" x14ac:dyDescent="0.2">
      <c r="A26" s="27"/>
      <c r="B26" s="28"/>
      <c r="C26" s="28"/>
      <c r="D26" s="28"/>
      <c r="E26" s="28"/>
      <c r="F26" s="28"/>
      <c r="G26" s="28"/>
      <c r="H26" s="28"/>
      <c r="I26" s="28"/>
      <c r="J26" s="28"/>
      <c r="K26" s="28"/>
      <c r="L26" s="28"/>
      <c r="M26" s="28"/>
      <c r="N26" s="28"/>
      <c r="O26" s="28"/>
      <c r="P26" s="28"/>
      <c r="Q26" s="28"/>
      <c r="R26" s="28"/>
      <c r="S26" s="29"/>
      <c r="T26" s="30"/>
      <c r="U26" s="31"/>
      <c r="V26" s="31"/>
      <c r="W26" s="31"/>
      <c r="X26" s="31"/>
      <c r="Y26" s="31"/>
      <c r="Z26" s="31"/>
      <c r="AA26" s="31"/>
      <c r="AB26" s="31"/>
      <c r="AC26" s="31"/>
      <c r="AD26" s="31"/>
      <c r="AE26" s="31"/>
      <c r="AF26" s="31"/>
      <c r="AG26" s="31"/>
      <c r="AH26" s="31"/>
      <c r="AI26" s="31"/>
      <c r="AJ26" s="31"/>
      <c r="AK26" s="31"/>
      <c r="AL26" s="32"/>
    </row>
    <row r="27" spans="1:38" x14ac:dyDescent="0.2">
      <c r="A27" s="27"/>
      <c r="B27" s="28"/>
      <c r="C27" s="28"/>
      <c r="D27" s="28"/>
      <c r="E27" s="28"/>
      <c r="F27" s="28"/>
      <c r="G27" s="28"/>
      <c r="H27" s="28"/>
      <c r="I27" s="28"/>
      <c r="J27" s="28"/>
      <c r="K27" s="28"/>
      <c r="L27" s="28"/>
      <c r="M27" s="28"/>
      <c r="N27" s="28"/>
      <c r="O27" s="28"/>
      <c r="P27" s="28"/>
      <c r="Q27" s="28"/>
      <c r="R27" s="28"/>
      <c r="S27" s="29"/>
      <c r="T27" s="30"/>
      <c r="U27" s="31"/>
      <c r="V27" s="31"/>
      <c r="W27" s="31"/>
      <c r="X27" s="31"/>
      <c r="Y27" s="31"/>
      <c r="Z27" s="31"/>
      <c r="AA27" s="31"/>
      <c r="AB27" s="31"/>
      <c r="AC27" s="31"/>
      <c r="AD27" s="31"/>
      <c r="AE27" s="31"/>
      <c r="AF27" s="31"/>
      <c r="AG27" s="31"/>
      <c r="AH27" s="31"/>
      <c r="AI27" s="31"/>
      <c r="AJ27" s="31"/>
      <c r="AK27" s="31"/>
      <c r="AL27" s="32"/>
    </row>
    <row r="28" spans="1:38" x14ac:dyDescent="0.2">
      <c r="A28" s="27"/>
      <c r="B28" s="28"/>
      <c r="C28" s="28"/>
      <c r="D28" s="28"/>
      <c r="E28" s="28"/>
      <c r="F28" s="28"/>
      <c r="G28" s="28"/>
      <c r="H28" s="28"/>
      <c r="I28" s="28"/>
      <c r="J28" s="28"/>
      <c r="K28" s="28"/>
      <c r="L28" s="28"/>
      <c r="M28" s="28"/>
      <c r="N28" s="28"/>
      <c r="O28" s="28"/>
      <c r="P28" s="28"/>
      <c r="Q28" s="28"/>
      <c r="R28" s="28"/>
      <c r="S28" s="29"/>
      <c r="T28" s="30"/>
      <c r="U28" s="31"/>
      <c r="V28" s="31"/>
      <c r="W28" s="31"/>
      <c r="X28" s="31"/>
      <c r="Y28" s="31"/>
      <c r="Z28" s="31"/>
      <c r="AA28" s="31"/>
      <c r="AB28" s="31"/>
      <c r="AC28" s="31"/>
      <c r="AD28" s="31"/>
      <c r="AE28" s="31"/>
      <c r="AF28" s="31"/>
      <c r="AG28" s="31"/>
      <c r="AH28" s="31"/>
      <c r="AI28" s="31"/>
      <c r="AJ28" s="31"/>
      <c r="AK28" s="31"/>
      <c r="AL28" s="32"/>
    </row>
    <row r="29" spans="1:38" x14ac:dyDescent="0.2">
      <c r="A29" s="27"/>
      <c r="B29" s="28"/>
      <c r="C29" s="28"/>
      <c r="D29" s="28"/>
      <c r="E29" s="28"/>
      <c r="F29" s="28"/>
      <c r="G29" s="28"/>
      <c r="H29" s="28"/>
      <c r="I29" s="28"/>
      <c r="J29" s="28"/>
      <c r="K29" s="28"/>
      <c r="L29" s="28"/>
      <c r="M29" s="28"/>
      <c r="N29" s="28"/>
      <c r="O29" s="28"/>
      <c r="P29" s="28"/>
      <c r="Q29" s="28"/>
      <c r="R29" s="28"/>
      <c r="S29" s="29"/>
      <c r="T29" s="30"/>
      <c r="U29" s="31"/>
      <c r="V29" s="31"/>
      <c r="W29" s="31"/>
      <c r="X29" s="31"/>
      <c r="Y29" s="31"/>
      <c r="Z29" s="31"/>
      <c r="AA29" s="31"/>
      <c r="AB29" s="31"/>
      <c r="AC29" s="31"/>
      <c r="AD29" s="31"/>
      <c r="AE29" s="31"/>
      <c r="AF29" s="31"/>
      <c r="AG29" s="31"/>
      <c r="AH29" s="31"/>
      <c r="AI29" s="31"/>
      <c r="AJ29" s="31"/>
      <c r="AK29" s="31"/>
      <c r="AL29" s="32"/>
    </row>
    <row r="30" spans="1:38" x14ac:dyDescent="0.2">
      <c r="A30" s="27"/>
      <c r="B30" s="28"/>
      <c r="C30" s="28"/>
      <c r="D30" s="28"/>
      <c r="E30" s="28"/>
      <c r="F30" s="28"/>
      <c r="G30" s="28"/>
      <c r="H30" s="28"/>
      <c r="I30" s="28"/>
      <c r="J30" s="28"/>
      <c r="K30" s="28"/>
      <c r="L30" s="28"/>
      <c r="M30" s="28"/>
      <c r="N30" s="28"/>
      <c r="O30" s="28"/>
      <c r="P30" s="28"/>
      <c r="Q30" s="28"/>
      <c r="R30" s="28"/>
      <c r="S30" s="29"/>
      <c r="T30" s="30"/>
      <c r="U30" s="31"/>
      <c r="V30" s="31"/>
      <c r="W30" s="31"/>
      <c r="X30" s="31"/>
      <c r="Y30" s="31"/>
      <c r="Z30" s="31"/>
      <c r="AA30" s="31"/>
      <c r="AB30" s="31"/>
      <c r="AC30" s="31"/>
      <c r="AD30" s="31"/>
      <c r="AE30" s="31"/>
      <c r="AF30" s="31"/>
      <c r="AG30" s="31"/>
      <c r="AH30" s="31"/>
      <c r="AI30" s="31"/>
      <c r="AJ30" s="31"/>
      <c r="AK30" s="31"/>
      <c r="AL30" s="32"/>
    </row>
    <row r="31" spans="1:38" x14ac:dyDescent="0.2">
      <c r="A31" s="27"/>
      <c r="B31" s="28"/>
      <c r="C31" s="28"/>
      <c r="D31" s="28"/>
      <c r="E31" s="28"/>
      <c r="F31" s="28"/>
      <c r="G31" s="28"/>
      <c r="H31" s="28"/>
      <c r="I31" s="28"/>
      <c r="J31" s="28"/>
      <c r="K31" s="28"/>
      <c r="L31" s="28"/>
      <c r="M31" s="28"/>
      <c r="N31" s="28"/>
      <c r="O31" s="28"/>
      <c r="P31" s="28"/>
      <c r="Q31" s="28"/>
      <c r="R31" s="28"/>
      <c r="S31" s="29"/>
      <c r="T31" s="30"/>
      <c r="U31" s="31"/>
      <c r="V31" s="31"/>
      <c r="W31" s="31"/>
      <c r="X31" s="31"/>
      <c r="Y31" s="31"/>
      <c r="Z31" s="31"/>
      <c r="AA31" s="31"/>
      <c r="AB31" s="31"/>
      <c r="AC31" s="31"/>
      <c r="AD31" s="31"/>
      <c r="AE31" s="31"/>
      <c r="AF31" s="31"/>
      <c r="AG31" s="31"/>
      <c r="AH31" s="31"/>
      <c r="AI31" s="31"/>
      <c r="AJ31" s="31"/>
      <c r="AK31" s="31"/>
      <c r="AL31" s="32"/>
    </row>
    <row r="32" spans="1:38" x14ac:dyDescent="0.2">
      <c r="A32" s="27"/>
      <c r="B32" s="28"/>
      <c r="C32" s="28"/>
      <c r="D32" s="28"/>
      <c r="E32" s="31"/>
      <c r="F32" s="31"/>
      <c r="G32" s="33" t="s">
        <v>103</v>
      </c>
      <c r="H32" s="28"/>
      <c r="I32" s="28"/>
      <c r="J32" s="28"/>
      <c r="K32" s="28"/>
      <c r="L32" s="28"/>
      <c r="M32" s="28"/>
      <c r="N32" s="28"/>
      <c r="O32" s="28"/>
      <c r="P32" s="28"/>
      <c r="Q32" s="28"/>
      <c r="R32" s="28"/>
      <c r="S32" s="29"/>
      <c r="T32" s="30"/>
      <c r="U32" s="31"/>
      <c r="V32" s="31"/>
      <c r="W32" s="31"/>
      <c r="X32" s="31"/>
      <c r="Y32" s="31"/>
      <c r="Z32" s="33" t="s">
        <v>103</v>
      </c>
      <c r="AA32" s="31"/>
      <c r="AB32" s="31"/>
      <c r="AC32" s="31"/>
      <c r="AD32" s="31"/>
      <c r="AE32" s="31"/>
      <c r="AF32" s="31"/>
      <c r="AG32" s="31"/>
      <c r="AH32" s="31"/>
      <c r="AI32" s="31"/>
      <c r="AJ32" s="31"/>
      <c r="AK32" s="31"/>
      <c r="AL32" s="32"/>
    </row>
    <row r="33" spans="1:38" x14ac:dyDescent="0.2">
      <c r="A33" s="27"/>
      <c r="B33" s="28"/>
      <c r="C33" s="28"/>
      <c r="D33" s="33"/>
      <c r="E33" s="31"/>
      <c r="F33" s="28"/>
      <c r="G33" s="31"/>
      <c r="H33" s="28"/>
      <c r="I33" s="28"/>
      <c r="J33" s="28"/>
      <c r="K33" s="28"/>
      <c r="L33" s="28"/>
      <c r="M33" s="28"/>
      <c r="N33" s="28"/>
      <c r="O33" s="28"/>
      <c r="P33" s="28"/>
      <c r="Q33" s="28"/>
      <c r="R33" s="28"/>
      <c r="S33" s="29"/>
      <c r="T33" s="30"/>
      <c r="U33" s="31"/>
      <c r="V33" s="31"/>
      <c r="W33" s="31"/>
      <c r="X33" s="31"/>
      <c r="Y33" s="31"/>
      <c r="Z33" s="31"/>
      <c r="AA33" s="31"/>
      <c r="AB33" s="31"/>
      <c r="AC33" s="31"/>
      <c r="AD33" s="31"/>
      <c r="AE33" s="31"/>
      <c r="AF33" s="31"/>
      <c r="AG33" s="31"/>
      <c r="AH33" s="31"/>
      <c r="AI33" s="31"/>
      <c r="AJ33" s="31"/>
      <c r="AK33" s="31"/>
      <c r="AL33" s="32"/>
    </row>
    <row r="34" spans="1:38" x14ac:dyDescent="0.2">
      <c r="A34" s="27"/>
      <c r="B34" s="28"/>
      <c r="C34" s="28"/>
      <c r="D34" s="28"/>
      <c r="E34" s="28"/>
      <c r="F34" s="28"/>
      <c r="G34" s="33" t="s">
        <v>380</v>
      </c>
      <c r="H34" s="28"/>
      <c r="I34" s="28"/>
      <c r="J34" s="28"/>
      <c r="K34" s="28"/>
      <c r="L34" s="28"/>
      <c r="M34" s="28"/>
      <c r="N34" s="28"/>
      <c r="O34" s="28"/>
      <c r="P34" s="28"/>
      <c r="Q34" s="28"/>
      <c r="R34" s="28"/>
      <c r="S34" s="29"/>
      <c r="T34" s="30"/>
      <c r="U34" s="31"/>
      <c r="V34" s="31"/>
      <c r="W34" s="31"/>
      <c r="X34" s="31"/>
      <c r="Y34" s="31"/>
      <c r="Z34" s="33" t="s">
        <v>380</v>
      </c>
      <c r="AA34" s="31"/>
      <c r="AB34" s="31"/>
      <c r="AC34" s="31"/>
      <c r="AD34" s="31"/>
      <c r="AE34" s="31"/>
      <c r="AF34" s="31"/>
      <c r="AG34" s="31"/>
      <c r="AH34" s="31"/>
      <c r="AI34" s="31"/>
      <c r="AJ34" s="31"/>
      <c r="AK34" s="31"/>
      <c r="AL34" s="32"/>
    </row>
    <row r="35" spans="1:38" x14ac:dyDescent="0.2">
      <c r="A35" s="30"/>
      <c r="B35" s="28"/>
      <c r="C35" s="28"/>
      <c r="D35" s="28"/>
      <c r="E35" s="28"/>
      <c r="F35" s="28"/>
      <c r="G35" s="28"/>
      <c r="H35" s="28"/>
      <c r="I35" s="28"/>
      <c r="J35" s="28"/>
      <c r="K35" s="28"/>
      <c r="L35" s="28"/>
      <c r="M35" s="28"/>
      <c r="N35" s="28"/>
      <c r="O35" s="28"/>
      <c r="P35" s="28"/>
      <c r="Q35" s="28"/>
      <c r="R35" s="28"/>
      <c r="S35" s="29"/>
      <c r="T35" s="30"/>
      <c r="U35" s="31"/>
      <c r="V35" s="31"/>
      <c r="W35" s="31"/>
      <c r="X35" s="31"/>
      <c r="Y35" s="31"/>
      <c r="Z35" s="31"/>
      <c r="AA35" s="31"/>
      <c r="AB35" s="31"/>
      <c r="AC35" s="31"/>
      <c r="AD35" s="31"/>
      <c r="AE35" s="31"/>
      <c r="AF35" s="31"/>
      <c r="AG35" s="31"/>
      <c r="AH35" s="31"/>
      <c r="AI35" s="31"/>
      <c r="AJ35" s="31"/>
      <c r="AK35" s="31"/>
      <c r="AL35" s="32"/>
    </row>
    <row r="36" spans="1:38" x14ac:dyDescent="0.2">
      <c r="A36" s="30"/>
      <c r="B36" s="28"/>
      <c r="C36" s="28"/>
      <c r="D36" s="28"/>
      <c r="E36" s="28"/>
      <c r="F36" s="28"/>
      <c r="G36" s="28"/>
      <c r="H36" s="28"/>
      <c r="I36" s="28"/>
      <c r="J36" s="28"/>
      <c r="K36" s="28"/>
      <c r="L36" s="28"/>
      <c r="M36" s="28"/>
      <c r="N36" s="28"/>
      <c r="O36" s="28"/>
      <c r="P36" s="28"/>
      <c r="Q36" s="28"/>
      <c r="R36" s="28"/>
      <c r="S36" s="29"/>
      <c r="T36" s="30"/>
      <c r="U36" s="31"/>
      <c r="V36" s="31"/>
      <c r="W36" s="31"/>
      <c r="X36" s="31"/>
      <c r="Y36" s="31"/>
      <c r="Z36" s="31"/>
      <c r="AA36" s="31"/>
      <c r="AB36" s="31"/>
      <c r="AC36" s="31"/>
      <c r="AD36" s="31"/>
      <c r="AE36" s="31"/>
      <c r="AF36" s="31"/>
      <c r="AG36" s="31"/>
      <c r="AH36" s="31"/>
      <c r="AI36" s="31"/>
      <c r="AJ36" s="31"/>
      <c r="AK36" s="31"/>
      <c r="AL36" s="32"/>
    </row>
    <row r="37" spans="1:38" x14ac:dyDescent="0.2">
      <c r="A37" s="30"/>
      <c r="B37" s="28"/>
      <c r="C37" s="28"/>
      <c r="D37" s="28"/>
      <c r="E37" s="28"/>
      <c r="F37" s="28"/>
      <c r="G37" s="28"/>
      <c r="H37" s="28"/>
      <c r="I37" s="28"/>
      <c r="J37" s="28"/>
      <c r="K37" s="28"/>
      <c r="L37" s="28"/>
      <c r="M37" s="28"/>
      <c r="N37" s="28"/>
      <c r="O37" s="28"/>
      <c r="P37" s="28"/>
      <c r="Q37" s="28"/>
      <c r="R37" s="28"/>
      <c r="S37" s="29"/>
      <c r="T37" s="30"/>
      <c r="U37" s="31"/>
      <c r="V37" s="31"/>
      <c r="W37" s="31"/>
      <c r="X37" s="31"/>
      <c r="Y37" s="31"/>
      <c r="Z37" s="31"/>
      <c r="AA37" s="31"/>
      <c r="AB37" s="31"/>
      <c r="AC37" s="31"/>
      <c r="AD37" s="31"/>
      <c r="AE37" s="31"/>
      <c r="AF37" s="31"/>
      <c r="AG37" s="31"/>
      <c r="AH37" s="31"/>
      <c r="AI37" s="31"/>
      <c r="AJ37" s="31"/>
      <c r="AK37" s="31"/>
      <c r="AL37" s="32"/>
    </row>
    <row r="38" spans="1:38" x14ac:dyDescent="0.2">
      <c r="A38" s="30"/>
      <c r="B38" s="28"/>
      <c r="C38" s="28"/>
      <c r="D38" s="28"/>
      <c r="E38" s="28"/>
      <c r="F38" s="28"/>
      <c r="G38" s="28"/>
      <c r="H38" s="28"/>
      <c r="I38" s="28"/>
      <c r="J38" s="28"/>
      <c r="K38" s="28"/>
      <c r="L38" s="28"/>
      <c r="M38" s="28"/>
      <c r="N38" s="28"/>
      <c r="O38" s="28"/>
      <c r="P38" s="28"/>
      <c r="Q38" s="28"/>
      <c r="R38" s="28"/>
      <c r="S38" s="29"/>
      <c r="T38" s="30"/>
      <c r="U38" s="31"/>
      <c r="V38" s="31"/>
      <c r="W38" s="31"/>
      <c r="X38" s="31"/>
      <c r="Y38" s="31"/>
      <c r="Z38" s="31"/>
      <c r="AA38" s="31"/>
      <c r="AB38" s="31"/>
      <c r="AC38" s="31"/>
      <c r="AD38" s="31"/>
      <c r="AE38" s="31"/>
      <c r="AF38" s="31"/>
      <c r="AG38" s="31"/>
      <c r="AH38" s="31"/>
      <c r="AI38" s="31"/>
      <c r="AJ38" s="31"/>
      <c r="AK38" s="31"/>
      <c r="AL38" s="32"/>
    </row>
    <row r="39" spans="1:38" x14ac:dyDescent="0.2">
      <c r="A39" s="30"/>
      <c r="B39" s="28"/>
      <c r="C39" s="28"/>
      <c r="D39" s="28"/>
      <c r="E39" s="28"/>
      <c r="F39" s="28"/>
      <c r="G39" s="28"/>
      <c r="H39" s="28"/>
      <c r="I39" s="28"/>
      <c r="J39" s="28"/>
      <c r="K39" s="28"/>
      <c r="L39" s="28"/>
      <c r="M39" s="28"/>
      <c r="N39" s="28"/>
      <c r="O39" s="28"/>
      <c r="P39" s="28"/>
      <c r="Q39" s="28"/>
      <c r="R39" s="28"/>
      <c r="S39" s="29"/>
      <c r="T39" s="30"/>
      <c r="U39" s="31"/>
      <c r="V39" s="31"/>
      <c r="W39" s="31"/>
      <c r="X39" s="31"/>
      <c r="Y39" s="31"/>
      <c r="Z39" s="31"/>
      <c r="AA39" s="31"/>
      <c r="AB39" s="31"/>
      <c r="AC39" s="31"/>
      <c r="AD39" s="31"/>
      <c r="AE39" s="31"/>
      <c r="AF39" s="31"/>
      <c r="AG39" s="31"/>
      <c r="AH39" s="31"/>
      <c r="AI39" s="31"/>
      <c r="AJ39" s="31"/>
      <c r="AK39" s="31"/>
      <c r="AL39" s="32"/>
    </row>
    <row r="40" spans="1:38" x14ac:dyDescent="0.2">
      <c r="A40" s="30"/>
      <c r="B40" s="28"/>
      <c r="C40" s="28"/>
      <c r="D40" s="28"/>
      <c r="E40" s="28"/>
      <c r="F40" s="28"/>
      <c r="G40" s="28"/>
      <c r="H40" s="28"/>
      <c r="I40" s="28"/>
      <c r="J40" s="28"/>
      <c r="K40" s="28"/>
      <c r="L40" s="28"/>
      <c r="M40" s="28"/>
      <c r="N40" s="28"/>
      <c r="O40" s="28"/>
      <c r="P40" s="28"/>
      <c r="Q40" s="28"/>
      <c r="R40" s="28"/>
      <c r="S40" s="29"/>
      <c r="T40" s="30"/>
      <c r="U40" s="31"/>
      <c r="V40" s="31"/>
      <c r="W40" s="31"/>
      <c r="X40" s="31"/>
      <c r="Y40" s="31"/>
      <c r="Z40" s="31"/>
      <c r="AA40" s="31"/>
      <c r="AB40" s="31"/>
      <c r="AC40" s="31"/>
      <c r="AD40" s="31"/>
      <c r="AE40" s="31"/>
      <c r="AF40" s="31"/>
      <c r="AG40" s="31"/>
      <c r="AH40" s="31"/>
      <c r="AI40" s="31"/>
      <c r="AJ40" s="31"/>
      <c r="AK40" s="31"/>
      <c r="AL40" s="32"/>
    </row>
    <row r="41" spans="1:38" x14ac:dyDescent="0.2">
      <c r="A41" s="30"/>
      <c r="B41" s="28"/>
      <c r="C41" s="28"/>
      <c r="D41" s="28"/>
      <c r="E41" s="28"/>
      <c r="F41" s="28"/>
      <c r="G41" s="28"/>
      <c r="H41" s="28"/>
      <c r="I41" s="28"/>
      <c r="J41" s="28"/>
      <c r="K41" s="28"/>
      <c r="L41" s="28"/>
      <c r="M41" s="28"/>
      <c r="N41" s="28"/>
      <c r="O41" s="28"/>
      <c r="P41" s="28"/>
      <c r="Q41" s="28"/>
      <c r="R41" s="28"/>
      <c r="S41" s="29"/>
      <c r="T41" s="30"/>
      <c r="U41" s="31"/>
      <c r="V41" s="31"/>
      <c r="W41" s="31"/>
      <c r="X41" s="31"/>
      <c r="Y41" s="31"/>
      <c r="Z41" s="31"/>
      <c r="AA41" s="31"/>
      <c r="AB41" s="31"/>
      <c r="AC41" s="31"/>
      <c r="AD41" s="31"/>
      <c r="AE41" s="31"/>
      <c r="AF41" s="31"/>
      <c r="AG41" s="31"/>
      <c r="AH41" s="31"/>
      <c r="AI41" s="31"/>
      <c r="AJ41" s="31"/>
      <c r="AK41" s="31"/>
      <c r="AL41" s="32"/>
    </row>
    <row r="42" spans="1:38" x14ac:dyDescent="0.2">
      <c r="A42" s="38"/>
      <c r="B42" s="35"/>
      <c r="C42" s="35"/>
      <c r="D42" s="35"/>
      <c r="E42" s="35"/>
      <c r="F42" s="35"/>
      <c r="G42" s="35"/>
      <c r="H42" s="35"/>
      <c r="I42" s="35"/>
      <c r="J42" s="35"/>
      <c r="K42" s="35"/>
      <c r="L42" s="35"/>
      <c r="M42" s="35"/>
      <c r="N42" s="35"/>
      <c r="O42" s="35"/>
      <c r="P42" s="35"/>
      <c r="Q42" s="35"/>
      <c r="R42" s="35"/>
      <c r="S42" s="37"/>
      <c r="T42" s="38"/>
      <c r="U42" s="36"/>
      <c r="V42" s="36"/>
      <c r="W42" s="36"/>
      <c r="X42" s="36"/>
      <c r="Y42" s="36"/>
      <c r="Z42" s="36"/>
      <c r="AA42" s="36"/>
      <c r="AB42" s="36"/>
      <c r="AC42" s="36"/>
      <c r="AD42" s="36"/>
      <c r="AE42" s="36"/>
      <c r="AF42" s="36"/>
      <c r="AG42" s="36"/>
      <c r="AH42" s="36"/>
      <c r="AI42" s="36"/>
      <c r="AJ42" s="36"/>
      <c r="AK42" s="36"/>
      <c r="AL42" s="39"/>
    </row>
    <row r="43" spans="1:38" x14ac:dyDescent="0.2">
      <c r="A43" s="130" t="s">
        <v>104</v>
      </c>
      <c r="B43" s="131"/>
      <c r="C43" s="131"/>
      <c r="D43" s="131"/>
      <c r="E43" s="131"/>
      <c r="F43" s="131"/>
      <c r="G43" s="131"/>
      <c r="H43" s="131"/>
      <c r="I43" s="131"/>
      <c r="J43" s="131"/>
      <c r="K43" s="131"/>
      <c r="L43" s="131"/>
      <c r="M43" s="131"/>
      <c r="N43" s="131"/>
      <c r="O43" s="131"/>
      <c r="P43" s="131"/>
      <c r="Q43" s="131"/>
      <c r="R43" s="131"/>
      <c r="S43" s="132"/>
      <c r="T43" s="130" t="s">
        <v>146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row>
    <row r="46" spans="1:38" ht="14.25" customHeight="1" x14ac:dyDescent="0.2">
      <c r="A46" s="683" t="s">
        <v>111</v>
      </c>
      <c r="B46" s="684"/>
      <c r="C46" s="689">
        <v>0</v>
      </c>
      <c r="D46" s="690"/>
      <c r="E46" s="684" t="s">
        <v>112</v>
      </c>
      <c r="F46" s="684"/>
      <c r="G46" s="689">
        <v>0</v>
      </c>
      <c r="H46" s="690"/>
      <c r="I46" s="138"/>
      <c r="J46" s="136"/>
      <c r="K46" s="136"/>
      <c r="L46" s="136"/>
      <c r="M46" s="139" t="s">
        <v>148</v>
      </c>
      <c r="N46" s="694">
        <f>IF(C47&gt;0,(((G47-G46)/(C47-C46))^-1-IF(AG52&gt;0,AG52^-1,0))^-1,0)</f>
        <v>0</v>
      </c>
      <c r="O46" s="695"/>
      <c r="P46" s="696">
        <f>(48*'T2.16.1 T2.16.2 SIS'!C27/0.000003)/(C53^3)</f>
        <v>1276.4877720000004</v>
      </c>
      <c r="Q46" s="697"/>
      <c r="R46" s="697"/>
      <c r="S46" s="137"/>
      <c r="T46" s="683" t="s">
        <v>111</v>
      </c>
      <c r="U46" s="684"/>
      <c r="V46" s="689">
        <v>0</v>
      </c>
      <c r="W46" s="690"/>
      <c r="X46" s="684" t="s">
        <v>112</v>
      </c>
      <c r="Y46" s="684"/>
      <c r="Z46" s="689">
        <v>0</v>
      </c>
      <c r="AA46" s="690"/>
      <c r="AB46" s="138"/>
      <c r="AC46" s="136"/>
      <c r="AD46" s="136"/>
      <c r="AE46" s="136"/>
      <c r="AF46" s="139" t="s">
        <v>148</v>
      </c>
      <c r="AG46" s="666">
        <f>IF((V47-V46)&gt;0,(Z47-Z46)/(V47-V46),0)</f>
        <v>0</v>
      </c>
      <c r="AH46" s="667"/>
      <c r="AI46" s="136"/>
      <c r="AJ46" s="136"/>
      <c r="AK46" s="136"/>
      <c r="AL46" s="137"/>
    </row>
    <row r="47" spans="1:38" ht="14.25" customHeight="1" x14ac:dyDescent="0.2">
      <c r="A47" s="683" t="s">
        <v>113</v>
      </c>
      <c r="B47" s="684"/>
      <c r="C47" s="689">
        <v>0</v>
      </c>
      <c r="D47" s="690"/>
      <c r="E47" s="684" t="s">
        <v>114</v>
      </c>
      <c r="F47" s="684"/>
      <c r="G47" s="689">
        <v>0</v>
      </c>
      <c r="H47" s="690"/>
      <c r="I47" s="133"/>
      <c r="J47" s="105"/>
      <c r="K47" s="105"/>
      <c r="L47" s="105"/>
      <c r="M47" s="105"/>
      <c r="N47" s="105"/>
      <c r="O47" s="105"/>
      <c r="P47" s="136"/>
      <c r="Q47" s="136"/>
      <c r="R47" s="136"/>
      <c r="S47" s="137"/>
      <c r="T47" s="683" t="s">
        <v>113</v>
      </c>
      <c r="U47" s="684"/>
      <c r="V47" s="689">
        <v>0</v>
      </c>
      <c r="W47" s="690"/>
      <c r="X47" s="684" t="s">
        <v>114</v>
      </c>
      <c r="Y47" s="684"/>
      <c r="Z47" s="689">
        <v>0</v>
      </c>
      <c r="AA47" s="690"/>
      <c r="AB47" s="133"/>
      <c r="AC47" s="133"/>
      <c r="AD47" s="133"/>
      <c r="AE47" s="133"/>
      <c r="AF47" s="133"/>
      <c r="AG47" s="133"/>
      <c r="AH47" s="133"/>
      <c r="AI47" s="136"/>
      <c r="AJ47" s="136"/>
      <c r="AK47" s="136"/>
      <c r="AL47" s="137"/>
    </row>
    <row r="48" spans="1:38" x14ac:dyDescent="0.2">
      <c r="A48" s="140"/>
      <c r="B48" s="136"/>
      <c r="C48" s="136"/>
      <c r="D48" s="136"/>
      <c r="E48" s="136"/>
      <c r="F48" s="136"/>
      <c r="G48" s="136"/>
      <c r="H48" s="136"/>
      <c r="I48" s="136"/>
      <c r="J48" s="136"/>
      <c r="K48" s="136"/>
      <c r="L48" s="136"/>
      <c r="M48" s="136"/>
      <c r="N48" s="136"/>
      <c r="O48" s="136"/>
      <c r="P48" s="136"/>
      <c r="Q48" s="136"/>
      <c r="R48" s="136"/>
      <c r="S48" s="137"/>
      <c r="T48" s="130"/>
      <c r="U48" s="133"/>
      <c r="V48" s="133"/>
      <c r="W48" s="133"/>
      <c r="X48" s="133"/>
      <c r="Y48" s="133"/>
      <c r="Z48" s="133"/>
      <c r="AA48" s="133"/>
      <c r="AB48" s="133"/>
      <c r="AC48" s="133"/>
      <c r="AD48" s="133"/>
      <c r="AE48" s="133"/>
      <c r="AF48" s="133"/>
      <c r="AG48" s="133"/>
      <c r="AH48" s="133"/>
      <c r="AI48" s="133"/>
      <c r="AJ48" s="133"/>
      <c r="AK48" s="133"/>
      <c r="AL48" s="134"/>
    </row>
    <row r="49" spans="1:38" x14ac:dyDescent="0.2">
      <c r="A49" s="130" t="s">
        <v>122</v>
      </c>
      <c r="B49" s="136"/>
      <c r="C49" s="136"/>
      <c r="D49" s="136"/>
      <c r="E49" s="136"/>
      <c r="F49" s="136"/>
      <c r="G49" s="136"/>
      <c r="H49" s="136"/>
      <c r="I49" s="136"/>
      <c r="J49" s="136"/>
      <c r="K49" s="136"/>
      <c r="L49" s="136"/>
      <c r="M49" s="136"/>
      <c r="N49" s="136"/>
      <c r="O49" s="136"/>
      <c r="P49" s="136"/>
      <c r="Q49" s="136"/>
      <c r="R49" s="136"/>
      <c r="S49" s="137"/>
      <c r="T49" s="130" t="s">
        <v>133</v>
      </c>
      <c r="U49" s="133"/>
      <c r="V49" s="133"/>
      <c r="W49" s="133"/>
      <c r="X49" s="133"/>
      <c r="Y49" s="133"/>
      <c r="Z49" s="133"/>
      <c r="AA49" s="133"/>
      <c r="AB49" s="133"/>
      <c r="AC49" s="133"/>
      <c r="AD49" s="133"/>
      <c r="AE49" s="133"/>
      <c r="AF49" s="133"/>
      <c r="AG49" s="133"/>
      <c r="AH49" s="133"/>
      <c r="AI49" s="133"/>
      <c r="AJ49" s="133"/>
      <c r="AK49" s="133"/>
      <c r="AL49" s="134"/>
    </row>
    <row r="50" spans="1:38" ht="15" x14ac:dyDescent="0.2">
      <c r="A50" s="683" t="s">
        <v>115</v>
      </c>
      <c r="B50" s="684"/>
      <c r="C50" s="685">
        <v>0</v>
      </c>
      <c r="D50" s="686"/>
      <c r="E50" s="138"/>
      <c r="F50" s="136"/>
      <c r="G50" s="136"/>
      <c r="H50" s="136"/>
      <c r="I50" s="136"/>
      <c r="J50" s="136"/>
      <c r="K50" s="136"/>
      <c r="L50" s="136"/>
      <c r="M50" s="136"/>
      <c r="N50" s="136"/>
      <c r="O50" s="136"/>
      <c r="P50" s="136"/>
      <c r="Q50" s="136"/>
      <c r="R50" s="136"/>
      <c r="S50" s="137"/>
      <c r="T50" s="130"/>
      <c r="U50" s="141" t="s">
        <v>141</v>
      </c>
      <c r="V50" s="687">
        <f>C53</f>
        <v>400</v>
      </c>
      <c r="W50" s="688"/>
      <c r="X50" s="142" t="s">
        <v>144</v>
      </c>
      <c r="Y50" s="142"/>
      <c r="Z50" s="142"/>
      <c r="AA50" s="142"/>
      <c r="AB50" s="133"/>
      <c r="AC50" s="133"/>
      <c r="AD50" s="133"/>
      <c r="AE50" s="133"/>
      <c r="AF50" s="139" t="s">
        <v>143</v>
      </c>
      <c r="AG50" s="676">
        <f>V51*(1/64)*PI()*(V52^4-V53^4)*200000</f>
        <v>1744439000.4490404</v>
      </c>
      <c r="AH50" s="677"/>
      <c r="AI50" s="348">
        <f>AG50*48/V50^3</f>
        <v>1308.3292503367802</v>
      </c>
      <c r="AJ50" s="133"/>
      <c r="AK50" s="133"/>
      <c r="AL50" s="134"/>
    </row>
    <row r="51" spans="1:38" ht="15" x14ac:dyDescent="0.2">
      <c r="A51" s="140"/>
      <c r="B51" s="136"/>
      <c r="C51" s="678">
        <f>2*(PI()*(12.7^4-11.4^4)*365)/(C53*12.7)</f>
        <v>4119.413135110708</v>
      </c>
      <c r="D51" s="678"/>
      <c r="E51" s="136"/>
      <c r="F51" s="136"/>
      <c r="G51" s="136"/>
      <c r="H51" s="136"/>
      <c r="I51" s="136"/>
      <c r="J51" s="136"/>
      <c r="K51" s="136"/>
      <c r="L51" s="136"/>
      <c r="M51" s="136"/>
      <c r="N51" s="136"/>
      <c r="O51" s="136"/>
      <c r="P51" s="136"/>
      <c r="Q51" s="136"/>
      <c r="R51" s="136"/>
      <c r="S51" s="137"/>
      <c r="T51" s="130"/>
      <c r="U51" s="139" t="s">
        <v>134</v>
      </c>
      <c r="V51" s="679">
        <v>1</v>
      </c>
      <c r="W51" s="680"/>
      <c r="X51" s="133" t="s">
        <v>147</v>
      </c>
      <c r="Y51" s="133"/>
      <c r="Z51" s="133"/>
      <c r="AA51" s="133"/>
      <c r="AB51" s="133"/>
      <c r="AC51" s="133"/>
      <c r="AD51" s="133"/>
      <c r="AE51" s="133"/>
      <c r="AF51" s="139" t="s">
        <v>145</v>
      </c>
      <c r="AG51" s="676">
        <f>IF(AG46&gt;0,(AG46*V50^3)/48,AG50)</f>
        <v>1744439000.4490404</v>
      </c>
      <c r="AH51" s="677"/>
      <c r="AI51" s="348">
        <f>AG51*48/V50^3</f>
        <v>1308.3292503367802</v>
      </c>
      <c r="AJ51" s="133"/>
      <c r="AK51" s="133"/>
      <c r="AL51" s="134"/>
    </row>
    <row r="52" spans="1:38" ht="14.25" x14ac:dyDescent="0.25">
      <c r="A52" s="135" t="s">
        <v>140</v>
      </c>
      <c r="B52" s="136"/>
      <c r="C52" s="136"/>
      <c r="D52" s="136"/>
      <c r="E52" s="136"/>
      <c r="F52" s="136"/>
      <c r="G52" s="136"/>
      <c r="H52" s="136"/>
      <c r="I52" s="136"/>
      <c r="J52" s="136"/>
      <c r="K52" s="136"/>
      <c r="L52" s="136"/>
      <c r="M52" s="136"/>
      <c r="N52" s="136"/>
      <c r="O52" s="136"/>
      <c r="P52" s="136"/>
      <c r="Q52" s="136"/>
      <c r="R52" s="136"/>
      <c r="S52" s="137"/>
      <c r="T52" s="130"/>
      <c r="U52" s="139" t="s">
        <v>137</v>
      </c>
      <c r="V52" s="679">
        <v>25.4</v>
      </c>
      <c r="W52" s="680"/>
      <c r="X52" s="133" t="s">
        <v>135</v>
      </c>
      <c r="Y52" s="133"/>
      <c r="Z52" s="133"/>
      <c r="AA52" s="133"/>
      <c r="AB52" s="133"/>
      <c r="AC52" s="133"/>
      <c r="AD52" s="133"/>
      <c r="AE52" s="133"/>
      <c r="AF52" s="139" t="s">
        <v>139</v>
      </c>
      <c r="AG52" s="681">
        <f>IF(AG51&gt;=AG50,0,(AI51^-1-AI50^-1)^-1)</f>
        <v>0</v>
      </c>
      <c r="AH52" s="682"/>
      <c r="AI52" s="133"/>
      <c r="AJ52" s="133"/>
      <c r="AK52" s="133"/>
      <c r="AL52" s="134"/>
    </row>
    <row r="53" spans="1:38" ht="12.75" customHeight="1" x14ac:dyDescent="0.25">
      <c r="A53" s="143"/>
      <c r="B53" s="144" t="s">
        <v>141</v>
      </c>
      <c r="C53" s="689">
        <v>400</v>
      </c>
      <c r="D53" s="690"/>
      <c r="E53" s="138" t="s">
        <v>142</v>
      </c>
      <c r="F53" s="136"/>
      <c r="G53" s="136"/>
      <c r="H53" s="136"/>
      <c r="I53" s="136"/>
      <c r="J53" s="136"/>
      <c r="K53" s="136"/>
      <c r="L53" s="136"/>
      <c r="M53" s="136"/>
      <c r="N53" s="136"/>
      <c r="O53" s="136"/>
      <c r="P53" s="136"/>
      <c r="Q53" s="136"/>
      <c r="R53" s="136"/>
      <c r="S53" s="137"/>
      <c r="T53" s="130"/>
      <c r="U53" s="139" t="s">
        <v>138</v>
      </c>
      <c r="V53" s="679">
        <v>22.1</v>
      </c>
      <c r="W53" s="680"/>
      <c r="X53" s="133" t="s">
        <v>136</v>
      </c>
      <c r="Y53" s="133"/>
      <c r="Z53" s="133"/>
      <c r="AA53" s="133"/>
      <c r="AB53" s="133"/>
      <c r="AC53" s="133"/>
      <c r="AD53" s="133"/>
      <c r="AE53" s="133"/>
      <c r="AF53" s="133"/>
      <c r="AG53" s="133"/>
      <c r="AH53" s="133"/>
      <c r="AI53" s="133"/>
      <c r="AJ53" s="133"/>
      <c r="AK53" s="133"/>
      <c r="AL53" s="134"/>
    </row>
    <row r="54" spans="1:38" x14ac:dyDescent="0.2">
      <c r="A54" s="668" t="s">
        <v>107</v>
      </c>
      <c r="B54" s="669"/>
      <c r="C54" s="689">
        <v>300</v>
      </c>
      <c r="D54" s="690"/>
      <c r="E54" s="138" t="s">
        <v>100</v>
      </c>
      <c r="F54" s="136"/>
      <c r="G54" s="136"/>
      <c r="H54" s="136"/>
      <c r="I54" s="136"/>
      <c r="J54" s="136"/>
      <c r="K54" s="136"/>
      <c r="L54" s="136"/>
      <c r="M54" s="136"/>
      <c r="N54" s="136"/>
      <c r="O54" s="136"/>
      <c r="P54" s="136"/>
      <c r="Q54" s="136"/>
      <c r="R54" s="136"/>
      <c r="S54" s="137"/>
      <c r="T54" s="130"/>
      <c r="U54" s="133"/>
      <c r="V54" s="133"/>
      <c r="W54" s="133"/>
      <c r="X54" s="133"/>
      <c r="Y54" s="133"/>
      <c r="Z54" s="133"/>
      <c r="AA54" s="133"/>
      <c r="AB54" s="133"/>
      <c r="AC54" s="133"/>
      <c r="AD54" s="133"/>
      <c r="AE54" s="133"/>
      <c r="AF54" s="133"/>
      <c r="AG54" s="133"/>
      <c r="AH54" s="133"/>
      <c r="AI54" s="133"/>
      <c r="AJ54" s="133"/>
      <c r="AK54" s="133"/>
      <c r="AL54" s="134"/>
    </row>
    <row r="55" spans="1:38" ht="15.75" customHeight="1" x14ac:dyDescent="0.2">
      <c r="A55" s="668" t="s">
        <v>108</v>
      </c>
      <c r="B55" s="669"/>
      <c r="C55" s="670">
        <f>'T2.20 IA AI Plate'!D14</f>
        <v>10</v>
      </c>
      <c r="D55" s="671"/>
      <c r="E55" s="133" t="s">
        <v>227</v>
      </c>
      <c r="F55" s="133"/>
      <c r="G55" s="133"/>
      <c r="H55" s="133"/>
      <c r="I55" s="133"/>
      <c r="J55" s="133"/>
      <c r="K55" s="133"/>
      <c r="L55" s="133"/>
      <c r="M55" s="133"/>
      <c r="N55" s="133"/>
      <c r="O55" s="136"/>
      <c r="P55" s="136"/>
      <c r="Q55" s="136"/>
      <c r="R55" s="136"/>
      <c r="S55" s="137"/>
      <c r="T55" s="130"/>
      <c r="U55" s="133"/>
      <c r="V55" s="133"/>
      <c r="W55" s="133"/>
      <c r="X55" s="133"/>
      <c r="Y55" s="133"/>
      <c r="Z55" s="133"/>
      <c r="AA55" s="133"/>
      <c r="AB55" s="133"/>
      <c r="AC55" s="133"/>
      <c r="AD55" s="133"/>
      <c r="AE55" s="146"/>
      <c r="AF55" s="133"/>
      <c r="AG55" s="133"/>
      <c r="AH55" s="133"/>
      <c r="AI55" s="133"/>
      <c r="AJ55" s="133"/>
      <c r="AK55" s="133"/>
      <c r="AL55" s="134"/>
    </row>
    <row r="56" spans="1:38" ht="15.75" customHeight="1" x14ac:dyDescent="0.25">
      <c r="A56" s="668" t="s">
        <v>116</v>
      </c>
      <c r="B56" s="669"/>
      <c r="C56" s="670">
        <f>'T2.20 IA AI Plate'!D15</f>
        <v>2</v>
      </c>
      <c r="D56" s="671"/>
      <c r="E56" s="133" t="s">
        <v>228</v>
      </c>
      <c r="F56" s="133"/>
      <c r="G56" s="133"/>
      <c r="H56" s="133"/>
      <c r="I56" s="133"/>
      <c r="J56" s="133"/>
      <c r="K56" s="133"/>
      <c r="L56" s="133"/>
      <c r="M56" s="133"/>
      <c r="N56" s="133"/>
      <c r="O56" s="136"/>
      <c r="P56" s="136"/>
      <c r="Q56" s="136"/>
      <c r="R56" s="136"/>
      <c r="S56" s="137"/>
      <c r="T56" s="130"/>
      <c r="U56" s="133"/>
      <c r="V56" s="133"/>
      <c r="W56" s="133"/>
      <c r="X56" s="133"/>
      <c r="Y56" s="133"/>
      <c r="Z56" s="133"/>
      <c r="AA56" s="133"/>
      <c r="AB56" s="133"/>
      <c r="AC56" s="133"/>
      <c r="AD56" s="133"/>
      <c r="AE56" s="146"/>
      <c r="AF56" s="133"/>
      <c r="AG56" s="133"/>
      <c r="AH56" s="133"/>
      <c r="AI56" s="133"/>
      <c r="AJ56" s="133"/>
      <c r="AK56" s="133"/>
      <c r="AL56" s="134"/>
    </row>
    <row r="57" spans="1:38" ht="15.75" customHeight="1" x14ac:dyDescent="0.25">
      <c r="A57" s="668" t="s">
        <v>117</v>
      </c>
      <c r="B57" s="669"/>
      <c r="C57" s="670">
        <f>'T2.20 IA AI Plate'!D16</f>
        <v>2</v>
      </c>
      <c r="D57" s="671"/>
      <c r="E57" s="133" t="s">
        <v>229</v>
      </c>
      <c r="F57" s="133"/>
      <c r="G57" s="133"/>
      <c r="H57" s="133"/>
      <c r="I57" s="133"/>
      <c r="J57" s="133"/>
      <c r="K57" s="133"/>
      <c r="L57" s="133"/>
      <c r="M57" s="133"/>
      <c r="N57" s="133"/>
      <c r="O57" s="136"/>
      <c r="P57" s="136"/>
      <c r="Q57" s="136"/>
      <c r="R57" s="136"/>
      <c r="S57" s="137"/>
      <c r="T57" s="130"/>
      <c r="U57" s="133"/>
      <c r="V57" s="133"/>
      <c r="W57" s="133"/>
      <c r="X57" s="133"/>
      <c r="Y57" s="133"/>
      <c r="Z57" s="133"/>
      <c r="AA57" s="133"/>
      <c r="AB57" s="133"/>
      <c r="AC57" s="133"/>
      <c r="AD57" s="133"/>
      <c r="AE57" s="146"/>
      <c r="AF57" s="133"/>
      <c r="AG57" s="133"/>
      <c r="AH57" s="133"/>
      <c r="AI57" s="133"/>
      <c r="AJ57" s="133"/>
      <c r="AK57" s="133"/>
      <c r="AL57" s="134"/>
    </row>
    <row r="58" spans="1:38" ht="15" x14ac:dyDescent="0.2">
      <c r="A58" s="147"/>
      <c r="B58" s="139" t="s">
        <v>118</v>
      </c>
      <c r="C58" s="672">
        <f>(C54*(((C55+C56+C57)^3)-(C55^3)))/12</f>
        <v>43600</v>
      </c>
      <c r="D58" s="673"/>
      <c r="E58" s="133" t="s">
        <v>109</v>
      </c>
      <c r="F58" s="133"/>
      <c r="G58" s="133"/>
      <c r="H58" s="133"/>
      <c r="I58" s="133"/>
      <c r="J58" s="133"/>
      <c r="K58" s="133"/>
      <c r="L58" s="133"/>
      <c r="M58" s="133"/>
      <c r="N58" s="133"/>
      <c r="O58" s="136"/>
      <c r="P58" s="136"/>
      <c r="Q58" s="136"/>
      <c r="R58" s="136"/>
      <c r="S58" s="137"/>
      <c r="T58" s="130"/>
      <c r="U58" s="133"/>
      <c r="V58" s="133"/>
      <c r="W58" s="133"/>
      <c r="X58" s="133"/>
      <c r="Y58" s="133"/>
      <c r="Z58" s="133"/>
      <c r="AA58" s="133"/>
      <c r="AB58" s="133"/>
      <c r="AC58" s="133"/>
      <c r="AD58" s="133"/>
      <c r="AE58" s="146"/>
      <c r="AF58" s="133"/>
      <c r="AG58" s="133"/>
      <c r="AH58" s="133"/>
      <c r="AI58" s="133"/>
      <c r="AJ58" s="133"/>
      <c r="AK58" s="133"/>
      <c r="AL58" s="134"/>
    </row>
    <row r="59" spans="1:38" x14ac:dyDescent="0.2">
      <c r="A59" s="140"/>
      <c r="B59" s="139" t="s">
        <v>110</v>
      </c>
      <c r="C59" s="674">
        <f>IF(C47&gt;0,0.001*((N46*(C47-C46)*C53^3)/(48*C58*(C47-C46))),0)</f>
        <v>0</v>
      </c>
      <c r="D59" s="675"/>
      <c r="E59" s="138" t="s">
        <v>230</v>
      </c>
      <c r="F59" s="136"/>
      <c r="G59" s="136"/>
      <c r="H59" s="136"/>
      <c r="I59" s="136"/>
      <c r="J59" s="136"/>
      <c r="K59" s="136"/>
      <c r="L59" s="136"/>
      <c r="M59" s="136"/>
      <c r="N59" s="136"/>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x14ac:dyDescent="0.2">
      <c r="A60" s="148"/>
      <c r="B60" s="149" t="s">
        <v>170</v>
      </c>
      <c r="C60" s="666">
        <f>IF(C55=0,0,C50*C53*0.5*SUM(C55:C57)/(4*C58))</f>
        <v>0</v>
      </c>
      <c r="D60" s="667"/>
      <c r="E60" s="150" t="s">
        <v>231</v>
      </c>
      <c r="F60" s="151"/>
      <c r="G60" s="151"/>
      <c r="H60" s="151"/>
      <c r="I60" s="151"/>
      <c r="J60" s="151"/>
      <c r="K60" s="151"/>
      <c r="L60" s="151"/>
      <c r="M60" s="151"/>
      <c r="N60" s="151"/>
      <c r="O60" s="151"/>
      <c r="P60" s="151"/>
      <c r="Q60" s="151"/>
      <c r="R60" s="151"/>
      <c r="S60" s="152"/>
      <c r="T60" s="153"/>
      <c r="U60" s="154"/>
      <c r="V60" s="154"/>
      <c r="W60" s="154"/>
      <c r="X60" s="154"/>
      <c r="Y60" s="154"/>
      <c r="Z60" s="154"/>
      <c r="AA60" s="154"/>
      <c r="AB60" s="154"/>
      <c r="AC60" s="154"/>
      <c r="AD60" s="154"/>
      <c r="AE60" s="154"/>
      <c r="AF60" s="154"/>
      <c r="AG60" s="154"/>
      <c r="AH60" s="154"/>
      <c r="AI60" s="154"/>
      <c r="AJ60" s="154"/>
      <c r="AK60" s="154"/>
      <c r="AL60" s="155"/>
    </row>
    <row r="61" spans="1:38" x14ac:dyDescent="0.2">
      <c r="A61" s="24"/>
      <c r="B61" s="25"/>
      <c r="C61" s="25"/>
      <c r="D61" s="25"/>
      <c r="E61" s="25"/>
      <c r="F61" s="25"/>
      <c r="G61" s="25"/>
      <c r="H61" s="25"/>
      <c r="I61" s="25"/>
      <c r="J61" s="25"/>
      <c r="K61" s="25"/>
      <c r="L61" s="25"/>
      <c r="M61" s="25"/>
      <c r="N61" s="25"/>
      <c r="O61" s="25"/>
      <c r="P61" s="25"/>
      <c r="Q61" s="25"/>
      <c r="R61" s="25"/>
      <c r="S61" s="26"/>
      <c r="T61" s="25"/>
      <c r="U61" s="25"/>
      <c r="V61" s="25"/>
      <c r="W61" s="25"/>
      <c r="X61" s="25"/>
      <c r="Y61" s="25"/>
      <c r="Z61" s="25"/>
      <c r="AA61" s="25"/>
      <c r="AB61" s="25"/>
      <c r="AC61" s="25"/>
      <c r="AD61" s="25"/>
      <c r="AE61" s="25"/>
      <c r="AF61" s="25"/>
      <c r="AG61" s="25"/>
      <c r="AH61" s="25"/>
      <c r="AI61" s="25"/>
      <c r="AJ61" s="25"/>
      <c r="AK61" s="25"/>
      <c r="AL61" s="26"/>
    </row>
    <row r="62" spans="1:38"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row>
    <row r="63" spans="1:38"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8"/>
      <c r="B186" s="36"/>
      <c r="C186" s="36"/>
      <c r="D186" s="36"/>
      <c r="E186" s="36"/>
      <c r="F186" s="36"/>
      <c r="G186" s="36"/>
      <c r="H186" s="36"/>
      <c r="I186" s="36"/>
      <c r="J186" s="36"/>
      <c r="K186" s="36"/>
      <c r="L186" s="36"/>
      <c r="M186" s="36"/>
      <c r="N186" s="36"/>
      <c r="O186" s="36"/>
      <c r="P186" s="36"/>
      <c r="Q186" s="36"/>
      <c r="R186" s="36"/>
      <c r="S186" s="39"/>
      <c r="T186" s="36"/>
      <c r="U186" s="36"/>
      <c r="V186" s="36"/>
      <c r="W186" s="36"/>
      <c r="X186" s="36"/>
      <c r="Y186" s="36"/>
      <c r="Z186" s="36"/>
      <c r="AA186" s="36"/>
      <c r="AB186" s="36"/>
      <c r="AC186" s="36"/>
      <c r="AD186" s="36"/>
      <c r="AE186" s="36"/>
      <c r="AF186" s="36"/>
      <c r="AG186" s="36"/>
      <c r="AH186" s="36"/>
      <c r="AI186" s="36"/>
      <c r="AJ186" s="36"/>
      <c r="AK186" s="36"/>
      <c r="AL186" s="39"/>
    </row>
  </sheetData>
  <sheetProtection password="E10F" sheet="1"/>
  <mergeCells count="48">
    <mergeCell ref="A1:S1"/>
    <mergeCell ref="T1:AL1"/>
    <mergeCell ref="D3:J3"/>
    <mergeCell ref="O3:S3"/>
    <mergeCell ref="W3:AC3"/>
    <mergeCell ref="AH3:AL3"/>
    <mergeCell ref="A5:S5"/>
    <mergeCell ref="A46:B46"/>
    <mergeCell ref="C46:D46"/>
    <mergeCell ref="E46:F46"/>
    <mergeCell ref="G46:H46"/>
    <mergeCell ref="N46:O46"/>
    <mergeCell ref="P46:R46"/>
    <mergeCell ref="AG46:AH46"/>
    <mergeCell ref="A47:B47"/>
    <mergeCell ref="C47:D47"/>
    <mergeCell ref="E47:F47"/>
    <mergeCell ref="G47:H47"/>
    <mergeCell ref="T47:U47"/>
    <mergeCell ref="T46:U46"/>
    <mergeCell ref="V46:W46"/>
    <mergeCell ref="X46:Y46"/>
    <mergeCell ref="Z46:AA46"/>
    <mergeCell ref="V47:W47"/>
    <mergeCell ref="X47:Y47"/>
    <mergeCell ref="Z47:AA47"/>
    <mergeCell ref="A50:B50"/>
    <mergeCell ref="C50:D50"/>
    <mergeCell ref="V50:W50"/>
    <mergeCell ref="V53:W53"/>
    <mergeCell ref="A54:B54"/>
    <mergeCell ref="C54:D54"/>
    <mergeCell ref="C53:D53"/>
    <mergeCell ref="AG50:AH50"/>
    <mergeCell ref="C51:D51"/>
    <mergeCell ref="V51:W51"/>
    <mergeCell ref="AG51:AH51"/>
    <mergeCell ref="V52:W52"/>
    <mergeCell ref="AG52:AH52"/>
    <mergeCell ref="C60:D60"/>
    <mergeCell ref="A56:B56"/>
    <mergeCell ref="C55:D55"/>
    <mergeCell ref="C58:D58"/>
    <mergeCell ref="C59:D59"/>
    <mergeCell ref="A55:B55"/>
    <mergeCell ref="A57:B57"/>
    <mergeCell ref="C56:D56"/>
    <mergeCell ref="C57:D57"/>
  </mergeCells>
  <phoneticPr fontId="0" type="noConversion"/>
  <hyperlinks>
    <hyperlink ref="AM2" location="'Cover Sheet'!A1" display="BACK to COVER SHEET" xr:uid="{00000000-0004-0000-1000-000000000000}"/>
    <hyperlink ref="AM2:AO2" location="'Cover Sheet'!A1" display="BACK to COVER SHEET" xr:uid="{00000000-0004-0000-1000-000001000000}"/>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9"/>
  <dimension ref="A1:V180"/>
  <sheetViews>
    <sheetView showGridLines="0" zoomScaleNormal="100" zoomScaleSheetLayoutView="100" workbookViewId="0">
      <selection sqref="A1:S1"/>
    </sheetView>
  </sheetViews>
  <sheetFormatPr baseColWidth="10" defaultColWidth="9.140625" defaultRowHeight="12.75" x14ac:dyDescent="0.2"/>
  <cols>
    <col min="1" max="19" width="5" customWidth="1"/>
  </cols>
  <sheetData>
    <row r="1" spans="1:22" x14ac:dyDescent="0.2">
      <c r="A1" s="601" t="s">
        <v>561</v>
      </c>
      <c r="B1" s="601"/>
      <c r="C1" s="601"/>
      <c r="D1" s="601"/>
      <c r="E1" s="601"/>
      <c r="F1" s="601"/>
      <c r="G1" s="601"/>
      <c r="H1" s="601"/>
      <c r="I1" s="601"/>
      <c r="J1" s="601"/>
      <c r="K1" s="601"/>
      <c r="L1" s="601"/>
      <c r="M1" s="601"/>
      <c r="N1" s="601"/>
      <c r="O1" s="601"/>
      <c r="P1" s="601"/>
      <c r="Q1" s="601"/>
      <c r="R1" s="601"/>
      <c r="S1" s="601"/>
    </row>
    <row r="2" spans="1:22" x14ac:dyDescent="0.2">
      <c r="T2" s="298" t="s">
        <v>565</v>
      </c>
      <c r="U2" s="298"/>
      <c r="V2" s="298"/>
    </row>
    <row r="3" spans="1:22" x14ac:dyDescent="0.2">
      <c r="A3" t="s">
        <v>47</v>
      </c>
      <c r="D3" s="701" t="str">
        <f>IF('Cover Sheet'!D14:J14&gt;0,'Cover Sheet'!D14:J14,"")</f>
        <v>EPSA</v>
      </c>
      <c r="E3" s="701"/>
      <c r="F3" s="701"/>
      <c r="G3" s="701"/>
      <c r="H3" s="701"/>
      <c r="I3" s="701"/>
      <c r="J3" s="701"/>
      <c r="K3" t="s">
        <v>48</v>
      </c>
      <c r="O3" s="701" t="str">
        <f>IF('Cover Sheet'!O14:S14&gt;0,'Cover Sheet'!O14:S14,"")</f>
        <v/>
      </c>
      <c r="P3" s="701"/>
      <c r="Q3" s="701"/>
      <c r="R3" s="701"/>
      <c r="S3" s="701"/>
    </row>
    <row r="5" spans="1:22" ht="12.75" customHeight="1" x14ac:dyDescent="0.2">
      <c r="A5" s="40"/>
      <c r="B5" s="41"/>
      <c r="C5" s="41"/>
      <c r="D5" s="41"/>
      <c r="E5" s="41"/>
      <c r="F5" s="41"/>
      <c r="G5" s="41"/>
      <c r="H5" s="41"/>
      <c r="I5" s="41"/>
      <c r="J5" s="41"/>
      <c r="K5" s="41"/>
      <c r="L5" s="41"/>
      <c r="M5" s="41"/>
      <c r="N5" s="41"/>
      <c r="O5" s="41"/>
      <c r="P5" s="41"/>
      <c r="Q5" s="41"/>
      <c r="R5" s="41"/>
      <c r="S5" s="42"/>
    </row>
    <row r="6" spans="1:22" x14ac:dyDescent="0.2">
      <c r="A6" s="27"/>
      <c r="B6" s="28"/>
      <c r="C6" s="28"/>
      <c r="D6" s="28"/>
      <c r="E6" s="28"/>
      <c r="F6" s="28"/>
      <c r="G6" s="28"/>
      <c r="H6" s="28"/>
      <c r="I6" s="28"/>
      <c r="J6" s="28"/>
      <c r="K6" s="28"/>
      <c r="L6" s="28"/>
      <c r="M6" s="28"/>
      <c r="N6" s="28"/>
      <c r="O6" s="28"/>
      <c r="P6" s="28"/>
      <c r="Q6" s="28"/>
      <c r="R6" s="28"/>
      <c r="S6" s="29"/>
    </row>
    <row r="7" spans="1:22" x14ac:dyDescent="0.2">
      <c r="A7" s="27"/>
      <c r="B7" s="28"/>
      <c r="C7" s="28"/>
      <c r="D7" s="28"/>
      <c r="E7" s="28"/>
      <c r="F7" s="28"/>
      <c r="G7" s="28"/>
      <c r="H7" s="28"/>
      <c r="I7" s="28"/>
      <c r="J7" s="28"/>
      <c r="K7" s="28"/>
      <c r="L7" s="28"/>
      <c r="M7" s="28"/>
      <c r="N7" s="28"/>
      <c r="O7" s="28"/>
      <c r="P7" s="28"/>
      <c r="Q7" s="28"/>
      <c r="R7" s="28"/>
      <c r="S7" s="29"/>
    </row>
    <row r="8" spans="1:22" x14ac:dyDescent="0.2">
      <c r="A8" s="27"/>
      <c r="B8" s="28"/>
      <c r="C8" s="28"/>
      <c r="D8" s="28"/>
      <c r="E8" s="28"/>
      <c r="F8" s="28"/>
      <c r="G8" s="28"/>
      <c r="H8" s="28"/>
      <c r="I8" s="28"/>
      <c r="J8" s="28"/>
      <c r="K8" s="28"/>
      <c r="L8" s="28"/>
      <c r="M8" s="28"/>
      <c r="N8" s="28"/>
      <c r="O8" s="28"/>
      <c r="P8" s="28"/>
      <c r="Q8" s="28"/>
      <c r="R8" s="28"/>
      <c r="S8" s="29"/>
    </row>
    <row r="9" spans="1:22" x14ac:dyDescent="0.2">
      <c r="A9" s="27"/>
      <c r="B9" s="28"/>
      <c r="C9" s="28"/>
      <c r="D9" s="28"/>
      <c r="E9" s="28"/>
      <c r="F9" s="31"/>
      <c r="G9" s="31"/>
      <c r="H9" s="28"/>
      <c r="I9" s="28"/>
      <c r="J9" s="28"/>
      <c r="K9" s="28"/>
      <c r="L9" s="28"/>
      <c r="M9" s="28"/>
      <c r="N9" s="28"/>
      <c r="O9" s="28"/>
      <c r="P9" s="28"/>
      <c r="Q9" s="28"/>
      <c r="R9" s="28"/>
      <c r="S9" s="29"/>
    </row>
    <row r="10" spans="1:22" x14ac:dyDescent="0.2">
      <c r="A10" s="27"/>
      <c r="B10" s="28"/>
      <c r="C10" s="28"/>
      <c r="D10" s="28"/>
      <c r="E10" s="28"/>
      <c r="F10" s="28"/>
      <c r="G10" s="28"/>
      <c r="H10" s="28"/>
      <c r="I10" s="28"/>
      <c r="J10" s="28"/>
      <c r="K10" s="28"/>
      <c r="L10" s="28"/>
      <c r="M10" s="28"/>
      <c r="N10" s="28"/>
      <c r="O10" s="28"/>
      <c r="P10" s="28"/>
      <c r="Q10" s="28"/>
      <c r="R10" s="28"/>
      <c r="S10" s="29"/>
    </row>
    <row r="11" spans="1:22" x14ac:dyDescent="0.2">
      <c r="A11" s="27"/>
      <c r="B11" s="28"/>
      <c r="C11" s="28"/>
      <c r="D11" s="28"/>
      <c r="E11" s="28"/>
      <c r="F11" s="28"/>
      <c r="G11" s="33" t="s">
        <v>101</v>
      </c>
      <c r="H11" s="28"/>
      <c r="I11" s="28"/>
      <c r="J11" s="28"/>
      <c r="K11" s="28"/>
      <c r="L11" s="28"/>
      <c r="M11" s="28"/>
      <c r="N11" s="28"/>
      <c r="O11" s="28"/>
      <c r="P11" s="28"/>
      <c r="Q11" s="28"/>
      <c r="R11" s="28"/>
      <c r="S11" s="29"/>
    </row>
    <row r="12" spans="1:22" x14ac:dyDescent="0.2">
      <c r="A12" s="27"/>
      <c r="B12" s="28"/>
      <c r="C12" s="28"/>
      <c r="D12" s="28"/>
      <c r="E12" s="28"/>
      <c r="F12" s="28"/>
      <c r="G12" s="28"/>
      <c r="H12" s="28"/>
      <c r="I12" s="28"/>
      <c r="J12" s="28"/>
      <c r="K12" s="28"/>
      <c r="L12" s="28"/>
      <c r="M12" s="28"/>
      <c r="N12" s="28"/>
      <c r="O12" s="28"/>
      <c r="P12" s="28"/>
      <c r="Q12" s="28"/>
      <c r="R12" s="28"/>
      <c r="S12" s="29"/>
    </row>
    <row r="13" spans="1:22" x14ac:dyDescent="0.2">
      <c r="A13" s="27"/>
      <c r="B13" s="28"/>
      <c r="C13" s="28"/>
      <c r="D13" s="28"/>
      <c r="E13" s="28"/>
      <c r="F13" s="28"/>
      <c r="G13" s="33" t="s">
        <v>282</v>
      </c>
      <c r="H13" s="28"/>
      <c r="I13" s="28"/>
      <c r="J13" s="28"/>
      <c r="K13" s="28"/>
      <c r="L13" s="28"/>
      <c r="M13" s="28"/>
      <c r="N13" s="28"/>
      <c r="O13" s="28"/>
      <c r="P13" s="28"/>
      <c r="Q13" s="28"/>
      <c r="R13" s="28"/>
      <c r="S13" s="29"/>
    </row>
    <row r="14" spans="1:22" x14ac:dyDescent="0.2">
      <c r="A14" s="27"/>
      <c r="B14" s="28"/>
      <c r="C14" s="28"/>
      <c r="D14" s="28"/>
      <c r="E14" s="28"/>
      <c r="F14" s="28"/>
      <c r="G14" s="28"/>
      <c r="H14" s="28"/>
      <c r="I14" s="28"/>
      <c r="J14" s="28"/>
      <c r="K14" s="28"/>
      <c r="L14" s="28"/>
      <c r="M14" s="28"/>
      <c r="N14" s="28"/>
      <c r="O14" s="28"/>
      <c r="P14" s="28"/>
      <c r="Q14" s="28"/>
      <c r="R14" s="28"/>
      <c r="S14" s="29"/>
    </row>
    <row r="15" spans="1:22" x14ac:dyDescent="0.2">
      <c r="A15" s="27"/>
      <c r="B15" s="28"/>
      <c r="C15" s="28"/>
      <c r="D15" s="28"/>
      <c r="E15" s="28"/>
      <c r="F15" s="28"/>
      <c r="G15" s="28"/>
      <c r="H15" s="28"/>
      <c r="I15" s="28"/>
      <c r="J15" s="28"/>
      <c r="K15" s="28"/>
      <c r="L15" s="28"/>
      <c r="M15" s="28"/>
      <c r="N15" s="28"/>
      <c r="O15" s="28"/>
      <c r="P15" s="28"/>
      <c r="Q15" s="28"/>
      <c r="R15" s="28"/>
      <c r="S15" s="29"/>
    </row>
    <row r="16" spans="1:22" x14ac:dyDescent="0.2">
      <c r="A16" s="27"/>
      <c r="B16" s="28"/>
      <c r="C16" s="28"/>
      <c r="D16" s="28"/>
      <c r="E16" s="28"/>
      <c r="F16" s="28"/>
      <c r="G16" s="28"/>
      <c r="H16" s="28"/>
      <c r="I16" s="28"/>
      <c r="J16" s="28"/>
      <c r="K16" s="28"/>
      <c r="L16" s="28"/>
      <c r="M16" s="28"/>
      <c r="N16" s="28"/>
      <c r="O16" s="28"/>
      <c r="P16" s="28"/>
      <c r="Q16" s="28"/>
      <c r="R16" s="28"/>
      <c r="S16" s="29"/>
    </row>
    <row r="17" spans="1:19" x14ac:dyDescent="0.2">
      <c r="A17" s="27"/>
      <c r="B17" s="28"/>
      <c r="C17" s="28"/>
      <c r="D17" s="28"/>
      <c r="E17" s="28"/>
      <c r="F17" s="28"/>
      <c r="G17" s="28"/>
      <c r="H17" s="28"/>
      <c r="I17" s="28"/>
      <c r="J17" s="28"/>
      <c r="K17" s="28"/>
      <c r="L17" s="28"/>
      <c r="M17" s="28"/>
      <c r="N17" s="28"/>
      <c r="O17" s="28"/>
      <c r="P17" s="28"/>
      <c r="Q17" s="28"/>
      <c r="R17" s="28"/>
      <c r="S17" s="29"/>
    </row>
    <row r="18" spans="1:19" x14ac:dyDescent="0.2">
      <c r="A18" s="34"/>
      <c r="B18" s="35"/>
      <c r="C18" s="35"/>
      <c r="D18" s="35"/>
      <c r="E18" s="36"/>
      <c r="F18" s="36"/>
      <c r="G18" s="35"/>
      <c r="H18" s="36"/>
      <c r="I18" s="35"/>
      <c r="J18" s="35"/>
      <c r="K18" s="35"/>
      <c r="L18" s="35"/>
      <c r="M18" s="35"/>
      <c r="N18" s="35"/>
      <c r="O18" s="35"/>
      <c r="P18" s="35"/>
      <c r="Q18" s="35"/>
      <c r="R18" s="35"/>
      <c r="S18" s="37"/>
    </row>
    <row r="19" spans="1:19" x14ac:dyDescent="0.2">
      <c r="A19" s="13" t="s">
        <v>102</v>
      </c>
      <c r="B19" s="10"/>
      <c r="C19" s="10"/>
      <c r="D19" s="10"/>
      <c r="E19" s="10"/>
      <c r="F19" s="10"/>
      <c r="G19" s="10"/>
      <c r="H19" s="10"/>
      <c r="I19" s="10"/>
      <c r="J19" s="10"/>
      <c r="K19" s="10"/>
      <c r="L19" s="10"/>
      <c r="M19" s="10"/>
      <c r="N19" s="10"/>
      <c r="O19" s="10"/>
      <c r="P19" s="10"/>
      <c r="Q19" s="10"/>
      <c r="R19" s="10"/>
      <c r="S19" s="11"/>
    </row>
    <row r="20" spans="1:19" x14ac:dyDescent="0.2">
      <c r="A20" s="9"/>
      <c r="B20" s="10"/>
      <c r="C20" s="10"/>
      <c r="D20" s="10"/>
      <c r="E20" s="10"/>
      <c r="F20" s="10"/>
      <c r="G20" s="10"/>
      <c r="H20" s="10"/>
      <c r="I20" s="10"/>
      <c r="J20" s="10"/>
      <c r="K20" s="10"/>
      <c r="L20" s="10"/>
      <c r="M20" s="10"/>
      <c r="N20" s="10"/>
      <c r="O20" s="10"/>
      <c r="P20" s="10"/>
      <c r="Q20" s="10"/>
      <c r="R20" s="10"/>
      <c r="S20" s="11"/>
    </row>
    <row r="21" spans="1:19" x14ac:dyDescent="0.2">
      <c r="A21" s="40"/>
      <c r="B21" s="41"/>
      <c r="C21" s="41"/>
      <c r="D21" s="41"/>
      <c r="E21" s="41"/>
      <c r="F21" s="41"/>
      <c r="G21" s="41"/>
      <c r="H21" s="41"/>
      <c r="I21" s="41"/>
      <c r="J21" s="41"/>
      <c r="K21" s="41"/>
      <c r="L21" s="41"/>
      <c r="M21" s="41"/>
      <c r="N21" s="41"/>
      <c r="O21" s="41"/>
      <c r="P21" s="41"/>
      <c r="Q21" s="41"/>
      <c r="R21" s="41"/>
      <c r="S21" s="42"/>
    </row>
    <row r="22" spans="1:19" x14ac:dyDescent="0.2">
      <c r="A22" s="27"/>
      <c r="B22" s="28"/>
      <c r="C22" s="28"/>
      <c r="D22" s="28"/>
      <c r="E22" s="28"/>
      <c r="F22" s="28"/>
      <c r="G22" s="28"/>
      <c r="H22" s="28"/>
      <c r="I22" s="28"/>
      <c r="J22" s="28"/>
      <c r="K22" s="28"/>
      <c r="L22" s="28"/>
      <c r="M22" s="28"/>
      <c r="N22" s="28"/>
      <c r="O22" s="28"/>
      <c r="P22" s="28"/>
      <c r="Q22" s="28"/>
      <c r="R22" s="28"/>
      <c r="S22" s="29"/>
    </row>
    <row r="23" spans="1:19" x14ac:dyDescent="0.2">
      <c r="A23" s="27"/>
      <c r="B23" s="28"/>
      <c r="C23" s="28"/>
      <c r="D23" s="28"/>
      <c r="E23" s="28"/>
      <c r="F23" s="28"/>
      <c r="G23" s="28"/>
      <c r="H23" s="28"/>
      <c r="I23" s="28"/>
      <c r="J23" s="28"/>
      <c r="K23" s="28"/>
      <c r="L23" s="28"/>
      <c r="M23" s="28"/>
      <c r="N23" s="28"/>
      <c r="O23" s="28"/>
      <c r="P23" s="28"/>
      <c r="Q23" s="28"/>
      <c r="R23" s="28"/>
      <c r="S23" s="29"/>
    </row>
    <row r="24" spans="1:19" x14ac:dyDescent="0.2">
      <c r="A24" s="27"/>
      <c r="B24" s="28"/>
      <c r="C24" s="28"/>
      <c r="D24" s="28"/>
      <c r="E24" s="28"/>
      <c r="F24" s="28"/>
      <c r="G24" s="28"/>
      <c r="H24" s="28"/>
      <c r="I24" s="28"/>
      <c r="J24" s="28"/>
      <c r="K24" s="28"/>
      <c r="L24" s="28"/>
      <c r="M24" s="28"/>
      <c r="N24" s="28"/>
      <c r="O24" s="28"/>
      <c r="P24" s="28"/>
      <c r="Q24" s="28"/>
      <c r="R24" s="28"/>
      <c r="S24" s="29"/>
    </row>
    <row r="25" spans="1:19" x14ac:dyDescent="0.2">
      <c r="A25" s="27"/>
      <c r="B25" s="28"/>
      <c r="C25" s="28"/>
      <c r="D25" s="28"/>
      <c r="E25" s="28"/>
      <c r="F25" s="28"/>
      <c r="G25" s="28"/>
      <c r="H25" s="28"/>
      <c r="I25" s="28"/>
      <c r="J25" s="28"/>
      <c r="K25" s="28"/>
      <c r="L25" s="28"/>
      <c r="M25" s="28"/>
      <c r="N25" s="28"/>
      <c r="O25" s="28"/>
      <c r="P25" s="28"/>
      <c r="Q25" s="28"/>
      <c r="R25" s="28"/>
      <c r="S25" s="29"/>
    </row>
    <row r="26" spans="1:19" x14ac:dyDescent="0.2">
      <c r="A26" s="27"/>
      <c r="B26" s="28"/>
      <c r="C26" s="28"/>
      <c r="D26" s="28"/>
      <c r="E26" s="28"/>
      <c r="F26" s="28"/>
      <c r="G26" s="28"/>
      <c r="H26" s="28"/>
      <c r="I26" s="28"/>
      <c r="J26" s="28"/>
      <c r="K26" s="28"/>
      <c r="L26" s="28"/>
      <c r="M26" s="28"/>
      <c r="N26" s="28"/>
      <c r="O26" s="28"/>
      <c r="P26" s="28"/>
      <c r="Q26" s="28"/>
      <c r="R26" s="28"/>
      <c r="S26" s="29"/>
    </row>
    <row r="27" spans="1:19" x14ac:dyDescent="0.2">
      <c r="A27" s="27"/>
      <c r="B27" s="28"/>
      <c r="C27" s="28"/>
      <c r="D27" s="28"/>
      <c r="E27" s="28"/>
      <c r="F27" s="28"/>
      <c r="G27" s="28"/>
      <c r="H27" s="28"/>
      <c r="I27" s="28"/>
      <c r="J27" s="28"/>
      <c r="K27" s="28"/>
      <c r="L27" s="28"/>
      <c r="M27" s="28"/>
      <c r="N27" s="28"/>
      <c r="O27" s="28"/>
      <c r="P27" s="28"/>
      <c r="Q27" s="28"/>
      <c r="R27" s="28"/>
      <c r="S27" s="29"/>
    </row>
    <row r="28" spans="1:19" x14ac:dyDescent="0.2">
      <c r="A28" s="27"/>
      <c r="B28" s="28"/>
      <c r="C28" s="28"/>
      <c r="D28" s="28"/>
      <c r="E28" s="28"/>
      <c r="F28" s="28"/>
      <c r="G28" s="28"/>
      <c r="H28" s="28"/>
      <c r="I28" s="28"/>
      <c r="J28" s="28"/>
      <c r="K28" s="28"/>
      <c r="L28" s="28"/>
      <c r="M28" s="28"/>
      <c r="N28" s="28"/>
      <c r="O28" s="28"/>
      <c r="P28" s="28"/>
      <c r="Q28" s="28"/>
      <c r="R28" s="28"/>
      <c r="S28" s="29"/>
    </row>
    <row r="29" spans="1:19" x14ac:dyDescent="0.2">
      <c r="A29" s="27"/>
      <c r="B29" s="28"/>
      <c r="C29" s="28"/>
      <c r="D29" s="28"/>
      <c r="E29" s="28"/>
      <c r="F29" s="28"/>
      <c r="G29" s="28"/>
      <c r="H29" s="28"/>
      <c r="I29" s="28"/>
      <c r="J29" s="28"/>
      <c r="K29" s="28"/>
      <c r="L29" s="28"/>
      <c r="M29" s="28"/>
      <c r="N29" s="28"/>
      <c r="O29" s="28"/>
      <c r="P29" s="28"/>
      <c r="Q29" s="28"/>
      <c r="R29" s="28"/>
      <c r="S29" s="29"/>
    </row>
    <row r="30" spans="1:19" x14ac:dyDescent="0.2">
      <c r="A30" s="27"/>
      <c r="B30" s="28"/>
      <c r="C30" s="28"/>
      <c r="D30" s="28"/>
      <c r="E30" s="28"/>
      <c r="F30" s="28"/>
      <c r="G30" s="28"/>
      <c r="H30" s="28"/>
      <c r="I30" s="28"/>
      <c r="J30" s="28"/>
      <c r="K30" s="28"/>
      <c r="L30" s="28"/>
      <c r="M30" s="28"/>
      <c r="N30" s="28"/>
      <c r="O30" s="28"/>
      <c r="P30" s="28"/>
      <c r="Q30" s="28"/>
      <c r="R30" s="28"/>
      <c r="S30" s="29"/>
    </row>
    <row r="31" spans="1:19" x14ac:dyDescent="0.2">
      <c r="A31" s="27"/>
      <c r="B31" s="28"/>
      <c r="C31" s="28"/>
      <c r="D31" s="28"/>
      <c r="E31" s="28"/>
      <c r="F31" s="28"/>
      <c r="G31" s="28"/>
      <c r="H31" s="28"/>
      <c r="I31" s="28"/>
      <c r="J31" s="28"/>
      <c r="K31" s="28"/>
      <c r="L31" s="28"/>
      <c r="M31" s="28"/>
      <c r="N31" s="28"/>
      <c r="O31" s="28"/>
      <c r="P31" s="28"/>
      <c r="Q31" s="28"/>
      <c r="R31" s="28"/>
      <c r="S31" s="29"/>
    </row>
    <row r="32" spans="1:19" x14ac:dyDescent="0.2">
      <c r="A32" s="27"/>
      <c r="B32" s="28"/>
      <c r="C32" s="28"/>
      <c r="D32" s="28"/>
      <c r="E32" s="43"/>
      <c r="F32" s="31"/>
      <c r="G32" s="33" t="s">
        <v>103</v>
      </c>
      <c r="H32" s="28"/>
      <c r="I32" s="28"/>
      <c r="J32" s="28"/>
      <c r="K32" s="28"/>
      <c r="L32" s="28"/>
      <c r="M32" s="28"/>
      <c r="N32" s="28"/>
      <c r="O32" s="28"/>
      <c r="P32" s="28"/>
      <c r="Q32" s="28"/>
      <c r="R32" s="28"/>
      <c r="S32" s="29"/>
    </row>
    <row r="33" spans="1:19" x14ac:dyDescent="0.2">
      <c r="A33" s="27"/>
      <c r="B33" s="28"/>
      <c r="C33" s="28"/>
      <c r="D33" s="33"/>
      <c r="E33" s="43"/>
      <c r="F33" s="28"/>
      <c r="G33" s="43"/>
      <c r="H33" s="28"/>
      <c r="I33" s="28"/>
      <c r="J33" s="28"/>
      <c r="K33" s="28"/>
      <c r="L33" s="28"/>
      <c r="M33" s="28"/>
      <c r="N33" s="28"/>
      <c r="O33" s="28"/>
      <c r="P33" s="28"/>
      <c r="Q33" s="28"/>
      <c r="R33" s="28"/>
      <c r="S33" s="29"/>
    </row>
    <row r="34" spans="1:19" x14ac:dyDescent="0.2">
      <c r="A34" s="27"/>
      <c r="B34" s="28"/>
      <c r="C34" s="28"/>
      <c r="D34" s="28"/>
      <c r="E34" s="28"/>
      <c r="F34" s="28"/>
      <c r="G34" s="33" t="s">
        <v>380</v>
      </c>
      <c r="H34" s="28"/>
      <c r="I34" s="28"/>
      <c r="J34" s="28"/>
      <c r="K34" s="28"/>
      <c r="L34" s="28"/>
      <c r="M34" s="28"/>
      <c r="N34" s="28"/>
      <c r="O34" s="28"/>
      <c r="P34" s="28"/>
      <c r="Q34" s="28"/>
      <c r="R34" s="28"/>
      <c r="S34" s="29"/>
    </row>
    <row r="35" spans="1:19" x14ac:dyDescent="0.2">
      <c r="A35" s="30"/>
      <c r="B35" s="28"/>
      <c r="C35" s="28"/>
      <c r="D35" s="28"/>
      <c r="E35" s="28"/>
      <c r="F35" s="28"/>
      <c r="G35" s="28"/>
      <c r="H35" s="28"/>
      <c r="I35" s="28"/>
      <c r="J35" s="28"/>
      <c r="K35" s="28"/>
      <c r="L35" s="28"/>
      <c r="M35" s="28"/>
      <c r="N35" s="28"/>
      <c r="O35" s="28"/>
      <c r="P35" s="28"/>
      <c r="Q35" s="28"/>
      <c r="R35" s="28"/>
      <c r="S35" s="29"/>
    </row>
    <row r="36" spans="1:19" x14ac:dyDescent="0.2">
      <c r="A36" s="30"/>
      <c r="B36" s="28"/>
      <c r="C36" s="28"/>
      <c r="D36" s="28"/>
      <c r="E36" s="28"/>
      <c r="F36" s="28"/>
      <c r="G36" s="28"/>
      <c r="H36" s="28"/>
      <c r="I36" s="28"/>
      <c r="J36" s="28"/>
      <c r="K36" s="28"/>
      <c r="L36" s="28"/>
      <c r="M36" s="28"/>
      <c r="N36" s="28"/>
      <c r="O36" s="28"/>
      <c r="P36" s="28"/>
      <c r="Q36" s="28"/>
      <c r="R36" s="28"/>
      <c r="S36" s="29"/>
    </row>
    <row r="37" spans="1:19" x14ac:dyDescent="0.2">
      <c r="A37" s="30"/>
      <c r="B37" s="28"/>
      <c r="C37" s="28"/>
      <c r="D37" s="28"/>
      <c r="E37" s="28"/>
      <c r="F37" s="28"/>
      <c r="G37" s="28"/>
      <c r="H37" s="28"/>
      <c r="I37" s="28"/>
      <c r="J37" s="28"/>
      <c r="K37" s="28"/>
      <c r="L37" s="28"/>
      <c r="M37" s="28"/>
      <c r="N37" s="28"/>
      <c r="O37" s="28"/>
      <c r="P37" s="28"/>
      <c r="Q37" s="28"/>
      <c r="R37" s="28"/>
      <c r="S37" s="29"/>
    </row>
    <row r="38" spans="1:19" x14ac:dyDescent="0.2">
      <c r="A38" s="30"/>
      <c r="B38" s="28"/>
      <c r="C38" s="28"/>
      <c r="D38" s="28"/>
      <c r="E38" s="28"/>
      <c r="F38" s="28"/>
      <c r="G38" s="28"/>
      <c r="H38" s="28"/>
      <c r="I38" s="28"/>
      <c r="J38" s="28"/>
      <c r="K38" s="28"/>
      <c r="L38" s="28"/>
      <c r="M38" s="28"/>
      <c r="N38" s="28"/>
      <c r="O38" s="28"/>
      <c r="P38" s="28"/>
      <c r="Q38" s="28"/>
      <c r="R38" s="28"/>
      <c r="S38" s="29"/>
    </row>
    <row r="39" spans="1:19" x14ac:dyDescent="0.2">
      <c r="A39" s="30"/>
      <c r="B39" s="28"/>
      <c r="C39" s="28"/>
      <c r="D39" s="28"/>
      <c r="E39" s="28"/>
      <c r="F39" s="28"/>
      <c r="G39" s="28"/>
      <c r="H39" s="28"/>
      <c r="I39" s="28"/>
      <c r="J39" s="28"/>
      <c r="K39" s="28"/>
      <c r="L39" s="28"/>
      <c r="M39" s="28"/>
      <c r="N39" s="28"/>
      <c r="O39" s="28"/>
      <c r="P39" s="28"/>
      <c r="Q39" s="28"/>
      <c r="R39" s="28"/>
      <c r="S39" s="29"/>
    </row>
    <row r="40" spans="1:19" x14ac:dyDescent="0.2">
      <c r="A40" s="30"/>
      <c r="B40" s="28"/>
      <c r="C40" s="28"/>
      <c r="D40" s="28"/>
      <c r="E40" s="28"/>
      <c r="F40" s="28"/>
      <c r="G40" s="28"/>
      <c r="H40" s="28"/>
      <c r="I40" s="28"/>
      <c r="J40" s="28"/>
      <c r="K40" s="28"/>
      <c r="L40" s="28"/>
      <c r="M40" s="28"/>
      <c r="N40" s="28"/>
      <c r="O40" s="28"/>
      <c r="P40" s="28"/>
      <c r="Q40" s="28"/>
      <c r="R40" s="28"/>
      <c r="S40" s="29"/>
    </row>
    <row r="41" spans="1:19" x14ac:dyDescent="0.2">
      <c r="A41" s="30"/>
      <c r="B41" s="28"/>
      <c r="C41" s="28"/>
      <c r="D41" s="28"/>
      <c r="E41" s="28"/>
      <c r="F41" s="28"/>
      <c r="G41" s="28"/>
      <c r="H41" s="28"/>
      <c r="I41" s="28"/>
      <c r="J41" s="28"/>
      <c r="K41" s="28"/>
      <c r="L41" s="28"/>
      <c r="M41" s="28"/>
      <c r="N41" s="28"/>
      <c r="O41" s="28"/>
      <c r="P41" s="28"/>
      <c r="Q41" s="28"/>
      <c r="R41" s="28"/>
      <c r="S41" s="29"/>
    </row>
    <row r="42" spans="1:19" x14ac:dyDescent="0.2">
      <c r="A42" s="30"/>
      <c r="B42" s="28"/>
      <c r="C42" s="28"/>
      <c r="D42" s="28"/>
      <c r="E42" s="28"/>
      <c r="F42" s="28"/>
      <c r="G42" s="28"/>
      <c r="H42" s="28"/>
      <c r="I42" s="28"/>
      <c r="J42" s="28"/>
      <c r="K42" s="28"/>
      <c r="L42" s="28"/>
      <c r="M42" s="28"/>
      <c r="N42" s="28"/>
      <c r="O42" s="28"/>
      <c r="P42" s="28"/>
      <c r="Q42" s="28"/>
      <c r="R42" s="28"/>
      <c r="S42" s="29"/>
    </row>
    <row r="43" spans="1:19" x14ac:dyDescent="0.2">
      <c r="A43" s="30"/>
      <c r="B43" s="28"/>
      <c r="C43" s="28"/>
      <c r="D43" s="28"/>
      <c r="E43" s="28"/>
      <c r="F43" s="28"/>
      <c r="G43" s="28"/>
      <c r="H43" s="28"/>
      <c r="I43" s="28"/>
      <c r="J43" s="28"/>
      <c r="K43" s="28"/>
      <c r="L43" s="28"/>
      <c r="M43" s="28"/>
      <c r="N43" s="28"/>
      <c r="O43" s="28"/>
      <c r="P43" s="28"/>
      <c r="Q43" s="28"/>
      <c r="R43" s="28"/>
      <c r="S43" s="29"/>
    </row>
    <row r="44" spans="1:19" x14ac:dyDescent="0.2">
      <c r="A44" s="38"/>
      <c r="B44" s="35"/>
      <c r="C44" s="35"/>
      <c r="D44" s="35"/>
      <c r="E44" s="35"/>
      <c r="F44" s="35"/>
      <c r="G44" s="35"/>
      <c r="H44" s="35"/>
      <c r="I44" s="35"/>
      <c r="J44" s="35"/>
      <c r="K44" s="35"/>
      <c r="L44" s="35"/>
      <c r="M44" s="35"/>
      <c r="N44" s="35"/>
      <c r="O44" s="35"/>
      <c r="P44" s="35"/>
      <c r="Q44" s="35"/>
      <c r="R44" s="35"/>
      <c r="S44" s="37"/>
    </row>
    <row r="45" spans="1:19" x14ac:dyDescent="0.2">
      <c r="A45" s="130" t="s">
        <v>104</v>
      </c>
      <c r="B45" s="131"/>
      <c r="C45" s="131"/>
      <c r="D45" s="131"/>
      <c r="E45" s="131"/>
      <c r="F45" s="131"/>
      <c r="G45" s="131"/>
      <c r="H45" s="131"/>
      <c r="I45" s="131"/>
      <c r="J45" s="131"/>
      <c r="K45" s="131"/>
      <c r="L45" s="131"/>
      <c r="M45" s="131"/>
      <c r="N45" s="131"/>
      <c r="O45" s="131"/>
      <c r="P45" s="131"/>
      <c r="Q45" s="131"/>
      <c r="R45" s="131"/>
      <c r="S45" s="132"/>
    </row>
    <row r="46" spans="1:19" x14ac:dyDescent="0.2">
      <c r="A46" s="156"/>
      <c r="B46" s="131"/>
      <c r="C46" s="131"/>
      <c r="D46" s="131"/>
      <c r="E46" s="131"/>
      <c r="F46" s="131"/>
      <c r="G46" s="131"/>
      <c r="H46" s="131"/>
      <c r="I46" s="131"/>
      <c r="J46" s="131"/>
      <c r="K46" s="131"/>
      <c r="L46" s="131"/>
      <c r="M46" s="131"/>
      <c r="N46" s="131"/>
      <c r="O46" s="131"/>
      <c r="P46" s="131"/>
      <c r="Q46" s="131"/>
      <c r="R46" s="131"/>
      <c r="S46" s="132"/>
    </row>
    <row r="47" spans="1:19" x14ac:dyDescent="0.2">
      <c r="A47" s="130" t="s">
        <v>284</v>
      </c>
      <c r="B47" s="136"/>
      <c r="C47" s="136"/>
      <c r="D47" s="136"/>
      <c r="E47" s="136"/>
      <c r="F47" s="136"/>
      <c r="G47" s="136"/>
      <c r="H47" s="136"/>
      <c r="I47" s="136"/>
      <c r="J47" s="136"/>
      <c r="K47" s="136"/>
      <c r="L47" s="136"/>
      <c r="M47" s="136"/>
      <c r="N47" s="136"/>
      <c r="O47" s="136"/>
      <c r="P47" s="136"/>
      <c r="Q47" s="136"/>
      <c r="R47" s="136"/>
      <c r="S47" s="137"/>
    </row>
    <row r="48" spans="1:19" ht="12.75" customHeight="1" x14ac:dyDescent="0.2">
      <c r="A48" s="683" t="s">
        <v>115</v>
      </c>
      <c r="B48" s="684"/>
      <c r="C48" s="708"/>
      <c r="D48" s="689">
        <v>0</v>
      </c>
      <c r="E48" s="690"/>
      <c r="F48" s="143"/>
      <c r="G48" s="293"/>
      <c r="H48" s="138"/>
      <c r="I48" s="136"/>
      <c r="J48" s="136"/>
      <c r="K48" s="136"/>
      <c r="L48" s="136"/>
      <c r="M48" s="136"/>
      <c r="N48" s="136"/>
      <c r="O48" s="136"/>
      <c r="P48" s="136"/>
      <c r="Q48" s="136"/>
      <c r="R48" s="136"/>
      <c r="S48" s="137"/>
    </row>
    <row r="49" spans="1:19" x14ac:dyDescent="0.2">
      <c r="A49" s="140"/>
      <c r="B49" s="136"/>
      <c r="C49" s="136"/>
      <c r="D49" s="136"/>
      <c r="E49" s="136"/>
      <c r="F49" s="136"/>
      <c r="G49" s="136"/>
      <c r="H49" s="136"/>
      <c r="I49" s="136"/>
      <c r="J49" s="136"/>
      <c r="K49" s="136"/>
      <c r="L49" s="136"/>
      <c r="M49" s="136"/>
      <c r="N49" s="136"/>
      <c r="O49" s="136"/>
      <c r="P49" s="136"/>
      <c r="Q49" s="136"/>
      <c r="R49" s="136"/>
      <c r="S49" s="137"/>
    </row>
    <row r="50" spans="1:19" x14ac:dyDescent="0.2">
      <c r="A50" s="135" t="s">
        <v>119</v>
      </c>
      <c r="B50" s="136"/>
      <c r="C50" s="136"/>
      <c r="D50" s="136"/>
      <c r="E50" s="136"/>
      <c r="F50" s="136"/>
      <c r="G50" s="136"/>
      <c r="H50" s="136"/>
      <c r="I50" s="136"/>
      <c r="J50" s="136"/>
      <c r="K50" s="136"/>
      <c r="L50" s="136"/>
      <c r="M50" s="136"/>
      <c r="N50" s="136"/>
      <c r="O50" s="136"/>
      <c r="P50" s="136"/>
      <c r="Q50" s="136"/>
      <c r="R50" s="136"/>
      <c r="S50" s="137"/>
    </row>
    <row r="51" spans="1:19" ht="15.75" customHeight="1" x14ac:dyDescent="0.2">
      <c r="A51" s="56"/>
      <c r="B51" s="669" t="s">
        <v>120</v>
      </c>
      <c r="C51" s="709"/>
      <c r="D51" s="710">
        <v>0</v>
      </c>
      <c r="E51" s="711"/>
      <c r="F51" s="133"/>
      <c r="G51" s="133"/>
      <c r="H51" s="133"/>
      <c r="I51" s="133"/>
      <c r="J51" s="133"/>
      <c r="K51" s="133"/>
      <c r="L51" s="133"/>
      <c r="M51" s="133"/>
      <c r="N51" s="133"/>
      <c r="O51" s="136"/>
      <c r="P51" s="136"/>
      <c r="Q51" s="136"/>
      <c r="R51" s="136"/>
      <c r="S51" s="137"/>
    </row>
    <row r="52" spans="1:19" ht="15.75" customHeight="1" x14ac:dyDescent="0.2">
      <c r="A52" s="145"/>
      <c r="B52" s="139"/>
      <c r="C52" s="157"/>
      <c r="D52" s="158"/>
      <c r="E52" s="133"/>
      <c r="F52" s="133"/>
      <c r="G52" s="133"/>
      <c r="H52" s="133"/>
      <c r="I52" s="133"/>
      <c r="J52" s="133"/>
      <c r="K52" s="133"/>
      <c r="L52" s="133"/>
      <c r="M52" s="133"/>
      <c r="N52" s="133"/>
      <c r="O52" s="136"/>
      <c r="P52" s="136"/>
      <c r="Q52" s="136"/>
      <c r="R52" s="136"/>
      <c r="S52" s="137"/>
    </row>
    <row r="53" spans="1:19" ht="15.75" customHeight="1" x14ac:dyDescent="0.25">
      <c r="A53" s="703" t="s">
        <v>121</v>
      </c>
      <c r="B53" s="704"/>
      <c r="C53" s="705"/>
      <c r="D53" s="706">
        <f>IF(D51&gt;0,D48/(PI()*25*D51),0)</f>
        <v>0</v>
      </c>
      <c r="E53" s="707"/>
      <c r="F53" s="133" t="s">
        <v>189</v>
      </c>
      <c r="G53" s="133"/>
      <c r="H53" s="133"/>
      <c r="I53" s="133"/>
      <c r="J53" s="133"/>
      <c r="K53" s="133"/>
      <c r="L53" s="133"/>
      <c r="M53" s="133"/>
      <c r="N53" s="133"/>
      <c r="O53" s="133"/>
      <c r="P53" s="136"/>
      <c r="Q53" s="136"/>
      <c r="R53" s="136"/>
      <c r="S53" s="137"/>
    </row>
    <row r="54" spans="1:19" x14ac:dyDescent="0.2">
      <c r="A54" s="148"/>
      <c r="B54" s="151"/>
      <c r="C54" s="151"/>
      <c r="D54" s="151"/>
      <c r="E54" s="151"/>
      <c r="F54" s="151"/>
      <c r="G54" s="151"/>
      <c r="H54" s="151"/>
      <c r="I54" s="151"/>
      <c r="J54" s="151"/>
      <c r="K54" s="151"/>
      <c r="L54" s="151"/>
      <c r="M54" s="151"/>
      <c r="N54" s="151"/>
      <c r="O54" s="151"/>
      <c r="P54" s="151"/>
      <c r="Q54" s="151"/>
      <c r="R54" s="151"/>
      <c r="S54" s="152"/>
    </row>
    <row r="55" spans="1:19" x14ac:dyDescent="0.2">
      <c r="A55" s="24"/>
      <c r="B55" s="25"/>
      <c r="C55" s="25"/>
      <c r="D55" s="25"/>
      <c r="E55" s="25"/>
      <c r="F55" s="25"/>
      <c r="G55" s="25"/>
      <c r="H55" s="25"/>
      <c r="I55" s="25"/>
      <c r="J55" s="25"/>
      <c r="K55" s="25"/>
      <c r="L55" s="25"/>
      <c r="M55" s="25"/>
      <c r="N55" s="25"/>
      <c r="O55" s="25"/>
      <c r="P55" s="25"/>
      <c r="Q55" s="25"/>
      <c r="R55" s="25"/>
      <c r="S55" s="26"/>
    </row>
    <row r="56" spans="1:19" x14ac:dyDescent="0.2">
      <c r="A56" s="309" t="s">
        <v>381</v>
      </c>
      <c r="B56" s="31"/>
      <c r="C56" s="31"/>
      <c r="D56" s="31"/>
      <c r="E56" s="31"/>
      <c r="F56" s="31"/>
      <c r="G56" s="31"/>
      <c r="H56" s="31"/>
      <c r="I56" s="31"/>
      <c r="J56" s="31"/>
      <c r="K56" s="31"/>
      <c r="L56" s="31"/>
      <c r="M56" s="31"/>
      <c r="N56" s="31"/>
      <c r="O56" s="31"/>
      <c r="P56" s="31"/>
      <c r="Q56" s="31"/>
      <c r="R56" s="31"/>
      <c r="S56" s="32"/>
    </row>
    <row r="57" spans="1:19" x14ac:dyDescent="0.2">
      <c r="A57" s="262" t="s">
        <v>525</v>
      </c>
      <c r="B57" s="31"/>
      <c r="C57" s="31"/>
      <c r="D57" s="31"/>
      <c r="E57" s="31"/>
      <c r="F57" s="31"/>
      <c r="G57" s="31"/>
      <c r="H57" s="31"/>
      <c r="I57" s="31"/>
      <c r="J57" s="31"/>
      <c r="K57" s="31"/>
      <c r="L57" s="31"/>
      <c r="M57" s="31"/>
      <c r="N57" s="31"/>
      <c r="O57" s="31"/>
      <c r="P57" s="31"/>
      <c r="Q57" s="31"/>
      <c r="R57" s="31"/>
      <c r="S57" s="32"/>
    </row>
    <row r="58" spans="1:19" x14ac:dyDescent="0.2">
      <c r="A58" s="30"/>
      <c r="B58" s="31"/>
      <c r="C58" s="31"/>
      <c r="D58" s="31"/>
      <c r="E58" s="31"/>
      <c r="F58" s="31"/>
      <c r="G58" s="31"/>
      <c r="H58" s="31"/>
      <c r="I58" s="31"/>
      <c r="J58" s="31"/>
      <c r="K58" s="31"/>
      <c r="L58" s="31"/>
      <c r="M58" s="31"/>
      <c r="N58" s="31"/>
      <c r="O58" s="31"/>
      <c r="P58" s="31"/>
      <c r="Q58" s="31"/>
      <c r="R58" s="31"/>
      <c r="S58" s="32"/>
    </row>
    <row r="59" spans="1:19" x14ac:dyDescent="0.2">
      <c r="A59" s="30"/>
      <c r="B59" s="31"/>
      <c r="C59" s="31"/>
      <c r="D59" s="31"/>
      <c r="E59" s="31"/>
      <c r="F59" s="31"/>
      <c r="G59" s="31"/>
      <c r="H59" s="31"/>
      <c r="I59" s="31"/>
      <c r="J59" s="31"/>
      <c r="K59" s="31"/>
      <c r="L59" s="31"/>
      <c r="M59" s="31"/>
      <c r="N59" s="31"/>
      <c r="O59" s="31"/>
      <c r="P59" s="31"/>
      <c r="Q59" s="31"/>
      <c r="R59" s="31"/>
      <c r="S59" s="32"/>
    </row>
    <row r="60" spans="1:19" x14ac:dyDescent="0.2">
      <c r="A60" s="30"/>
      <c r="B60" s="31"/>
      <c r="C60" s="31"/>
      <c r="D60" s="31"/>
      <c r="E60" s="31"/>
      <c r="F60" s="31"/>
      <c r="G60" s="31"/>
      <c r="H60" s="31"/>
      <c r="I60" s="31"/>
      <c r="J60" s="31"/>
      <c r="K60" s="31"/>
      <c r="L60" s="31"/>
      <c r="M60" s="31"/>
      <c r="N60" s="31"/>
      <c r="O60" s="31"/>
      <c r="P60" s="31"/>
      <c r="Q60" s="31"/>
      <c r="R60" s="31"/>
      <c r="S60" s="32"/>
    </row>
    <row r="61" spans="1:19" x14ac:dyDescent="0.2">
      <c r="A61" s="30"/>
      <c r="B61" s="31"/>
      <c r="C61" s="31"/>
      <c r="D61" s="31"/>
      <c r="E61" s="31"/>
      <c r="F61" s="31"/>
      <c r="G61" s="31"/>
      <c r="H61" s="31"/>
      <c r="I61" s="31"/>
      <c r="J61" s="31"/>
      <c r="K61" s="31"/>
      <c r="L61" s="31"/>
      <c r="M61" s="31"/>
      <c r="N61" s="31"/>
      <c r="O61" s="31"/>
      <c r="P61" s="31"/>
      <c r="Q61" s="31"/>
      <c r="R61" s="31"/>
      <c r="S61" s="32"/>
    </row>
    <row r="62" spans="1:19" x14ac:dyDescent="0.2">
      <c r="A62" s="30"/>
      <c r="B62" s="31"/>
      <c r="C62" s="31"/>
      <c r="D62" s="31"/>
      <c r="E62" s="31"/>
      <c r="F62" s="31"/>
      <c r="G62" s="31"/>
      <c r="H62" s="31"/>
      <c r="I62" s="31"/>
      <c r="J62" s="31"/>
      <c r="K62" s="31"/>
      <c r="L62" s="31"/>
      <c r="M62" s="31"/>
      <c r="N62" s="31"/>
      <c r="O62" s="31"/>
      <c r="P62" s="31"/>
      <c r="Q62" s="31"/>
      <c r="R62" s="31"/>
      <c r="S62" s="32"/>
    </row>
    <row r="63" spans="1:19" x14ac:dyDescent="0.2">
      <c r="A63" s="30"/>
      <c r="B63" s="31"/>
      <c r="C63" s="31"/>
      <c r="D63" s="31"/>
      <c r="E63" s="31"/>
      <c r="F63" s="31"/>
      <c r="G63" s="31"/>
      <c r="H63" s="31"/>
      <c r="I63" s="31"/>
      <c r="J63" s="31"/>
      <c r="K63" s="31"/>
      <c r="L63" s="31"/>
      <c r="M63" s="31"/>
      <c r="N63" s="31"/>
      <c r="O63" s="31"/>
      <c r="P63" s="31"/>
      <c r="Q63" s="31"/>
      <c r="R63" s="31"/>
      <c r="S63" s="32"/>
    </row>
    <row r="64" spans="1:19" x14ac:dyDescent="0.2">
      <c r="A64" s="30"/>
      <c r="B64" s="31"/>
      <c r="C64" s="31"/>
      <c r="D64" s="31"/>
      <c r="E64" s="31"/>
      <c r="F64" s="31"/>
      <c r="G64" s="31"/>
      <c r="H64" s="31"/>
      <c r="I64" s="31"/>
      <c r="J64" s="31"/>
      <c r="K64" s="31"/>
      <c r="L64" s="31"/>
      <c r="M64" s="31"/>
      <c r="N64" s="31"/>
      <c r="O64" s="31"/>
      <c r="P64" s="31"/>
      <c r="Q64" s="31"/>
      <c r="R64" s="31"/>
      <c r="S64" s="32"/>
    </row>
    <row r="65" spans="1:19" x14ac:dyDescent="0.2">
      <c r="A65" s="30"/>
      <c r="B65" s="31"/>
      <c r="C65" s="31"/>
      <c r="D65" s="31"/>
      <c r="E65" s="31"/>
      <c r="F65" s="31"/>
      <c r="G65" s="31"/>
      <c r="H65" s="31"/>
      <c r="I65" s="31"/>
      <c r="J65" s="31"/>
      <c r="K65" s="31"/>
      <c r="L65" s="31"/>
      <c r="M65" s="31"/>
      <c r="N65" s="31"/>
      <c r="O65" s="31"/>
      <c r="P65" s="31"/>
      <c r="Q65" s="31"/>
      <c r="R65" s="31"/>
      <c r="S65" s="32"/>
    </row>
    <row r="66" spans="1:19" x14ac:dyDescent="0.2">
      <c r="A66" s="30"/>
      <c r="B66" s="31"/>
      <c r="C66" s="31"/>
      <c r="D66" s="31"/>
      <c r="E66" s="31"/>
      <c r="F66" s="31"/>
      <c r="G66" s="31"/>
      <c r="H66" s="31"/>
      <c r="I66" s="31"/>
      <c r="J66" s="31"/>
      <c r="K66" s="31"/>
      <c r="L66" s="31"/>
      <c r="M66" s="31"/>
      <c r="N66" s="31"/>
      <c r="O66" s="31"/>
      <c r="P66" s="31"/>
      <c r="Q66" s="31"/>
      <c r="R66" s="31"/>
      <c r="S66" s="32"/>
    </row>
    <row r="67" spans="1:19" x14ac:dyDescent="0.2">
      <c r="A67" s="30"/>
      <c r="B67" s="31"/>
      <c r="C67" s="31"/>
      <c r="D67" s="31"/>
      <c r="E67" s="31"/>
      <c r="F67" s="31"/>
      <c r="G67" s="31"/>
      <c r="H67" s="31"/>
      <c r="I67" s="31"/>
      <c r="J67" s="31"/>
      <c r="K67" s="31"/>
      <c r="L67" s="31"/>
      <c r="M67" s="31"/>
      <c r="N67" s="31"/>
      <c r="O67" s="31"/>
      <c r="P67" s="31"/>
      <c r="Q67" s="31"/>
      <c r="R67" s="31"/>
      <c r="S67" s="32"/>
    </row>
    <row r="68" spans="1:19" x14ac:dyDescent="0.2">
      <c r="A68" s="30"/>
      <c r="B68" s="31"/>
      <c r="C68" s="31"/>
      <c r="D68" s="31"/>
      <c r="E68" s="31"/>
      <c r="F68" s="31"/>
      <c r="G68" s="31"/>
      <c r="H68" s="31"/>
      <c r="I68" s="31"/>
      <c r="J68" s="31"/>
      <c r="K68" s="31"/>
      <c r="L68" s="31"/>
      <c r="M68" s="31"/>
      <c r="N68" s="31"/>
      <c r="O68" s="31"/>
      <c r="P68" s="31"/>
      <c r="Q68" s="31"/>
      <c r="R68" s="31"/>
      <c r="S68" s="32"/>
    </row>
    <row r="69" spans="1:19" x14ac:dyDescent="0.2">
      <c r="A69" s="30"/>
      <c r="B69" s="31"/>
      <c r="C69" s="31"/>
      <c r="D69" s="31"/>
      <c r="E69" s="31"/>
      <c r="F69" s="31"/>
      <c r="G69" s="31"/>
      <c r="H69" s="31"/>
      <c r="I69" s="31"/>
      <c r="J69" s="31"/>
      <c r="K69" s="31"/>
      <c r="L69" s="31"/>
      <c r="M69" s="31"/>
      <c r="N69" s="31"/>
      <c r="O69" s="31"/>
      <c r="P69" s="31"/>
      <c r="Q69" s="31"/>
      <c r="R69" s="31"/>
      <c r="S69" s="32"/>
    </row>
    <row r="70" spans="1:19" x14ac:dyDescent="0.2">
      <c r="A70" s="30"/>
      <c r="B70" s="31"/>
      <c r="C70" s="31"/>
      <c r="D70" s="31"/>
      <c r="E70" s="31"/>
      <c r="F70" s="31"/>
      <c r="G70" s="31"/>
      <c r="H70" s="31"/>
      <c r="I70" s="31"/>
      <c r="J70" s="31"/>
      <c r="K70" s="31"/>
      <c r="L70" s="31"/>
      <c r="M70" s="31"/>
      <c r="N70" s="31"/>
      <c r="O70" s="31"/>
      <c r="P70" s="31"/>
      <c r="Q70" s="31"/>
      <c r="R70" s="31"/>
      <c r="S70" s="32"/>
    </row>
    <row r="71" spans="1:19" x14ac:dyDescent="0.2">
      <c r="A71" s="30"/>
      <c r="B71" s="31"/>
      <c r="C71" s="31"/>
      <c r="D71" s="31"/>
      <c r="E71" s="31"/>
      <c r="F71" s="31"/>
      <c r="G71" s="31"/>
      <c r="H71" s="31"/>
      <c r="I71" s="31"/>
      <c r="J71" s="31"/>
      <c r="K71" s="31"/>
      <c r="L71" s="31"/>
      <c r="M71" s="31"/>
      <c r="N71" s="31"/>
      <c r="O71" s="31"/>
      <c r="P71" s="31"/>
      <c r="Q71" s="31"/>
      <c r="R71" s="31"/>
      <c r="S71" s="32"/>
    </row>
    <row r="72" spans="1:19" x14ac:dyDescent="0.2">
      <c r="A72" s="30"/>
      <c r="B72" s="31"/>
      <c r="C72" s="31"/>
      <c r="D72" s="31"/>
      <c r="E72" s="31"/>
      <c r="F72" s="31"/>
      <c r="G72" s="31"/>
      <c r="H72" s="31"/>
      <c r="I72" s="31"/>
      <c r="J72" s="31"/>
      <c r="K72" s="31"/>
      <c r="L72" s="31"/>
      <c r="M72" s="31"/>
      <c r="N72" s="31"/>
      <c r="O72" s="31"/>
      <c r="P72" s="31"/>
      <c r="Q72" s="31"/>
      <c r="R72" s="31"/>
      <c r="S72" s="32"/>
    </row>
    <row r="73" spans="1:19" x14ac:dyDescent="0.2">
      <c r="A73" s="30"/>
      <c r="B73" s="31"/>
      <c r="C73" s="31"/>
      <c r="D73" s="31"/>
      <c r="E73" s="31"/>
      <c r="F73" s="31"/>
      <c r="G73" s="31"/>
      <c r="H73" s="31"/>
      <c r="I73" s="31"/>
      <c r="J73" s="31"/>
      <c r="K73" s="31"/>
      <c r="L73" s="31"/>
      <c r="M73" s="31"/>
      <c r="N73" s="31"/>
      <c r="O73" s="31"/>
      <c r="P73" s="31"/>
      <c r="Q73" s="31"/>
      <c r="R73" s="31"/>
      <c r="S73" s="32"/>
    </row>
    <row r="74" spans="1:19" x14ac:dyDescent="0.2">
      <c r="A74" s="30"/>
      <c r="B74" s="31"/>
      <c r="C74" s="31"/>
      <c r="D74" s="31"/>
      <c r="E74" s="31"/>
      <c r="F74" s="31"/>
      <c r="G74" s="31"/>
      <c r="H74" s="31"/>
      <c r="I74" s="31"/>
      <c r="J74" s="31"/>
      <c r="K74" s="31"/>
      <c r="L74" s="31"/>
      <c r="M74" s="31"/>
      <c r="N74" s="31"/>
      <c r="O74" s="31"/>
      <c r="P74" s="31"/>
      <c r="Q74" s="31"/>
      <c r="R74" s="31"/>
      <c r="S74" s="32"/>
    </row>
    <row r="75" spans="1:19" x14ac:dyDescent="0.2">
      <c r="A75" s="30"/>
      <c r="B75" s="31"/>
      <c r="C75" s="31"/>
      <c r="D75" s="31"/>
      <c r="E75" s="31"/>
      <c r="F75" s="31"/>
      <c r="G75" s="31"/>
      <c r="H75" s="31"/>
      <c r="I75" s="31"/>
      <c r="J75" s="31"/>
      <c r="K75" s="31"/>
      <c r="L75" s="31"/>
      <c r="M75" s="31"/>
      <c r="N75" s="31"/>
      <c r="O75" s="31"/>
      <c r="P75" s="31"/>
      <c r="Q75" s="31"/>
      <c r="R75" s="31"/>
      <c r="S75" s="32"/>
    </row>
    <row r="76" spans="1:19" x14ac:dyDescent="0.2">
      <c r="A76" s="30"/>
      <c r="B76" s="31"/>
      <c r="C76" s="31"/>
      <c r="D76" s="31"/>
      <c r="E76" s="31"/>
      <c r="F76" s="31"/>
      <c r="G76" s="31"/>
      <c r="H76" s="31"/>
      <c r="I76" s="31"/>
      <c r="J76" s="31"/>
      <c r="K76" s="31"/>
      <c r="L76" s="31"/>
      <c r="M76" s="31"/>
      <c r="N76" s="31"/>
      <c r="O76" s="31"/>
      <c r="P76" s="31"/>
      <c r="Q76" s="31"/>
      <c r="R76" s="31"/>
      <c r="S76" s="32"/>
    </row>
    <row r="77" spans="1:19" x14ac:dyDescent="0.2">
      <c r="A77" s="30"/>
      <c r="B77" s="31"/>
      <c r="C77" s="31"/>
      <c r="D77" s="31"/>
      <c r="E77" s="31"/>
      <c r="F77" s="31"/>
      <c r="G77" s="31"/>
      <c r="H77" s="31"/>
      <c r="I77" s="31"/>
      <c r="J77" s="31"/>
      <c r="K77" s="31"/>
      <c r="L77" s="31"/>
      <c r="M77" s="31"/>
      <c r="N77" s="31"/>
      <c r="O77" s="31"/>
      <c r="P77" s="31"/>
      <c r="Q77" s="31"/>
      <c r="R77" s="31"/>
      <c r="S77" s="32"/>
    </row>
    <row r="78" spans="1:19" x14ac:dyDescent="0.2">
      <c r="A78" s="30"/>
      <c r="B78" s="31"/>
      <c r="C78" s="31"/>
      <c r="D78" s="31"/>
      <c r="E78" s="31"/>
      <c r="F78" s="31"/>
      <c r="G78" s="31"/>
      <c r="H78" s="31"/>
      <c r="I78" s="31"/>
      <c r="J78" s="31"/>
      <c r="K78" s="31"/>
      <c r="L78" s="31"/>
      <c r="M78" s="31"/>
      <c r="N78" s="31"/>
      <c r="O78" s="31"/>
      <c r="P78" s="31"/>
      <c r="Q78" s="31"/>
      <c r="R78" s="31"/>
      <c r="S78" s="32"/>
    </row>
    <row r="79" spans="1:19" x14ac:dyDescent="0.2">
      <c r="A79" s="30"/>
      <c r="B79" s="31"/>
      <c r="C79" s="31"/>
      <c r="D79" s="31"/>
      <c r="E79" s="31"/>
      <c r="F79" s="31"/>
      <c r="G79" s="31"/>
      <c r="H79" s="31"/>
      <c r="I79" s="31"/>
      <c r="J79" s="31"/>
      <c r="K79" s="31"/>
      <c r="L79" s="31"/>
      <c r="M79" s="31"/>
      <c r="N79" s="31"/>
      <c r="O79" s="31"/>
      <c r="P79" s="31"/>
      <c r="Q79" s="31"/>
      <c r="R79" s="31"/>
      <c r="S79" s="32"/>
    </row>
    <row r="80" spans="1:19" x14ac:dyDescent="0.2">
      <c r="A80" s="30"/>
      <c r="B80" s="31"/>
      <c r="C80" s="31"/>
      <c r="D80" s="31"/>
      <c r="E80" s="31"/>
      <c r="F80" s="31"/>
      <c r="G80" s="31"/>
      <c r="H80" s="31"/>
      <c r="I80" s="31"/>
      <c r="J80" s="31"/>
      <c r="K80" s="31"/>
      <c r="L80" s="31"/>
      <c r="M80" s="31"/>
      <c r="N80" s="31"/>
      <c r="O80" s="31"/>
      <c r="P80" s="31"/>
      <c r="Q80" s="31"/>
      <c r="R80" s="31"/>
      <c r="S80" s="32"/>
    </row>
    <row r="81" spans="1:19" x14ac:dyDescent="0.2">
      <c r="A81" s="30"/>
      <c r="B81" s="31"/>
      <c r="C81" s="31"/>
      <c r="D81" s="31"/>
      <c r="E81" s="31"/>
      <c r="F81" s="31"/>
      <c r="G81" s="31"/>
      <c r="H81" s="31"/>
      <c r="I81" s="31"/>
      <c r="J81" s="31"/>
      <c r="K81" s="31"/>
      <c r="L81" s="31"/>
      <c r="M81" s="31"/>
      <c r="N81" s="31"/>
      <c r="O81" s="31"/>
      <c r="P81" s="31"/>
      <c r="Q81" s="31"/>
      <c r="R81" s="31"/>
      <c r="S81" s="32"/>
    </row>
    <row r="82" spans="1:19" x14ac:dyDescent="0.2">
      <c r="A82" s="30"/>
      <c r="B82" s="31"/>
      <c r="C82" s="31"/>
      <c r="D82" s="31"/>
      <c r="E82" s="31"/>
      <c r="F82" s="31"/>
      <c r="G82" s="31"/>
      <c r="H82" s="31"/>
      <c r="I82" s="31"/>
      <c r="J82" s="31"/>
      <c r="K82" s="31"/>
      <c r="L82" s="31"/>
      <c r="M82" s="31"/>
      <c r="N82" s="31"/>
      <c r="O82" s="31"/>
      <c r="P82" s="31"/>
      <c r="Q82" s="31"/>
      <c r="R82" s="31"/>
      <c r="S82" s="32"/>
    </row>
    <row r="83" spans="1:19" x14ac:dyDescent="0.2">
      <c r="A83" s="30"/>
      <c r="B83" s="31"/>
      <c r="C83" s="31"/>
      <c r="D83" s="31"/>
      <c r="E83" s="31"/>
      <c r="F83" s="31"/>
      <c r="G83" s="31"/>
      <c r="H83" s="31"/>
      <c r="I83" s="31"/>
      <c r="J83" s="31"/>
      <c r="K83" s="31"/>
      <c r="L83" s="31"/>
      <c r="M83" s="31"/>
      <c r="N83" s="31"/>
      <c r="O83" s="31"/>
      <c r="P83" s="31"/>
      <c r="Q83" s="31"/>
      <c r="R83" s="31"/>
      <c r="S83" s="32"/>
    </row>
    <row r="84" spans="1:19" x14ac:dyDescent="0.2">
      <c r="A84" s="30"/>
      <c r="B84" s="31"/>
      <c r="C84" s="31"/>
      <c r="D84" s="31"/>
      <c r="E84" s="31"/>
      <c r="F84" s="31"/>
      <c r="G84" s="31"/>
      <c r="H84" s="31"/>
      <c r="I84" s="31"/>
      <c r="J84" s="31"/>
      <c r="K84" s="31"/>
      <c r="L84" s="31"/>
      <c r="M84" s="31"/>
      <c r="N84" s="31"/>
      <c r="O84" s="31"/>
      <c r="P84" s="31"/>
      <c r="Q84" s="31"/>
      <c r="R84" s="31"/>
      <c r="S84" s="32"/>
    </row>
    <row r="85" spans="1:19" x14ac:dyDescent="0.2">
      <c r="A85" s="30"/>
      <c r="B85" s="31"/>
      <c r="C85" s="31"/>
      <c r="D85" s="31"/>
      <c r="E85" s="31"/>
      <c r="F85" s="31"/>
      <c r="G85" s="31"/>
      <c r="H85" s="31"/>
      <c r="I85" s="31"/>
      <c r="J85" s="31"/>
      <c r="K85" s="31"/>
      <c r="L85" s="31"/>
      <c r="M85" s="31"/>
      <c r="N85" s="31"/>
      <c r="O85" s="31"/>
      <c r="P85" s="31"/>
      <c r="Q85" s="31"/>
      <c r="R85" s="31"/>
      <c r="S85" s="32"/>
    </row>
    <row r="86" spans="1:19" x14ac:dyDescent="0.2">
      <c r="A86" s="30"/>
      <c r="B86" s="31"/>
      <c r="C86" s="31"/>
      <c r="D86" s="31"/>
      <c r="E86" s="31"/>
      <c r="F86" s="31"/>
      <c r="G86" s="31"/>
      <c r="H86" s="31"/>
      <c r="I86" s="31"/>
      <c r="J86" s="31"/>
      <c r="K86" s="31"/>
      <c r="L86" s="31"/>
      <c r="M86" s="31"/>
      <c r="N86" s="31"/>
      <c r="O86" s="31"/>
      <c r="P86" s="31"/>
      <c r="Q86" s="31"/>
      <c r="R86" s="31"/>
      <c r="S86" s="32"/>
    </row>
    <row r="87" spans="1:19" x14ac:dyDescent="0.2">
      <c r="A87" s="30"/>
      <c r="B87" s="31"/>
      <c r="C87" s="31"/>
      <c r="D87" s="31"/>
      <c r="E87" s="31"/>
      <c r="F87" s="31"/>
      <c r="G87" s="31"/>
      <c r="H87" s="31"/>
      <c r="I87" s="31"/>
      <c r="J87" s="31"/>
      <c r="K87" s="31"/>
      <c r="L87" s="31"/>
      <c r="M87" s="31"/>
      <c r="N87" s="31"/>
      <c r="O87" s="31"/>
      <c r="P87" s="31"/>
      <c r="Q87" s="31"/>
      <c r="R87" s="31"/>
      <c r="S87" s="32"/>
    </row>
    <row r="88" spans="1:19" x14ac:dyDescent="0.2">
      <c r="A88" s="30"/>
      <c r="B88" s="31"/>
      <c r="C88" s="31"/>
      <c r="D88" s="31"/>
      <c r="E88" s="31"/>
      <c r="F88" s="31"/>
      <c r="G88" s="31"/>
      <c r="H88" s="31"/>
      <c r="I88" s="31"/>
      <c r="J88" s="31"/>
      <c r="K88" s="31"/>
      <c r="L88" s="31"/>
      <c r="M88" s="31"/>
      <c r="N88" s="31"/>
      <c r="O88" s="31"/>
      <c r="P88" s="31"/>
      <c r="Q88" s="31"/>
      <c r="R88" s="31"/>
      <c r="S88" s="32"/>
    </row>
    <row r="89" spans="1:19" x14ac:dyDescent="0.2">
      <c r="A89" s="30"/>
      <c r="B89" s="31"/>
      <c r="C89" s="31"/>
      <c r="D89" s="31"/>
      <c r="E89" s="31"/>
      <c r="F89" s="31"/>
      <c r="G89" s="31"/>
      <c r="H89" s="31"/>
      <c r="I89" s="31"/>
      <c r="J89" s="31"/>
      <c r="K89" s="31"/>
      <c r="L89" s="31"/>
      <c r="M89" s="31"/>
      <c r="N89" s="31"/>
      <c r="O89" s="31"/>
      <c r="P89" s="31"/>
      <c r="Q89" s="31"/>
      <c r="R89" s="31"/>
      <c r="S89" s="32"/>
    </row>
    <row r="90" spans="1:19" x14ac:dyDescent="0.2">
      <c r="A90" s="30"/>
      <c r="B90" s="31"/>
      <c r="C90" s="31"/>
      <c r="D90" s="31"/>
      <c r="E90" s="31"/>
      <c r="F90" s="31"/>
      <c r="G90" s="31"/>
      <c r="H90" s="31"/>
      <c r="I90" s="31"/>
      <c r="J90" s="31"/>
      <c r="K90" s="31"/>
      <c r="L90" s="31"/>
      <c r="M90" s="31"/>
      <c r="N90" s="31"/>
      <c r="O90" s="31"/>
      <c r="P90" s="31"/>
      <c r="Q90" s="31"/>
      <c r="R90" s="31"/>
      <c r="S90" s="32"/>
    </row>
    <row r="91" spans="1:19" x14ac:dyDescent="0.2">
      <c r="A91" s="30"/>
      <c r="B91" s="31"/>
      <c r="C91" s="31"/>
      <c r="D91" s="31"/>
      <c r="E91" s="31"/>
      <c r="F91" s="31"/>
      <c r="G91" s="31"/>
      <c r="H91" s="31"/>
      <c r="I91" s="31"/>
      <c r="J91" s="31"/>
      <c r="K91" s="31"/>
      <c r="L91" s="31"/>
      <c r="M91" s="31"/>
      <c r="N91" s="31"/>
      <c r="O91" s="31"/>
      <c r="P91" s="31"/>
      <c r="Q91" s="31"/>
      <c r="R91" s="31"/>
      <c r="S91" s="32"/>
    </row>
    <row r="92" spans="1:19" x14ac:dyDescent="0.2">
      <c r="A92" s="30"/>
      <c r="B92" s="31"/>
      <c r="C92" s="31"/>
      <c r="D92" s="31"/>
      <c r="E92" s="31"/>
      <c r="F92" s="31"/>
      <c r="G92" s="31"/>
      <c r="H92" s="31"/>
      <c r="I92" s="31"/>
      <c r="J92" s="31"/>
      <c r="K92" s="31"/>
      <c r="L92" s="31"/>
      <c r="M92" s="31"/>
      <c r="N92" s="31"/>
      <c r="O92" s="31"/>
      <c r="P92" s="31"/>
      <c r="Q92" s="31"/>
      <c r="R92" s="31"/>
      <c r="S92" s="32"/>
    </row>
    <row r="93" spans="1:19" x14ac:dyDescent="0.2">
      <c r="A93" s="30"/>
      <c r="B93" s="31"/>
      <c r="C93" s="31"/>
      <c r="D93" s="31"/>
      <c r="E93" s="31"/>
      <c r="F93" s="31"/>
      <c r="G93" s="31"/>
      <c r="H93" s="31"/>
      <c r="I93" s="31"/>
      <c r="J93" s="31"/>
      <c r="K93" s="31"/>
      <c r="L93" s="31"/>
      <c r="M93" s="31"/>
      <c r="N93" s="31"/>
      <c r="O93" s="31"/>
      <c r="P93" s="31"/>
      <c r="Q93" s="31"/>
      <c r="R93" s="31"/>
      <c r="S93" s="32"/>
    </row>
    <row r="94" spans="1:19" x14ac:dyDescent="0.2">
      <c r="A94" s="30"/>
      <c r="B94" s="31"/>
      <c r="C94" s="31"/>
      <c r="D94" s="31"/>
      <c r="E94" s="31"/>
      <c r="F94" s="31"/>
      <c r="G94" s="31"/>
      <c r="H94" s="31"/>
      <c r="I94" s="31"/>
      <c r="J94" s="31"/>
      <c r="K94" s="31"/>
      <c r="L94" s="31"/>
      <c r="M94" s="31"/>
      <c r="N94" s="31"/>
      <c r="O94" s="31"/>
      <c r="P94" s="31"/>
      <c r="Q94" s="31"/>
      <c r="R94" s="31"/>
      <c r="S94" s="32"/>
    </row>
    <row r="95" spans="1:19" x14ac:dyDescent="0.2">
      <c r="A95" s="30"/>
      <c r="B95" s="31"/>
      <c r="C95" s="31"/>
      <c r="D95" s="31"/>
      <c r="E95" s="31"/>
      <c r="F95" s="31"/>
      <c r="G95" s="31"/>
      <c r="H95" s="31"/>
      <c r="I95" s="31"/>
      <c r="J95" s="31"/>
      <c r="K95" s="31"/>
      <c r="L95" s="31"/>
      <c r="M95" s="31"/>
      <c r="N95" s="31"/>
      <c r="O95" s="31"/>
      <c r="P95" s="31"/>
      <c r="Q95" s="31"/>
      <c r="R95" s="31"/>
      <c r="S95" s="32"/>
    </row>
    <row r="96" spans="1:19" x14ac:dyDescent="0.2">
      <c r="A96" s="30"/>
      <c r="B96" s="31"/>
      <c r="C96" s="31"/>
      <c r="D96" s="31"/>
      <c r="E96" s="31"/>
      <c r="F96" s="31"/>
      <c r="G96" s="31"/>
      <c r="H96" s="31"/>
      <c r="I96" s="31"/>
      <c r="J96" s="31"/>
      <c r="K96" s="31"/>
      <c r="L96" s="31"/>
      <c r="M96" s="31"/>
      <c r="N96" s="31"/>
      <c r="O96" s="31"/>
      <c r="P96" s="31"/>
      <c r="Q96" s="31"/>
      <c r="R96" s="31"/>
      <c r="S96" s="32"/>
    </row>
    <row r="97" spans="1:19" x14ac:dyDescent="0.2">
      <c r="A97" s="30"/>
      <c r="B97" s="31"/>
      <c r="C97" s="31"/>
      <c r="D97" s="31"/>
      <c r="E97" s="31"/>
      <c r="F97" s="31"/>
      <c r="G97" s="31"/>
      <c r="H97" s="31"/>
      <c r="I97" s="31"/>
      <c r="J97" s="31"/>
      <c r="K97" s="31"/>
      <c r="L97" s="31"/>
      <c r="M97" s="31"/>
      <c r="N97" s="31"/>
      <c r="O97" s="31"/>
      <c r="P97" s="31"/>
      <c r="Q97" s="31"/>
      <c r="R97" s="31"/>
      <c r="S97" s="32"/>
    </row>
    <row r="98" spans="1:19" x14ac:dyDescent="0.2">
      <c r="A98" s="30"/>
      <c r="B98" s="31"/>
      <c r="C98" s="31"/>
      <c r="D98" s="31"/>
      <c r="E98" s="31"/>
      <c r="F98" s="31"/>
      <c r="G98" s="31"/>
      <c r="H98" s="31"/>
      <c r="I98" s="31"/>
      <c r="J98" s="31"/>
      <c r="K98" s="31"/>
      <c r="L98" s="31"/>
      <c r="M98" s="31"/>
      <c r="N98" s="31"/>
      <c r="O98" s="31"/>
      <c r="P98" s="31"/>
      <c r="Q98" s="31"/>
      <c r="R98" s="31"/>
      <c r="S98" s="32"/>
    </row>
    <row r="99" spans="1:19" x14ac:dyDescent="0.2">
      <c r="A99" s="30"/>
      <c r="B99" s="31"/>
      <c r="C99" s="31"/>
      <c r="D99" s="31"/>
      <c r="E99" s="31"/>
      <c r="F99" s="31"/>
      <c r="G99" s="31"/>
      <c r="H99" s="31"/>
      <c r="I99" s="31"/>
      <c r="J99" s="31"/>
      <c r="K99" s="31"/>
      <c r="L99" s="31"/>
      <c r="M99" s="31"/>
      <c r="N99" s="31"/>
      <c r="O99" s="31"/>
      <c r="P99" s="31"/>
      <c r="Q99" s="31"/>
      <c r="R99" s="31"/>
      <c r="S99" s="32"/>
    </row>
    <row r="100" spans="1:19" x14ac:dyDescent="0.2">
      <c r="A100" s="30"/>
      <c r="B100" s="31"/>
      <c r="C100" s="31"/>
      <c r="D100" s="31"/>
      <c r="E100" s="31"/>
      <c r="F100" s="31"/>
      <c r="G100" s="31"/>
      <c r="H100" s="31"/>
      <c r="I100" s="31"/>
      <c r="J100" s="31"/>
      <c r="K100" s="31"/>
      <c r="L100" s="31"/>
      <c r="M100" s="31"/>
      <c r="N100" s="31"/>
      <c r="O100" s="31"/>
      <c r="P100" s="31"/>
      <c r="Q100" s="31"/>
      <c r="R100" s="31"/>
      <c r="S100" s="32"/>
    </row>
    <row r="101" spans="1:19" x14ac:dyDescent="0.2">
      <c r="A101" s="30"/>
      <c r="B101" s="31"/>
      <c r="C101" s="31"/>
      <c r="D101" s="31"/>
      <c r="E101" s="31"/>
      <c r="F101" s="31"/>
      <c r="G101" s="31"/>
      <c r="H101" s="31"/>
      <c r="I101" s="31"/>
      <c r="J101" s="31"/>
      <c r="K101" s="31"/>
      <c r="L101" s="31"/>
      <c r="M101" s="31"/>
      <c r="N101" s="31"/>
      <c r="O101" s="31"/>
      <c r="P101" s="31"/>
      <c r="Q101" s="31"/>
      <c r="R101" s="31"/>
      <c r="S101" s="32"/>
    </row>
    <row r="102" spans="1:19" x14ac:dyDescent="0.2">
      <c r="A102" s="30"/>
      <c r="B102" s="31"/>
      <c r="C102" s="31"/>
      <c r="D102" s="31"/>
      <c r="E102" s="31"/>
      <c r="F102" s="31"/>
      <c r="G102" s="31"/>
      <c r="H102" s="31"/>
      <c r="I102" s="31"/>
      <c r="J102" s="31"/>
      <c r="K102" s="31"/>
      <c r="L102" s="31"/>
      <c r="M102" s="31"/>
      <c r="N102" s="31"/>
      <c r="O102" s="31"/>
      <c r="P102" s="31"/>
      <c r="Q102" s="31"/>
      <c r="R102" s="31"/>
      <c r="S102" s="32"/>
    </row>
    <row r="103" spans="1:19" x14ac:dyDescent="0.2">
      <c r="A103" s="30"/>
      <c r="B103" s="31"/>
      <c r="C103" s="31"/>
      <c r="D103" s="31"/>
      <c r="E103" s="31"/>
      <c r="F103" s="31"/>
      <c r="G103" s="31"/>
      <c r="H103" s="31"/>
      <c r="I103" s="31"/>
      <c r="J103" s="31"/>
      <c r="K103" s="31"/>
      <c r="L103" s="31"/>
      <c r="M103" s="31"/>
      <c r="N103" s="31"/>
      <c r="O103" s="31"/>
      <c r="P103" s="31"/>
      <c r="Q103" s="31"/>
      <c r="R103" s="31"/>
      <c r="S103" s="32"/>
    </row>
    <row r="104" spans="1:19" x14ac:dyDescent="0.2">
      <c r="A104" s="30"/>
      <c r="B104" s="31"/>
      <c r="C104" s="31"/>
      <c r="D104" s="31"/>
      <c r="E104" s="31"/>
      <c r="F104" s="31"/>
      <c r="G104" s="31"/>
      <c r="H104" s="31"/>
      <c r="I104" s="31"/>
      <c r="J104" s="31"/>
      <c r="K104" s="31"/>
      <c r="L104" s="31"/>
      <c r="M104" s="31"/>
      <c r="N104" s="31"/>
      <c r="O104" s="31"/>
      <c r="P104" s="31"/>
      <c r="Q104" s="31"/>
      <c r="R104" s="31"/>
      <c r="S104" s="32"/>
    </row>
    <row r="105" spans="1:19" x14ac:dyDescent="0.2">
      <c r="A105" s="30"/>
      <c r="B105" s="31"/>
      <c r="C105" s="31"/>
      <c r="D105" s="31"/>
      <c r="E105" s="31"/>
      <c r="F105" s="31"/>
      <c r="G105" s="31"/>
      <c r="H105" s="31"/>
      <c r="I105" s="31"/>
      <c r="J105" s="31"/>
      <c r="K105" s="31"/>
      <c r="L105" s="31"/>
      <c r="M105" s="31"/>
      <c r="N105" s="31"/>
      <c r="O105" s="31"/>
      <c r="P105" s="31"/>
      <c r="Q105" s="31"/>
      <c r="R105" s="31"/>
      <c r="S105" s="32"/>
    </row>
    <row r="106" spans="1:19" x14ac:dyDescent="0.2">
      <c r="A106" s="30"/>
      <c r="B106" s="31"/>
      <c r="C106" s="31"/>
      <c r="D106" s="31"/>
      <c r="E106" s="31"/>
      <c r="F106" s="31"/>
      <c r="G106" s="31"/>
      <c r="H106" s="31"/>
      <c r="I106" s="31"/>
      <c r="J106" s="31"/>
      <c r="K106" s="31"/>
      <c r="L106" s="31"/>
      <c r="M106" s="31"/>
      <c r="N106" s="31"/>
      <c r="O106" s="31"/>
      <c r="P106" s="31"/>
      <c r="Q106" s="31"/>
      <c r="R106" s="31"/>
      <c r="S106" s="32"/>
    </row>
    <row r="107" spans="1:19" x14ac:dyDescent="0.2">
      <c r="A107" s="30"/>
      <c r="B107" s="31"/>
      <c r="C107" s="31"/>
      <c r="D107" s="31"/>
      <c r="E107" s="31"/>
      <c r="F107" s="31"/>
      <c r="G107" s="31"/>
      <c r="H107" s="31"/>
      <c r="I107" s="31"/>
      <c r="J107" s="31"/>
      <c r="K107" s="31"/>
      <c r="L107" s="31"/>
      <c r="M107" s="31"/>
      <c r="N107" s="31"/>
      <c r="O107" s="31"/>
      <c r="P107" s="31"/>
      <c r="Q107" s="31"/>
      <c r="R107" s="31"/>
      <c r="S107" s="32"/>
    </row>
    <row r="108" spans="1:19" x14ac:dyDescent="0.2">
      <c r="A108" s="30"/>
      <c r="B108" s="31"/>
      <c r="C108" s="31"/>
      <c r="D108" s="31"/>
      <c r="E108" s="31"/>
      <c r="F108" s="31"/>
      <c r="G108" s="31"/>
      <c r="H108" s="31"/>
      <c r="I108" s="31"/>
      <c r="J108" s="31"/>
      <c r="K108" s="31"/>
      <c r="L108" s="31"/>
      <c r="M108" s="31"/>
      <c r="N108" s="31"/>
      <c r="O108" s="31"/>
      <c r="P108" s="31"/>
      <c r="Q108" s="31"/>
      <c r="R108" s="31"/>
      <c r="S108" s="32"/>
    </row>
    <row r="109" spans="1:19" x14ac:dyDescent="0.2">
      <c r="A109" s="30"/>
      <c r="B109" s="31"/>
      <c r="C109" s="31"/>
      <c r="D109" s="31"/>
      <c r="E109" s="31"/>
      <c r="F109" s="31"/>
      <c r="G109" s="31"/>
      <c r="H109" s="31"/>
      <c r="I109" s="31"/>
      <c r="J109" s="31"/>
      <c r="K109" s="31"/>
      <c r="L109" s="31"/>
      <c r="M109" s="31"/>
      <c r="N109" s="31"/>
      <c r="O109" s="31"/>
      <c r="P109" s="31"/>
      <c r="Q109" s="31"/>
      <c r="R109" s="31"/>
      <c r="S109" s="32"/>
    </row>
    <row r="110" spans="1:19" x14ac:dyDescent="0.2">
      <c r="A110" s="30"/>
      <c r="B110" s="31"/>
      <c r="C110" s="31"/>
      <c r="D110" s="31"/>
      <c r="E110" s="31"/>
      <c r="F110" s="31"/>
      <c r="G110" s="31"/>
      <c r="H110" s="31"/>
      <c r="I110" s="31"/>
      <c r="J110" s="31"/>
      <c r="K110" s="31"/>
      <c r="L110" s="31"/>
      <c r="M110" s="31"/>
      <c r="N110" s="31"/>
      <c r="O110" s="31"/>
      <c r="P110" s="31"/>
      <c r="Q110" s="31"/>
      <c r="R110" s="31"/>
      <c r="S110" s="32"/>
    </row>
    <row r="111" spans="1:19" x14ac:dyDescent="0.2">
      <c r="A111" s="30"/>
      <c r="B111" s="31"/>
      <c r="C111" s="31"/>
      <c r="D111" s="31"/>
      <c r="E111" s="31"/>
      <c r="F111" s="31"/>
      <c r="G111" s="31"/>
      <c r="H111" s="31"/>
      <c r="I111" s="31"/>
      <c r="J111" s="31"/>
      <c r="K111" s="31"/>
      <c r="L111" s="31"/>
      <c r="M111" s="31"/>
      <c r="N111" s="31"/>
      <c r="O111" s="31"/>
      <c r="P111" s="31"/>
      <c r="Q111" s="31"/>
      <c r="R111" s="31"/>
      <c r="S111" s="32"/>
    </row>
    <row r="112" spans="1:19" x14ac:dyDescent="0.2">
      <c r="A112" s="30"/>
      <c r="B112" s="31"/>
      <c r="C112" s="31"/>
      <c r="D112" s="31"/>
      <c r="E112" s="31"/>
      <c r="F112" s="31"/>
      <c r="G112" s="31"/>
      <c r="H112" s="31"/>
      <c r="I112" s="31"/>
      <c r="J112" s="31"/>
      <c r="K112" s="31"/>
      <c r="L112" s="31"/>
      <c r="M112" s="31"/>
      <c r="N112" s="31"/>
      <c r="O112" s="31"/>
      <c r="P112" s="31"/>
      <c r="Q112" s="31"/>
      <c r="R112" s="31"/>
      <c r="S112" s="32"/>
    </row>
    <row r="113" spans="1:19" x14ac:dyDescent="0.2">
      <c r="A113" s="30"/>
      <c r="B113" s="31"/>
      <c r="C113" s="31"/>
      <c r="D113" s="31"/>
      <c r="E113" s="31"/>
      <c r="F113" s="31"/>
      <c r="G113" s="31"/>
      <c r="H113" s="31"/>
      <c r="I113" s="31"/>
      <c r="J113" s="31"/>
      <c r="K113" s="31"/>
      <c r="L113" s="31"/>
      <c r="M113" s="31"/>
      <c r="N113" s="31"/>
      <c r="O113" s="31"/>
      <c r="P113" s="31"/>
      <c r="Q113" s="31"/>
      <c r="R113" s="31"/>
      <c r="S113" s="32"/>
    </row>
    <row r="114" spans="1:19" x14ac:dyDescent="0.2">
      <c r="A114" s="30"/>
      <c r="B114" s="31"/>
      <c r="C114" s="31"/>
      <c r="D114" s="31"/>
      <c r="E114" s="31"/>
      <c r="F114" s="31"/>
      <c r="G114" s="31"/>
      <c r="H114" s="31"/>
      <c r="I114" s="31"/>
      <c r="J114" s="31"/>
      <c r="K114" s="31"/>
      <c r="L114" s="31"/>
      <c r="M114" s="31"/>
      <c r="N114" s="31"/>
      <c r="O114" s="31"/>
      <c r="P114" s="31"/>
      <c r="Q114" s="31"/>
      <c r="R114" s="31"/>
      <c r="S114" s="32"/>
    </row>
    <row r="115" spans="1:19" x14ac:dyDescent="0.2">
      <c r="A115" s="30"/>
      <c r="B115" s="31"/>
      <c r="C115" s="31"/>
      <c r="D115" s="31"/>
      <c r="E115" s="31"/>
      <c r="F115" s="31"/>
      <c r="G115" s="31"/>
      <c r="H115" s="31"/>
      <c r="I115" s="31"/>
      <c r="J115" s="31"/>
      <c r="K115" s="31"/>
      <c r="L115" s="31"/>
      <c r="M115" s="31"/>
      <c r="N115" s="31"/>
      <c r="O115" s="31"/>
      <c r="P115" s="31"/>
      <c r="Q115" s="31"/>
      <c r="R115" s="31"/>
      <c r="S115" s="32"/>
    </row>
    <row r="116" spans="1:19" x14ac:dyDescent="0.2">
      <c r="A116" s="30"/>
      <c r="B116" s="31"/>
      <c r="C116" s="31"/>
      <c r="D116" s="31"/>
      <c r="E116" s="31"/>
      <c r="F116" s="31"/>
      <c r="G116" s="31"/>
      <c r="H116" s="31"/>
      <c r="I116" s="31"/>
      <c r="J116" s="31"/>
      <c r="K116" s="31"/>
      <c r="L116" s="31"/>
      <c r="M116" s="31"/>
      <c r="N116" s="31"/>
      <c r="O116" s="31"/>
      <c r="P116" s="31"/>
      <c r="Q116" s="31"/>
      <c r="R116" s="31"/>
      <c r="S116" s="32"/>
    </row>
    <row r="117" spans="1:19" x14ac:dyDescent="0.2">
      <c r="A117" s="30"/>
      <c r="B117" s="31"/>
      <c r="C117" s="31"/>
      <c r="D117" s="31"/>
      <c r="E117" s="31"/>
      <c r="F117" s="31"/>
      <c r="G117" s="31"/>
      <c r="H117" s="31"/>
      <c r="I117" s="31"/>
      <c r="J117" s="31"/>
      <c r="K117" s="31"/>
      <c r="L117" s="31"/>
      <c r="M117" s="31"/>
      <c r="N117" s="31"/>
      <c r="O117" s="31"/>
      <c r="P117" s="31"/>
      <c r="Q117" s="31"/>
      <c r="R117" s="31"/>
      <c r="S117" s="32"/>
    </row>
    <row r="118" spans="1:19" x14ac:dyDescent="0.2">
      <c r="A118" s="30"/>
      <c r="B118" s="31"/>
      <c r="C118" s="31"/>
      <c r="D118" s="31"/>
      <c r="E118" s="31"/>
      <c r="F118" s="31"/>
      <c r="G118" s="31"/>
      <c r="H118" s="31"/>
      <c r="I118" s="31"/>
      <c r="J118" s="31"/>
      <c r="K118" s="31"/>
      <c r="L118" s="31"/>
      <c r="M118" s="31"/>
      <c r="N118" s="31"/>
      <c r="O118" s="31"/>
      <c r="P118" s="31"/>
      <c r="Q118" s="31"/>
      <c r="R118" s="31"/>
      <c r="S118" s="32"/>
    </row>
    <row r="119" spans="1:19" x14ac:dyDescent="0.2">
      <c r="A119" s="30"/>
      <c r="B119" s="31"/>
      <c r="C119" s="31"/>
      <c r="D119" s="31"/>
      <c r="E119" s="31"/>
      <c r="F119" s="31"/>
      <c r="G119" s="31"/>
      <c r="H119" s="31"/>
      <c r="I119" s="31"/>
      <c r="J119" s="31"/>
      <c r="K119" s="31"/>
      <c r="L119" s="31"/>
      <c r="M119" s="31"/>
      <c r="N119" s="31"/>
      <c r="O119" s="31"/>
      <c r="P119" s="31"/>
      <c r="Q119" s="31"/>
      <c r="R119" s="31"/>
      <c r="S119" s="32"/>
    </row>
    <row r="120" spans="1:19" x14ac:dyDescent="0.2">
      <c r="A120" s="30"/>
      <c r="B120" s="31"/>
      <c r="C120" s="31"/>
      <c r="D120" s="31"/>
      <c r="E120" s="31"/>
      <c r="F120" s="31"/>
      <c r="G120" s="31"/>
      <c r="H120" s="31"/>
      <c r="I120" s="31"/>
      <c r="J120" s="31"/>
      <c r="K120" s="31"/>
      <c r="L120" s="31"/>
      <c r="M120" s="31"/>
      <c r="N120" s="31"/>
      <c r="O120" s="31"/>
      <c r="P120" s="31"/>
      <c r="Q120" s="31"/>
      <c r="R120" s="31"/>
      <c r="S120" s="32"/>
    </row>
    <row r="121" spans="1:19" x14ac:dyDescent="0.2">
      <c r="A121" s="30"/>
      <c r="B121" s="31"/>
      <c r="C121" s="31"/>
      <c r="D121" s="31"/>
      <c r="E121" s="31"/>
      <c r="F121" s="31"/>
      <c r="G121" s="31"/>
      <c r="H121" s="31"/>
      <c r="I121" s="31"/>
      <c r="J121" s="31"/>
      <c r="K121" s="31"/>
      <c r="L121" s="31"/>
      <c r="M121" s="31"/>
      <c r="N121" s="31"/>
      <c r="O121" s="31"/>
      <c r="P121" s="31"/>
      <c r="Q121" s="31"/>
      <c r="R121" s="31"/>
      <c r="S121" s="32"/>
    </row>
    <row r="122" spans="1:19" x14ac:dyDescent="0.2">
      <c r="A122" s="30"/>
      <c r="B122" s="31"/>
      <c r="C122" s="31"/>
      <c r="D122" s="31"/>
      <c r="E122" s="31"/>
      <c r="F122" s="31"/>
      <c r="G122" s="31"/>
      <c r="H122" s="31"/>
      <c r="I122" s="31"/>
      <c r="J122" s="31"/>
      <c r="K122" s="31"/>
      <c r="L122" s="31"/>
      <c r="M122" s="31"/>
      <c r="N122" s="31"/>
      <c r="O122" s="31"/>
      <c r="P122" s="31"/>
      <c r="Q122" s="31"/>
      <c r="R122" s="31"/>
      <c r="S122" s="32"/>
    </row>
    <row r="123" spans="1:19" x14ac:dyDescent="0.2">
      <c r="A123" s="30"/>
      <c r="B123" s="31"/>
      <c r="C123" s="31"/>
      <c r="D123" s="31"/>
      <c r="E123" s="31"/>
      <c r="F123" s="31"/>
      <c r="G123" s="31"/>
      <c r="H123" s="31"/>
      <c r="I123" s="31"/>
      <c r="J123" s="31"/>
      <c r="K123" s="31"/>
      <c r="L123" s="31"/>
      <c r="M123" s="31"/>
      <c r="N123" s="31"/>
      <c r="O123" s="31"/>
      <c r="P123" s="31"/>
      <c r="Q123" s="31"/>
      <c r="R123" s="31"/>
      <c r="S123" s="32"/>
    </row>
    <row r="124" spans="1:19" x14ac:dyDescent="0.2">
      <c r="A124" s="30"/>
      <c r="B124" s="31"/>
      <c r="C124" s="31"/>
      <c r="D124" s="31"/>
      <c r="E124" s="31"/>
      <c r="F124" s="31"/>
      <c r="G124" s="31"/>
      <c r="H124" s="31"/>
      <c r="I124" s="31"/>
      <c r="J124" s="31"/>
      <c r="K124" s="31"/>
      <c r="L124" s="31"/>
      <c r="M124" s="31"/>
      <c r="N124" s="31"/>
      <c r="O124" s="31"/>
      <c r="P124" s="31"/>
      <c r="Q124" s="31"/>
      <c r="R124" s="31"/>
      <c r="S124" s="32"/>
    </row>
    <row r="125" spans="1:19" x14ac:dyDescent="0.2">
      <c r="A125" s="30"/>
      <c r="B125" s="31"/>
      <c r="C125" s="31"/>
      <c r="D125" s="31"/>
      <c r="E125" s="31"/>
      <c r="F125" s="31"/>
      <c r="G125" s="31"/>
      <c r="H125" s="31"/>
      <c r="I125" s="31"/>
      <c r="J125" s="31"/>
      <c r="K125" s="31"/>
      <c r="L125" s="31"/>
      <c r="M125" s="31"/>
      <c r="N125" s="31"/>
      <c r="O125" s="31"/>
      <c r="P125" s="31"/>
      <c r="Q125" s="31"/>
      <c r="R125" s="31"/>
      <c r="S125" s="32"/>
    </row>
    <row r="126" spans="1:19" x14ac:dyDescent="0.2">
      <c r="A126" s="30"/>
      <c r="B126" s="31"/>
      <c r="C126" s="31"/>
      <c r="D126" s="31"/>
      <c r="E126" s="31"/>
      <c r="F126" s="31"/>
      <c r="G126" s="31"/>
      <c r="H126" s="31"/>
      <c r="I126" s="31"/>
      <c r="J126" s="31"/>
      <c r="K126" s="31"/>
      <c r="L126" s="31"/>
      <c r="M126" s="31"/>
      <c r="N126" s="31"/>
      <c r="O126" s="31"/>
      <c r="P126" s="31"/>
      <c r="Q126" s="31"/>
      <c r="R126" s="31"/>
      <c r="S126" s="32"/>
    </row>
    <row r="127" spans="1:19" x14ac:dyDescent="0.2">
      <c r="A127" s="30"/>
      <c r="B127" s="31"/>
      <c r="C127" s="31"/>
      <c r="D127" s="31"/>
      <c r="E127" s="31"/>
      <c r="F127" s="31"/>
      <c r="G127" s="31"/>
      <c r="H127" s="31"/>
      <c r="I127" s="31"/>
      <c r="J127" s="31"/>
      <c r="K127" s="31"/>
      <c r="L127" s="31"/>
      <c r="M127" s="31"/>
      <c r="N127" s="31"/>
      <c r="O127" s="31"/>
      <c r="P127" s="31"/>
      <c r="Q127" s="31"/>
      <c r="R127" s="31"/>
      <c r="S127" s="32"/>
    </row>
    <row r="128" spans="1:19" x14ac:dyDescent="0.2">
      <c r="A128" s="30"/>
      <c r="B128" s="31"/>
      <c r="C128" s="31"/>
      <c r="D128" s="31"/>
      <c r="E128" s="31"/>
      <c r="F128" s="31"/>
      <c r="G128" s="31"/>
      <c r="H128" s="31"/>
      <c r="I128" s="31"/>
      <c r="J128" s="31"/>
      <c r="K128" s="31"/>
      <c r="L128" s="31"/>
      <c r="M128" s="31"/>
      <c r="N128" s="31"/>
      <c r="O128" s="31"/>
      <c r="P128" s="31"/>
      <c r="Q128" s="31"/>
      <c r="R128" s="31"/>
      <c r="S128" s="32"/>
    </row>
    <row r="129" spans="1:19" x14ac:dyDescent="0.2">
      <c r="A129" s="30"/>
      <c r="B129" s="31"/>
      <c r="C129" s="31"/>
      <c r="D129" s="31"/>
      <c r="E129" s="31"/>
      <c r="F129" s="31"/>
      <c r="G129" s="31"/>
      <c r="H129" s="31"/>
      <c r="I129" s="31"/>
      <c r="J129" s="31"/>
      <c r="K129" s="31"/>
      <c r="L129" s="31"/>
      <c r="M129" s="31"/>
      <c r="N129" s="31"/>
      <c r="O129" s="31"/>
      <c r="P129" s="31"/>
      <c r="Q129" s="31"/>
      <c r="R129" s="31"/>
      <c r="S129" s="32"/>
    </row>
    <row r="130" spans="1:19" x14ac:dyDescent="0.2">
      <c r="A130" s="30"/>
      <c r="B130" s="31"/>
      <c r="C130" s="31"/>
      <c r="D130" s="31"/>
      <c r="E130" s="31"/>
      <c r="F130" s="31"/>
      <c r="G130" s="31"/>
      <c r="H130" s="31"/>
      <c r="I130" s="31"/>
      <c r="J130" s="31"/>
      <c r="K130" s="31"/>
      <c r="L130" s="31"/>
      <c r="M130" s="31"/>
      <c r="N130" s="31"/>
      <c r="O130" s="31"/>
      <c r="P130" s="31"/>
      <c r="Q130" s="31"/>
      <c r="R130" s="31"/>
      <c r="S130" s="32"/>
    </row>
    <row r="131" spans="1:19" x14ac:dyDescent="0.2">
      <c r="A131" s="30"/>
      <c r="B131" s="31"/>
      <c r="C131" s="31"/>
      <c r="D131" s="31"/>
      <c r="E131" s="31"/>
      <c r="F131" s="31"/>
      <c r="G131" s="31"/>
      <c r="H131" s="31"/>
      <c r="I131" s="31"/>
      <c r="J131" s="31"/>
      <c r="K131" s="31"/>
      <c r="L131" s="31"/>
      <c r="M131" s="31"/>
      <c r="N131" s="31"/>
      <c r="O131" s="31"/>
      <c r="P131" s="31"/>
      <c r="Q131" s="31"/>
      <c r="R131" s="31"/>
      <c r="S131" s="32"/>
    </row>
    <row r="132" spans="1:19" x14ac:dyDescent="0.2">
      <c r="A132" s="30"/>
      <c r="B132" s="31"/>
      <c r="C132" s="31"/>
      <c r="D132" s="31"/>
      <c r="E132" s="31"/>
      <c r="F132" s="31"/>
      <c r="G132" s="31"/>
      <c r="H132" s="31"/>
      <c r="I132" s="31"/>
      <c r="J132" s="31"/>
      <c r="K132" s="31"/>
      <c r="L132" s="31"/>
      <c r="M132" s="31"/>
      <c r="N132" s="31"/>
      <c r="O132" s="31"/>
      <c r="P132" s="31"/>
      <c r="Q132" s="31"/>
      <c r="R132" s="31"/>
      <c r="S132" s="32"/>
    </row>
    <row r="133" spans="1:19" x14ac:dyDescent="0.2">
      <c r="A133" s="30"/>
      <c r="B133" s="31"/>
      <c r="C133" s="31"/>
      <c r="D133" s="31"/>
      <c r="E133" s="31"/>
      <c r="F133" s="31"/>
      <c r="G133" s="31"/>
      <c r="H133" s="31"/>
      <c r="I133" s="31"/>
      <c r="J133" s="31"/>
      <c r="K133" s="31"/>
      <c r="L133" s="31"/>
      <c r="M133" s="31"/>
      <c r="N133" s="31"/>
      <c r="O133" s="31"/>
      <c r="P133" s="31"/>
      <c r="Q133" s="31"/>
      <c r="R133" s="31"/>
      <c r="S133" s="32"/>
    </row>
    <row r="134" spans="1:19" x14ac:dyDescent="0.2">
      <c r="A134" s="30"/>
      <c r="B134" s="31"/>
      <c r="C134" s="31"/>
      <c r="D134" s="31"/>
      <c r="E134" s="31"/>
      <c r="F134" s="31"/>
      <c r="G134" s="31"/>
      <c r="H134" s="31"/>
      <c r="I134" s="31"/>
      <c r="J134" s="31"/>
      <c r="K134" s="31"/>
      <c r="L134" s="31"/>
      <c r="M134" s="31"/>
      <c r="N134" s="31"/>
      <c r="O134" s="31"/>
      <c r="P134" s="31"/>
      <c r="Q134" s="31"/>
      <c r="R134" s="31"/>
      <c r="S134" s="32"/>
    </row>
    <row r="135" spans="1:19" x14ac:dyDescent="0.2">
      <c r="A135" s="30"/>
      <c r="B135" s="31"/>
      <c r="C135" s="31"/>
      <c r="D135" s="31"/>
      <c r="E135" s="31"/>
      <c r="F135" s="31"/>
      <c r="G135" s="31"/>
      <c r="H135" s="31"/>
      <c r="I135" s="31"/>
      <c r="J135" s="31"/>
      <c r="K135" s="31"/>
      <c r="L135" s="31"/>
      <c r="M135" s="31"/>
      <c r="N135" s="31"/>
      <c r="O135" s="31"/>
      <c r="P135" s="31"/>
      <c r="Q135" s="31"/>
      <c r="R135" s="31"/>
      <c r="S135" s="32"/>
    </row>
    <row r="136" spans="1:19" x14ac:dyDescent="0.2">
      <c r="A136" s="30"/>
      <c r="B136" s="31"/>
      <c r="C136" s="31"/>
      <c r="D136" s="31"/>
      <c r="E136" s="31"/>
      <c r="F136" s="31"/>
      <c r="G136" s="31"/>
      <c r="H136" s="31"/>
      <c r="I136" s="31"/>
      <c r="J136" s="31"/>
      <c r="K136" s="31"/>
      <c r="L136" s="31"/>
      <c r="M136" s="31"/>
      <c r="N136" s="31"/>
      <c r="O136" s="31"/>
      <c r="P136" s="31"/>
      <c r="Q136" s="31"/>
      <c r="R136" s="31"/>
      <c r="S136" s="32"/>
    </row>
    <row r="137" spans="1:19" x14ac:dyDescent="0.2">
      <c r="A137" s="30"/>
      <c r="B137" s="31"/>
      <c r="C137" s="31"/>
      <c r="D137" s="31"/>
      <c r="E137" s="31"/>
      <c r="F137" s="31"/>
      <c r="G137" s="31"/>
      <c r="H137" s="31"/>
      <c r="I137" s="31"/>
      <c r="J137" s="31"/>
      <c r="K137" s="31"/>
      <c r="L137" s="31"/>
      <c r="M137" s="31"/>
      <c r="N137" s="31"/>
      <c r="O137" s="31"/>
      <c r="P137" s="31"/>
      <c r="Q137" s="31"/>
      <c r="R137" s="31"/>
      <c r="S137" s="32"/>
    </row>
    <row r="138" spans="1:19" x14ac:dyDescent="0.2">
      <c r="A138" s="30"/>
      <c r="B138" s="31"/>
      <c r="C138" s="31"/>
      <c r="D138" s="31"/>
      <c r="E138" s="31"/>
      <c r="F138" s="31"/>
      <c r="G138" s="31"/>
      <c r="H138" s="31"/>
      <c r="I138" s="31"/>
      <c r="J138" s="31"/>
      <c r="K138" s="31"/>
      <c r="L138" s="31"/>
      <c r="M138" s="31"/>
      <c r="N138" s="31"/>
      <c r="O138" s="31"/>
      <c r="P138" s="31"/>
      <c r="Q138" s="31"/>
      <c r="R138" s="31"/>
      <c r="S138" s="32"/>
    </row>
    <row r="139" spans="1:19" x14ac:dyDescent="0.2">
      <c r="A139" s="30"/>
      <c r="B139" s="31"/>
      <c r="C139" s="31"/>
      <c r="D139" s="31"/>
      <c r="E139" s="31"/>
      <c r="F139" s="31"/>
      <c r="G139" s="31"/>
      <c r="H139" s="31"/>
      <c r="I139" s="31"/>
      <c r="J139" s="31"/>
      <c r="K139" s="31"/>
      <c r="L139" s="31"/>
      <c r="M139" s="31"/>
      <c r="N139" s="31"/>
      <c r="O139" s="31"/>
      <c r="P139" s="31"/>
      <c r="Q139" s="31"/>
      <c r="R139" s="31"/>
      <c r="S139" s="32"/>
    </row>
    <row r="140" spans="1:19" x14ac:dyDescent="0.2">
      <c r="A140" s="30"/>
      <c r="B140" s="31"/>
      <c r="C140" s="31"/>
      <c r="D140" s="31"/>
      <c r="E140" s="31"/>
      <c r="F140" s="31"/>
      <c r="G140" s="31"/>
      <c r="H140" s="31"/>
      <c r="I140" s="31"/>
      <c r="J140" s="31"/>
      <c r="K140" s="31"/>
      <c r="L140" s="31"/>
      <c r="M140" s="31"/>
      <c r="N140" s="31"/>
      <c r="O140" s="31"/>
      <c r="P140" s="31"/>
      <c r="Q140" s="31"/>
      <c r="R140" s="31"/>
      <c r="S140" s="32"/>
    </row>
    <row r="141" spans="1:19" x14ac:dyDescent="0.2">
      <c r="A141" s="30"/>
      <c r="B141" s="31"/>
      <c r="C141" s="31"/>
      <c r="D141" s="31"/>
      <c r="E141" s="31"/>
      <c r="F141" s="31"/>
      <c r="G141" s="31"/>
      <c r="H141" s="31"/>
      <c r="I141" s="31"/>
      <c r="J141" s="31"/>
      <c r="K141" s="31"/>
      <c r="L141" s="31"/>
      <c r="M141" s="31"/>
      <c r="N141" s="31"/>
      <c r="O141" s="31"/>
      <c r="P141" s="31"/>
      <c r="Q141" s="31"/>
      <c r="R141" s="31"/>
      <c r="S141" s="32"/>
    </row>
    <row r="142" spans="1:19" x14ac:dyDescent="0.2">
      <c r="A142" s="30"/>
      <c r="B142" s="31"/>
      <c r="C142" s="31"/>
      <c r="D142" s="31"/>
      <c r="E142" s="31"/>
      <c r="F142" s="31"/>
      <c r="G142" s="31"/>
      <c r="H142" s="31"/>
      <c r="I142" s="31"/>
      <c r="J142" s="31"/>
      <c r="K142" s="31"/>
      <c r="L142" s="31"/>
      <c r="M142" s="31"/>
      <c r="N142" s="31"/>
      <c r="O142" s="31"/>
      <c r="P142" s="31"/>
      <c r="Q142" s="31"/>
      <c r="R142" s="31"/>
      <c r="S142" s="32"/>
    </row>
    <row r="143" spans="1:19" x14ac:dyDescent="0.2">
      <c r="A143" s="30"/>
      <c r="B143" s="31"/>
      <c r="C143" s="31"/>
      <c r="D143" s="31"/>
      <c r="E143" s="31"/>
      <c r="F143" s="31"/>
      <c r="G143" s="31"/>
      <c r="H143" s="31"/>
      <c r="I143" s="31"/>
      <c r="J143" s="31"/>
      <c r="K143" s="31"/>
      <c r="L143" s="31"/>
      <c r="M143" s="31"/>
      <c r="N143" s="31"/>
      <c r="O143" s="31"/>
      <c r="P143" s="31"/>
      <c r="Q143" s="31"/>
      <c r="R143" s="31"/>
      <c r="S143" s="32"/>
    </row>
    <row r="144" spans="1:19" x14ac:dyDescent="0.2">
      <c r="A144" s="30"/>
      <c r="B144" s="31"/>
      <c r="C144" s="31"/>
      <c r="D144" s="31"/>
      <c r="E144" s="31"/>
      <c r="F144" s="31"/>
      <c r="G144" s="31"/>
      <c r="H144" s="31"/>
      <c r="I144" s="31"/>
      <c r="J144" s="31"/>
      <c r="K144" s="31"/>
      <c r="L144" s="31"/>
      <c r="M144" s="31"/>
      <c r="N144" s="31"/>
      <c r="O144" s="31"/>
      <c r="P144" s="31"/>
      <c r="Q144" s="31"/>
      <c r="R144" s="31"/>
      <c r="S144" s="32"/>
    </row>
    <row r="145" spans="1:19" x14ac:dyDescent="0.2">
      <c r="A145" s="30"/>
      <c r="B145" s="31"/>
      <c r="C145" s="31"/>
      <c r="D145" s="31"/>
      <c r="E145" s="31"/>
      <c r="F145" s="31"/>
      <c r="G145" s="31"/>
      <c r="H145" s="31"/>
      <c r="I145" s="31"/>
      <c r="J145" s="31"/>
      <c r="K145" s="31"/>
      <c r="L145" s="31"/>
      <c r="M145" s="31"/>
      <c r="N145" s="31"/>
      <c r="O145" s="31"/>
      <c r="P145" s="31"/>
      <c r="Q145" s="31"/>
      <c r="R145" s="31"/>
      <c r="S145" s="32"/>
    </row>
    <row r="146" spans="1:19" x14ac:dyDescent="0.2">
      <c r="A146" s="30"/>
      <c r="B146" s="31"/>
      <c r="C146" s="31"/>
      <c r="D146" s="31"/>
      <c r="E146" s="31"/>
      <c r="F146" s="31"/>
      <c r="G146" s="31"/>
      <c r="H146" s="31"/>
      <c r="I146" s="31"/>
      <c r="J146" s="31"/>
      <c r="K146" s="31"/>
      <c r="L146" s="31"/>
      <c r="M146" s="31"/>
      <c r="N146" s="31"/>
      <c r="O146" s="31"/>
      <c r="P146" s="31"/>
      <c r="Q146" s="31"/>
      <c r="R146" s="31"/>
      <c r="S146" s="32"/>
    </row>
    <row r="147" spans="1:19" x14ac:dyDescent="0.2">
      <c r="A147" s="30"/>
      <c r="B147" s="31"/>
      <c r="C147" s="31"/>
      <c r="D147" s="31"/>
      <c r="E147" s="31"/>
      <c r="F147" s="31"/>
      <c r="G147" s="31"/>
      <c r="H147" s="31"/>
      <c r="I147" s="31"/>
      <c r="J147" s="31"/>
      <c r="K147" s="31"/>
      <c r="L147" s="31"/>
      <c r="M147" s="31"/>
      <c r="N147" s="31"/>
      <c r="O147" s="31"/>
      <c r="P147" s="31"/>
      <c r="Q147" s="31"/>
      <c r="R147" s="31"/>
      <c r="S147" s="32"/>
    </row>
    <row r="148" spans="1:19" x14ac:dyDescent="0.2">
      <c r="A148" s="30"/>
      <c r="B148" s="31"/>
      <c r="C148" s="31"/>
      <c r="D148" s="31"/>
      <c r="E148" s="31"/>
      <c r="F148" s="31"/>
      <c r="G148" s="31"/>
      <c r="H148" s="31"/>
      <c r="I148" s="31"/>
      <c r="J148" s="31"/>
      <c r="K148" s="31"/>
      <c r="L148" s="31"/>
      <c r="M148" s="31"/>
      <c r="N148" s="31"/>
      <c r="O148" s="31"/>
      <c r="P148" s="31"/>
      <c r="Q148" s="31"/>
      <c r="R148" s="31"/>
      <c r="S148" s="32"/>
    </row>
    <row r="149" spans="1:19" x14ac:dyDescent="0.2">
      <c r="A149" s="30"/>
      <c r="B149" s="31"/>
      <c r="C149" s="31"/>
      <c r="D149" s="31"/>
      <c r="E149" s="31"/>
      <c r="F149" s="31"/>
      <c r="G149" s="31"/>
      <c r="H149" s="31"/>
      <c r="I149" s="31"/>
      <c r="J149" s="31"/>
      <c r="K149" s="31"/>
      <c r="L149" s="31"/>
      <c r="M149" s="31"/>
      <c r="N149" s="31"/>
      <c r="O149" s="31"/>
      <c r="P149" s="31"/>
      <c r="Q149" s="31"/>
      <c r="R149" s="31"/>
      <c r="S149" s="32"/>
    </row>
    <row r="150" spans="1:19" x14ac:dyDescent="0.2">
      <c r="A150" s="30"/>
      <c r="B150" s="31"/>
      <c r="C150" s="31"/>
      <c r="D150" s="31"/>
      <c r="E150" s="31"/>
      <c r="F150" s="31"/>
      <c r="G150" s="31"/>
      <c r="H150" s="31"/>
      <c r="I150" s="31"/>
      <c r="J150" s="31"/>
      <c r="K150" s="31"/>
      <c r="L150" s="31"/>
      <c r="M150" s="31"/>
      <c r="N150" s="31"/>
      <c r="O150" s="31"/>
      <c r="P150" s="31"/>
      <c r="Q150" s="31"/>
      <c r="R150" s="31"/>
      <c r="S150" s="32"/>
    </row>
    <row r="151" spans="1:19" x14ac:dyDescent="0.2">
      <c r="A151" s="30"/>
      <c r="B151" s="31"/>
      <c r="C151" s="31"/>
      <c r="D151" s="31"/>
      <c r="E151" s="31"/>
      <c r="F151" s="31"/>
      <c r="G151" s="31"/>
      <c r="H151" s="31"/>
      <c r="I151" s="31"/>
      <c r="J151" s="31"/>
      <c r="K151" s="31"/>
      <c r="L151" s="31"/>
      <c r="M151" s="31"/>
      <c r="N151" s="31"/>
      <c r="O151" s="31"/>
      <c r="P151" s="31"/>
      <c r="Q151" s="31"/>
      <c r="R151" s="31"/>
      <c r="S151" s="32"/>
    </row>
    <row r="152" spans="1:19" x14ac:dyDescent="0.2">
      <c r="A152" s="30"/>
      <c r="B152" s="31"/>
      <c r="C152" s="31"/>
      <c r="D152" s="31"/>
      <c r="E152" s="31"/>
      <c r="F152" s="31"/>
      <c r="G152" s="31"/>
      <c r="H152" s="31"/>
      <c r="I152" s="31"/>
      <c r="J152" s="31"/>
      <c r="K152" s="31"/>
      <c r="L152" s="31"/>
      <c r="M152" s="31"/>
      <c r="N152" s="31"/>
      <c r="O152" s="31"/>
      <c r="P152" s="31"/>
      <c r="Q152" s="31"/>
      <c r="R152" s="31"/>
      <c r="S152" s="32"/>
    </row>
    <row r="153" spans="1:19" x14ac:dyDescent="0.2">
      <c r="A153" s="30"/>
      <c r="B153" s="31"/>
      <c r="C153" s="31"/>
      <c r="D153" s="31"/>
      <c r="E153" s="31"/>
      <c r="F153" s="31"/>
      <c r="G153" s="31"/>
      <c r="H153" s="31"/>
      <c r="I153" s="31"/>
      <c r="J153" s="31"/>
      <c r="K153" s="31"/>
      <c r="L153" s="31"/>
      <c r="M153" s="31"/>
      <c r="N153" s="31"/>
      <c r="O153" s="31"/>
      <c r="P153" s="31"/>
      <c r="Q153" s="31"/>
      <c r="R153" s="31"/>
      <c r="S153" s="32"/>
    </row>
    <row r="154" spans="1:19" x14ac:dyDescent="0.2">
      <c r="A154" s="30"/>
      <c r="B154" s="31"/>
      <c r="C154" s="31"/>
      <c r="D154" s="31"/>
      <c r="E154" s="31"/>
      <c r="F154" s="31"/>
      <c r="G154" s="31"/>
      <c r="H154" s="31"/>
      <c r="I154" s="31"/>
      <c r="J154" s="31"/>
      <c r="K154" s="31"/>
      <c r="L154" s="31"/>
      <c r="M154" s="31"/>
      <c r="N154" s="31"/>
      <c r="O154" s="31"/>
      <c r="P154" s="31"/>
      <c r="Q154" s="31"/>
      <c r="R154" s="31"/>
      <c r="S154" s="32"/>
    </row>
    <row r="155" spans="1:19" x14ac:dyDescent="0.2">
      <c r="A155" s="30"/>
      <c r="B155" s="31"/>
      <c r="C155" s="31"/>
      <c r="D155" s="31"/>
      <c r="E155" s="31"/>
      <c r="F155" s="31"/>
      <c r="G155" s="31"/>
      <c r="H155" s="31"/>
      <c r="I155" s="31"/>
      <c r="J155" s="31"/>
      <c r="K155" s="31"/>
      <c r="L155" s="31"/>
      <c r="M155" s="31"/>
      <c r="N155" s="31"/>
      <c r="O155" s="31"/>
      <c r="P155" s="31"/>
      <c r="Q155" s="31"/>
      <c r="R155" s="31"/>
      <c r="S155" s="32"/>
    </row>
    <row r="156" spans="1:19" x14ac:dyDescent="0.2">
      <c r="A156" s="30"/>
      <c r="B156" s="31"/>
      <c r="C156" s="31"/>
      <c r="D156" s="31"/>
      <c r="E156" s="31"/>
      <c r="F156" s="31"/>
      <c r="G156" s="31"/>
      <c r="H156" s="31"/>
      <c r="I156" s="31"/>
      <c r="J156" s="31"/>
      <c r="K156" s="31"/>
      <c r="L156" s="31"/>
      <c r="M156" s="31"/>
      <c r="N156" s="31"/>
      <c r="O156" s="31"/>
      <c r="P156" s="31"/>
      <c r="Q156" s="31"/>
      <c r="R156" s="31"/>
      <c r="S156" s="32"/>
    </row>
    <row r="157" spans="1:19" x14ac:dyDescent="0.2">
      <c r="A157" s="30"/>
      <c r="B157" s="31"/>
      <c r="C157" s="31"/>
      <c r="D157" s="31"/>
      <c r="E157" s="31"/>
      <c r="F157" s="31"/>
      <c r="G157" s="31"/>
      <c r="H157" s="31"/>
      <c r="I157" s="31"/>
      <c r="J157" s="31"/>
      <c r="K157" s="31"/>
      <c r="L157" s="31"/>
      <c r="M157" s="31"/>
      <c r="N157" s="31"/>
      <c r="O157" s="31"/>
      <c r="P157" s="31"/>
      <c r="Q157" s="31"/>
      <c r="R157" s="31"/>
      <c r="S157" s="32"/>
    </row>
    <row r="158" spans="1:19" x14ac:dyDescent="0.2">
      <c r="A158" s="30"/>
      <c r="B158" s="31"/>
      <c r="C158" s="31"/>
      <c r="D158" s="31"/>
      <c r="E158" s="31"/>
      <c r="F158" s="31"/>
      <c r="G158" s="31"/>
      <c r="H158" s="31"/>
      <c r="I158" s="31"/>
      <c r="J158" s="31"/>
      <c r="K158" s="31"/>
      <c r="L158" s="31"/>
      <c r="M158" s="31"/>
      <c r="N158" s="31"/>
      <c r="O158" s="31"/>
      <c r="P158" s="31"/>
      <c r="Q158" s="31"/>
      <c r="R158" s="31"/>
      <c r="S158" s="32"/>
    </row>
    <row r="159" spans="1:19" x14ac:dyDescent="0.2">
      <c r="A159" s="30"/>
      <c r="B159" s="31"/>
      <c r="C159" s="31"/>
      <c r="D159" s="31"/>
      <c r="E159" s="31"/>
      <c r="F159" s="31"/>
      <c r="G159" s="31"/>
      <c r="H159" s="31"/>
      <c r="I159" s="31"/>
      <c r="J159" s="31"/>
      <c r="K159" s="31"/>
      <c r="L159" s="31"/>
      <c r="M159" s="31"/>
      <c r="N159" s="31"/>
      <c r="O159" s="31"/>
      <c r="P159" s="31"/>
      <c r="Q159" s="31"/>
      <c r="R159" s="31"/>
      <c r="S159" s="32"/>
    </row>
    <row r="160" spans="1:19" x14ac:dyDescent="0.2">
      <c r="A160" s="30"/>
      <c r="B160" s="31"/>
      <c r="C160" s="31"/>
      <c r="D160" s="31"/>
      <c r="E160" s="31"/>
      <c r="F160" s="31"/>
      <c r="G160" s="31"/>
      <c r="H160" s="31"/>
      <c r="I160" s="31"/>
      <c r="J160" s="31"/>
      <c r="K160" s="31"/>
      <c r="L160" s="31"/>
      <c r="M160" s="31"/>
      <c r="N160" s="31"/>
      <c r="O160" s="31"/>
      <c r="P160" s="31"/>
      <c r="Q160" s="31"/>
      <c r="R160" s="31"/>
      <c r="S160" s="32"/>
    </row>
    <row r="161" spans="1:19" x14ac:dyDescent="0.2">
      <c r="A161" s="30"/>
      <c r="B161" s="31"/>
      <c r="C161" s="31"/>
      <c r="D161" s="31"/>
      <c r="E161" s="31"/>
      <c r="F161" s="31"/>
      <c r="G161" s="31"/>
      <c r="H161" s="31"/>
      <c r="I161" s="31"/>
      <c r="J161" s="31"/>
      <c r="K161" s="31"/>
      <c r="L161" s="31"/>
      <c r="M161" s="31"/>
      <c r="N161" s="31"/>
      <c r="O161" s="31"/>
      <c r="P161" s="31"/>
      <c r="Q161" s="31"/>
      <c r="R161" s="31"/>
      <c r="S161" s="32"/>
    </row>
    <row r="162" spans="1:19" x14ac:dyDescent="0.2">
      <c r="A162" s="30"/>
      <c r="B162" s="31"/>
      <c r="C162" s="31"/>
      <c r="D162" s="31"/>
      <c r="E162" s="31"/>
      <c r="F162" s="31"/>
      <c r="G162" s="31"/>
      <c r="H162" s="31"/>
      <c r="I162" s="31"/>
      <c r="J162" s="31"/>
      <c r="K162" s="31"/>
      <c r="L162" s="31"/>
      <c r="M162" s="31"/>
      <c r="N162" s="31"/>
      <c r="O162" s="31"/>
      <c r="P162" s="31"/>
      <c r="Q162" s="31"/>
      <c r="R162" s="31"/>
      <c r="S162" s="32"/>
    </row>
    <row r="163" spans="1:19" x14ac:dyDescent="0.2">
      <c r="A163" s="30"/>
      <c r="B163" s="31"/>
      <c r="C163" s="31"/>
      <c r="D163" s="31"/>
      <c r="E163" s="31"/>
      <c r="F163" s="31"/>
      <c r="G163" s="31"/>
      <c r="H163" s="31"/>
      <c r="I163" s="31"/>
      <c r="J163" s="31"/>
      <c r="K163" s="31"/>
      <c r="L163" s="31"/>
      <c r="M163" s="31"/>
      <c r="N163" s="31"/>
      <c r="O163" s="31"/>
      <c r="P163" s="31"/>
      <c r="Q163" s="31"/>
      <c r="R163" s="31"/>
      <c r="S163" s="32"/>
    </row>
    <row r="164" spans="1:19" x14ac:dyDescent="0.2">
      <c r="A164" s="30"/>
      <c r="B164" s="31"/>
      <c r="C164" s="31"/>
      <c r="D164" s="31"/>
      <c r="E164" s="31"/>
      <c r="F164" s="31"/>
      <c r="G164" s="31"/>
      <c r="H164" s="31"/>
      <c r="I164" s="31"/>
      <c r="J164" s="31"/>
      <c r="K164" s="31"/>
      <c r="L164" s="31"/>
      <c r="M164" s="31"/>
      <c r="N164" s="31"/>
      <c r="O164" s="31"/>
      <c r="P164" s="31"/>
      <c r="Q164" s="31"/>
      <c r="R164" s="31"/>
      <c r="S164" s="32"/>
    </row>
    <row r="165" spans="1:19" x14ac:dyDescent="0.2">
      <c r="A165" s="30"/>
      <c r="B165" s="31"/>
      <c r="C165" s="31"/>
      <c r="D165" s="31"/>
      <c r="E165" s="31"/>
      <c r="F165" s="31"/>
      <c r="G165" s="31"/>
      <c r="H165" s="31"/>
      <c r="I165" s="31"/>
      <c r="J165" s="31"/>
      <c r="K165" s="31"/>
      <c r="L165" s="31"/>
      <c r="M165" s="31"/>
      <c r="N165" s="31"/>
      <c r="O165" s="31"/>
      <c r="P165" s="31"/>
      <c r="Q165" s="31"/>
      <c r="R165" s="31"/>
      <c r="S165" s="32"/>
    </row>
    <row r="166" spans="1:19" x14ac:dyDescent="0.2">
      <c r="A166" s="30"/>
      <c r="B166" s="31"/>
      <c r="C166" s="31"/>
      <c r="D166" s="31"/>
      <c r="E166" s="31"/>
      <c r="F166" s="31"/>
      <c r="G166" s="31"/>
      <c r="H166" s="31"/>
      <c r="I166" s="31"/>
      <c r="J166" s="31"/>
      <c r="K166" s="31"/>
      <c r="L166" s="31"/>
      <c r="M166" s="31"/>
      <c r="N166" s="31"/>
      <c r="O166" s="31"/>
      <c r="P166" s="31"/>
      <c r="Q166" s="31"/>
      <c r="R166" s="31"/>
      <c r="S166" s="32"/>
    </row>
    <row r="167" spans="1:19" x14ac:dyDescent="0.2">
      <c r="A167" s="30"/>
      <c r="B167" s="31"/>
      <c r="C167" s="31"/>
      <c r="D167" s="31"/>
      <c r="E167" s="31"/>
      <c r="F167" s="31"/>
      <c r="G167" s="31"/>
      <c r="H167" s="31"/>
      <c r="I167" s="31"/>
      <c r="J167" s="31"/>
      <c r="K167" s="31"/>
      <c r="L167" s="31"/>
      <c r="M167" s="31"/>
      <c r="N167" s="31"/>
      <c r="O167" s="31"/>
      <c r="P167" s="31"/>
      <c r="Q167" s="31"/>
      <c r="R167" s="31"/>
      <c r="S167" s="32"/>
    </row>
    <row r="168" spans="1:19" x14ac:dyDescent="0.2">
      <c r="A168" s="30"/>
      <c r="B168" s="31"/>
      <c r="C168" s="31"/>
      <c r="D168" s="31"/>
      <c r="E168" s="31"/>
      <c r="F168" s="31"/>
      <c r="G168" s="31"/>
      <c r="H168" s="31"/>
      <c r="I168" s="31"/>
      <c r="J168" s="31"/>
      <c r="K168" s="31"/>
      <c r="L168" s="31"/>
      <c r="M168" s="31"/>
      <c r="N168" s="31"/>
      <c r="O168" s="31"/>
      <c r="P168" s="31"/>
      <c r="Q168" s="31"/>
      <c r="R168" s="31"/>
      <c r="S168" s="32"/>
    </row>
    <row r="169" spans="1:19" x14ac:dyDescent="0.2">
      <c r="A169" s="30"/>
      <c r="B169" s="31"/>
      <c r="C169" s="31"/>
      <c r="D169" s="31"/>
      <c r="E169" s="31"/>
      <c r="F169" s="31"/>
      <c r="G169" s="31"/>
      <c r="H169" s="31"/>
      <c r="I169" s="31"/>
      <c r="J169" s="31"/>
      <c r="K169" s="31"/>
      <c r="L169" s="31"/>
      <c r="M169" s="31"/>
      <c r="N169" s="31"/>
      <c r="O169" s="31"/>
      <c r="P169" s="31"/>
      <c r="Q169" s="31"/>
      <c r="R169" s="31"/>
      <c r="S169" s="32"/>
    </row>
    <row r="170" spans="1:19" x14ac:dyDescent="0.2">
      <c r="A170" s="30"/>
      <c r="B170" s="31"/>
      <c r="C170" s="31"/>
      <c r="D170" s="31"/>
      <c r="E170" s="31"/>
      <c r="F170" s="31"/>
      <c r="G170" s="31"/>
      <c r="H170" s="31"/>
      <c r="I170" s="31"/>
      <c r="J170" s="31"/>
      <c r="K170" s="31"/>
      <c r="L170" s="31"/>
      <c r="M170" s="31"/>
      <c r="N170" s="31"/>
      <c r="O170" s="31"/>
      <c r="P170" s="31"/>
      <c r="Q170" s="31"/>
      <c r="R170" s="31"/>
      <c r="S170" s="32"/>
    </row>
    <row r="171" spans="1:19" x14ac:dyDescent="0.2">
      <c r="A171" s="30"/>
      <c r="B171" s="31"/>
      <c r="C171" s="31"/>
      <c r="D171" s="31"/>
      <c r="E171" s="31"/>
      <c r="F171" s="31"/>
      <c r="G171" s="31"/>
      <c r="H171" s="31"/>
      <c r="I171" s="31"/>
      <c r="J171" s="31"/>
      <c r="K171" s="31"/>
      <c r="L171" s="31"/>
      <c r="M171" s="31"/>
      <c r="N171" s="31"/>
      <c r="O171" s="31"/>
      <c r="P171" s="31"/>
      <c r="Q171" s="31"/>
      <c r="R171" s="31"/>
      <c r="S171" s="32"/>
    </row>
    <row r="172" spans="1:19" x14ac:dyDescent="0.2">
      <c r="A172" s="30"/>
      <c r="B172" s="31"/>
      <c r="C172" s="31"/>
      <c r="D172" s="31"/>
      <c r="E172" s="31"/>
      <c r="F172" s="31"/>
      <c r="G172" s="31"/>
      <c r="H172" s="31"/>
      <c r="I172" s="31"/>
      <c r="J172" s="31"/>
      <c r="K172" s="31"/>
      <c r="L172" s="31"/>
      <c r="M172" s="31"/>
      <c r="N172" s="31"/>
      <c r="O172" s="31"/>
      <c r="P172" s="31"/>
      <c r="Q172" s="31"/>
      <c r="R172" s="31"/>
      <c r="S172" s="32"/>
    </row>
    <row r="173" spans="1:19" x14ac:dyDescent="0.2">
      <c r="A173" s="30"/>
      <c r="B173" s="31"/>
      <c r="C173" s="31"/>
      <c r="D173" s="31"/>
      <c r="E173" s="31"/>
      <c r="F173" s="31"/>
      <c r="G173" s="31"/>
      <c r="H173" s="31"/>
      <c r="I173" s="31"/>
      <c r="J173" s="31"/>
      <c r="K173" s="31"/>
      <c r="L173" s="31"/>
      <c r="M173" s="31"/>
      <c r="N173" s="31"/>
      <c r="O173" s="31"/>
      <c r="P173" s="31"/>
      <c r="Q173" s="31"/>
      <c r="R173" s="31"/>
      <c r="S173" s="32"/>
    </row>
    <row r="174" spans="1:19" x14ac:dyDescent="0.2">
      <c r="A174" s="30"/>
      <c r="B174" s="31"/>
      <c r="C174" s="31"/>
      <c r="D174" s="31"/>
      <c r="E174" s="31"/>
      <c r="F174" s="31"/>
      <c r="G174" s="31"/>
      <c r="H174" s="31"/>
      <c r="I174" s="31"/>
      <c r="J174" s="31"/>
      <c r="K174" s="31"/>
      <c r="L174" s="31"/>
      <c r="M174" s="31"/>
      <c r="N174" s="31"/>
      <c r="O174" s="31"/>
      <c r="P174" s="31"/>
      <c r="Q174" s="31"/>
      <c r="R174" s="31"/>
      <c r="S174" s="32"/>
    </row>
    <row r="175" spans="1:19" x14ac:dyDescent="0.2">
      <c r="A175" s="30"/>
      <c r="B175" s="31"/>
      <c r="C175" s="31"/>
      <c r="D175" s="31"/>
      <c r="E175" s="31"/>
      <c r="F175" s="31"/>
      <c r="G175" s="31"/>
      <c r="H175" s="31"/>
      <c r="I175" s="31"/>
      <c r="J175" s="31"/>
      <c r="K175" s="31"/>
      <c r="L175" s="31"/>
      <c r="M175" s="31"/>
      <c r="N175" s="31"/>
      <c r="O175" s="31"/>
      <c r="P175" s="31"/>
      <c r="Q175" s="31"/>
      <c r="R175" s="31"/>
      <c r="S175" s="32"/>
    </row>
    <row r="176" spans="1:19" x14ac:dyDescent="0.2">
      <c r="A176" s="30"/>
      <c r="B176" s="31"/>
      <c r="C176" s="31"/>
      <c r="D176" s="31"/>
      <c r="E176" s="31"/>
      <c r="F176" s="31"/>
      <c r="G176" s="31"/>
      <c r="H176" s="31"/>
      <c r="I176" s="31"/>
      <c r="J176" s="31"/>
      <c r="K176" s="31"/>
      <c r="L176" s="31"/>
      <c r="M176" s="31"/>
      <c r="N176" s="31"/>
      <c r="O176" s="31"/>
      <c r="P176" s="31"/>
      <c r="Q176" s="31"/>
      <c r="R176" s="31"/>
      <c r="S176" s="32"/>
    </row>
    <row r="177" spans="1:19" x14ac:dyDescent="0.2">
      <c r="A177" s="30"/>
      <c r="B177" s="31"/>
      <c r="C177" s="31"/>
      <c r="D177" s="31"/>
      <c r="E177" s="31"/>
      <c r="F177" s="31"/>
      <c r="G177" s="31"/>
      <c r="H177" s="31"/>
      <c r="I177" s="31"/>
      <c r="J177" s="31"/>
      <c r="K177" s="31"/>
      <c r="L177" s="31"/>
      <c r="M177" s="31"/>
      <c r="N177" s="31"/>
      <c r="O177" s="31"/>
      <c r="P177" s="31"/>
      <c r="Q177" s="31"/>
      <c r="R177" s="31"/>
      <c r="S177" s="32"/>
    </row>
    <row r="178" spans="1:19" x14ac:dyDescent="0.2">
      <c r="A178" s="30"/>
      <c r="B178" s="31"/>
      <c r="C178" s="31"/>
      <c r="D178" s="31"/>
      <c r="E178" s="31"/>
      <c r="F178" s="31"/>
      <c r="G178" s="31"/>
      <c r="H178" s="31"/>
      <c r="I178" s="31"/>
      <c r="J178" s="31"/>
      <c r="K178" s="31"/>
      <c r="L178" s="31"/>
      <c r="M178" s="31"/>
      <c r="N178" s="31"/>
      <c r="O178" s="31"/>
      <c r="P178" s="31"/>
      <c r="Q178" s="31"/>
      <c r="R178" s="31"/>
      <c r="S178" s="32"/>
    </row>
    <row r="179" spans="1:19" x14ac:dyDescent="0.2">
      <c r="A179" s="30"/>
      <c r="B179" s="31"/>
      <c r="C179" s="31"/>
      <c r="D179" s="31"/>
      <c r="E179" s="31"/>
      <c r="F179" s="31"/>
      <c r="G179" s="31"/>
      <c r="H179" s="31"/>
      <c r="I179" s="31"/>
      <c r="J179" s="31"/>
      <c r="K179" s="31"/>
      <c r="L179" s="31"/>
      <c r="M179" s="31"/>
      <c r="N179" s="31"/>
      <c r="O179" s="31"/>
      <c r="P179" s="31"/>
      <c r="Q179" s="31"/>
      <c r="R179" s="31"/>
      <c r="S179" s="32"/>
    </row>
    <row r="180" spans="1:19" x14ac:dyDescent="0.2">
      <c r="A180" s="38"/>
      <c r="B180" s="36"/>
      <c r="C180" s="36"/>
      <c r="D180" s="36"/>
      <c r="E180" s="36"/>
      <c r="F180" s="36"/>
      <c r="G180" s="36"/>
      <c r="H180" s="36"/>
      <c r="I180" s="36"/>
      <c r="J180" s="36"/>
      <c r="K180" s="36"/>
      <c r="L180" s="36"/>
      <c r="M180" s="36"/>
      <c r="N180" s="36"/>
      <c r="O180" s="36"/>
      <c r="P180" s="36"/>
      <c r="Q180" s="36"/>
      <c r="R180" s="36"/>
      <c r="S180" s="39"/>
    </row>
  </sheetData>
  <sheetProtection password="E10F" sheet="1"/>
  <mergeCells count="9">
    <mergeCell ref="A53:C53"/>
    <mergeCell ref="D53:E53"/>
    <mergeCell ref="A48:C48"/>
    <mergeCell ref="D48:E48"/>
    <mergeCell ref="A1:S1"/>
    <mergeCell ref="D3:J3"/>
    <mergeCell ref="O3:S3"/>
    <mergeCell ref="B51:C51"/>
    <mergeCell ref="D51:E51"/>
  </mergeCells>
  <phoneticPr fontId="0" type="noConversion"/>
  <hyperlinks>
    <hyperlink ref="T2" location="'Cover Sheet'!A1" display="BACK to COVER SHEET" xr:uid="{00000000-0004-0000-1100-000000000000}"/>
    <hyperlink ref="T2:V2" location="'Cover Sheet'!A1" display="BACK to COVER SHEET" xr:uid="{00000000-0004-0000-1100-000001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AO190"/>
  <sheetViews>
    <sheetView showGridLines="0" zoomScaleNormal="100" zoomScaleSheetLayoutView="100" workbookViewId="0">
      <selection sqref="A1:S1"/>
    </sheetView>
  </sheetViews>
  <sheetFormatPr baseColWidth="10" defaultColWidth="9.140625" defaultRowHeight="12.75" x14ac:dyDescent="0.2"/>
  <cols>
    <col min="1" max="1" width="5" customWidth="1"/>
    <col min="2" max="2" width="5.5703125" customWidth="1"/>
    <col min="3" max="20" width="5" customWidth="1"/>
    <col min="21" max="21" width="5.85546875" customWidth="1"/>
    <col min="22" max="38" width="5" customWidth="1"/>
  </cols>
  <sheetData>
    <row r="1" spans="1:41" x14ac:dyDescent="0.2">
      <c r="A1" s="698" t="s">
        <v>555</v>
      </c>
      <c r="B1" s="699"/>
      <c r="C1" s="699"/>
      <c r="D1" s="699"/>
      <c r="E1" s="699"/>
      <c r="F1" s="699"/>
      <c r="G1" s="699"/>
      <c r="H1" s="699"/>
      <c r="I1" s="699"/>
      <c r="J1" s="699"/>
      <c r="K1" s="699"/>
      <c r="L1" s="699"/>
      <c r="M1" s="699"/>
      <c r="N1" s="699"/>
      <c r="O1" s="699"/>
      <c r="P1" s="699"/>
      <c r="Q1" s="699"/>
      <c r="R1" s="699"/>
      <c r="S1" s="700"/>
      <c r="T1" s="698" t="s">
        <v>556</v>
      </c>
      <c r="U1" s="699"/>
      <c r="V1" s="699"/>
      <c r="W1" s="699"/>
      <c r="X1" s="699"/>
      <c r="Y1" s="699"/>
      <c r="Z1" s="699"/>
      <c r="AA1" s="699"/>
      <c r="AB1" s="699"/>
      <c r="AC1" s="699"/>
      <c r="AD1" s="699"/>
      <c r="AE1" s="699"/>
      <c r="AF1" s="699"/>
      <c r="AG1" s="699"/>
      <c r="AH1" s="699"/>
      <c r="AI1" s="699"/>
      <c r="AJ1" s="699"/>
      <c r="AK1" s="699"/>
      <c r="AL1" s="700"/>
    </row>
    <row r="2" spans="1:41" x14ac:dyDescent="0.2">
      <c r="A2" s="315"/>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701" t="str">
        <f>IF('Cover Sheet'!D14:J14&gt;0,'Cover Sheet'!D14:J14,"")</f>
        <v>EPSA</v>
      </c>
      <c r="E3" s="701"/>
      <c r="F3" s="701"/>
      <c r="G3" s="701"/>
      <c r="H3" s="701"/>
      <c r="I3" s="701"/>
      <c r="J3" s="701"/>
      <c r="K3" t="s">
        <v>48</v>
      </c>
      <c r="O3" s="701" t="str">
        <f>IF('Cover Sheet'!O14:S14&gt;0,'Cover Sheet'!O14:S14,"")</f>
        <v/>
      </c>
      <c r="P3" s="701"/>
      <c r="Q3" s="701"/>
      <c r="R3" s="701"/>
      <c r="S3" s="701"/>
      <c r="T3" s="8" t="s">
        <v>47</v>
      </c>
      <c r="W3" s="701" t="str">
        <f>IF('Cover Sheet'!W14:AC14&gt;0,'Cover Sheet'!W14:AC14,"")</f>
        <v/>
      </c>
      <c r="X3" s="701"/>
      <c r="Y3" s="701"/>
      <c r="Z3" s="701"/>
      <c r="AA3" s="701"/>
      <c r="AB3" s="701"/>
      <c r="AC3" s="701"/>
      <c r="AD3" t="s">
        <v>48</v>
      </c>
      <c r="AH3" s="701" t="str">
        <f>IF('Cover Sheet'!AH14:AL14&gt;0,'Cover Sheet'!AH14:AL14,"")</f>
        <v/>
      </c>
      <c r="AI3" s="701"/>
      <c r="AJ3" s="701"/>
      <c r="AK3" s="701"/>
      <c r="AL3" s="702"/>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691"/>
      <c r="B5" s="692"/>
      <c r="C5" s="692"/>
      <c r="D5" s="692"/>
      <c r="E5" s="692"/>
      <c r="F5" s="692"/>
      <c r="G5" s="692"/>
      <c r="H5" s="692"/>
      <c r="I5" s="692"/>
      <c r="J5" s="692"/>
      <c r="K5" s="692"/>
      <c r="L5" s="692"/>
      <c r="M5" s="692"/>
      <c r="N5" s="692"/>
      <c r="O5" s="692"/>
      <c r="P5" s="692"/>
      <c r="Q5" s="692"/>
      <c r="R5" s="692"/>
      <c r="S5" s="693"/>
      <c r="T5" s="24"/>
      <c r="U5" s="25"/>
      <c r="V5" s="25"/>
      <c r="W5" s="25"/>
      <c r="X5" s="25"/>
      <c r="Y5" s="25"/>
      <c r="Z5" s="25"/>
      <c r="AA5" s="25"/>
      <c r="AB5" s="25"/>
      <c r="AC5" s="25"/>
      <c r="AD5" s="25"/>
      <c r="AE5" s="25"/>
      <c r="AF5" s="25"/>
      <c r="AG5" s="25"/>
      <c r="AH5" s="25"/>
      <c r="AI5" s="25"/>
      <c r="AJ5" s="25"/>
      <c r="AK5" s="25"/>
      <c r="AL5" s="26"/>
    </row>
    <row r="6" spans="1:41" x14ac:dyDescent="0.2">
      <c r="A6" s="27"/>
      <c r="B6" s="28"/>
      <c r="C6" s="28"/>
      <c r="D6" s="28"/>
      <c r="E6" s="28"/>
      <c r="F6" s="28"/>
      <c r="G6" s="28"/>
      <c r="H6" s="28"/>
      <c r="I6" s="28"/>
      <c r="J6" s="28"/>
      <c r="K6" s="28"/>
      <c r="L6" s="28"/>
      <c r="M6" s="28"/>
      <c r="N6" s="28"/>
      <c r="O6" s="28"/>
      <c r="P6" s="28"/>
      <c r="Q6" s="28"/>
      <c r="R6" s="28"/>
      <c r="S6" s="29"/>
      <c r="T6" s="30"/>
      <c r="U6" s="31"/>
      <c r="V6" s="31"/>
      <c r="W6" s="31"/>
      <c r="X6" s="31"/>
      <c r="Y6" s="31"/>
      <c r="Z6" s="31"/>
      <c r="AA6" s="31"/>
      <c r="AB6" s="31"/>
      <c r="AC6" s="31"/>
      <c r="AD6" s="31"/>
      <c r="AE6" s="31"/>
      <c r="AF6" s="31"/>
      <c r="AG6" s="31"/>
      <c r="AH6" s="31"/>
      <c r="AI6" s="31"/>
      <c r="AJ6" s="31"/>
      <c r="AK6" s="31"/>
      <c r="AL6" s="32"/>
    </row>
    <row r="7" spans="1:41" x14ac:dyDescent="0.2">
      <c r="A7" s="27"/>
      <c r="B7" s="28"/>
      <c r="C7" s="28"/>
      <c r="D7" s="28"/>
      <c r="E7" s="28"/>
      <c r="F7" s="28"/>
      <c r="G7" s="28"/>
      <c r="H7" s="28"/>
      <c r="I7" s="28"/>
      <c r="J7" s="28"/>
      <c r="K7" s="28"/>
      <c r="L7" s="28"/>
      <c r="M7" s="28"/>
      <c r="N7" s="28"/>
      <c r="O7" s="28"/>
      <c r="P7" s="28"/>
      <c r="Q7" s="28"/>
      <c r="R7" s="28"/>
      <c r="S7" s="29"/>
      <c r="T7" s="30"/>
      <c r="U7" s="31"/>
      <c r="V7" s="31"/>
      <c r="W7" s="31"/>
      <c r="X7" s="31"/>
      <c r="Y7" s="31"/>
      <c r="Z7" s="31"/>
      <c r="AA7" s="31"/>
      <c r="AB7" s="31"/>
      <c r="AC7" s="31"/>
      <c r="AD7" s="31"/>
      <c r="AE7" s="31"/>
      <c r="AF7" s="31"/>
      <c r="AG7" s="31"/>
      <c r="AH7" s="31"/>
      <c r="AI7" s="31"/>
      <c r="AJ7" s="31"/>
      <c r="AK7" s="31"/>
      <c r="AL7" s="32"/>
    </row>
    <row r="8" spans="1:41" x14ac:dyDescent="0.2">
      <c r="A8" s="27"/>
      <c r="B8" s="28"/>
      <c r="C8" s="28"/>
      <c r="D8" s="28"/>
      <c r="E8" s="28"/>
      <c r="F8" s="28"/>
      <c r="G8" s="28"/>
      <c r="H8" s="28"/>
      <c r="I8" s="28"/>
      <c r="J8" s="28"/>
      <c r="K8" s="28"/>
      <c r="L8" s="28"/>
      <c r="M8" s="28"/>
      <c r="N8" s="28"/>
      <c r="O8" s="28"/>
      <c r="P8" s="28"/>
      <c r="Q8" s="28"/>
      <c r="R8" s="28"/>
      <c r="S8" s="29"/>
      <c r="T8" s="30"/>
      <c r="U8" s="31"/>
      <c r="V8" s="31"/>
      <c r="W8" s="31"/>
      <c r="X8" s="31"/>
      <c r="Y8" s="31"/>
      <c r="Z8" s="31"/>
      <c r="AA8" s="31"/>
      <c r="AB8" s="31"/>
      <c r="AC8" s="31"/>
      <c r="AD8" s="31"/>
      <c r="AE8" s="31"/>
      <c r="AF8" s="31"/>
      <c r="AG8" s="31"/>
      <c r="AH8" s="31"/>
      <c r="AI8" s="31"/>
      <c r="AJ8" s="31"/>
      <c r="AK8" s="31"/>
      <c r="AL8" s="32"/>
    </row>
    <row r="9" spans="1:41" x14ac:dyDescent="0.2">
      <c r="A9" s="27"/>
      <c r="B9" s="28"/>
      <c r="C9" s="28"/>
      <c r="D9" s="28"/>
      <c r="E9" s="28"/>
      <c r="F9" s="31"/>
      <c r="G9" s="31"/>
      <c r="H9" s="28"/>
      <c r="I9" s="28"/>
      <c r="J9" s="28"/>
      <c r="K9" s="28"/>
      <c r="L9" s="28"/>
      <c r="M9" s="28"/>
      <c r="N9" s="28"/>
      <c r="O9" s="28"/>
      <c r="P9" s="28"/>
      <c r="Q9" s="28"/>
      <c r="R9" s="28"/>
      <c r="S9" s="29"/>
      <c r="T9" s="30"/>
      <c r="U9" s="31"/>
      <c r="V9" s="31"/>
      <c r="W9" s="31"/>
      <c r="X9" s="31"/>
      <c r="Y9" s="31"/>
      <c r="Z9" s="31"/>
      <c r="AA9" s="31"/>
      <c r="AB9" s="31"/>
      <c r="AC9" s="31"/>
      <c r="AD9" s="31"/>
      <c r="AE9" s="31"/>
      <c r="AF9" s="31"/>
      <c r="AG9" s="31"/>
      <c r="AH9" s="31"/>
      <c r="AI9" s="31"/>
      <c r="AJ9" s="31"/>
      <c r="AK9" s="31"/>
      <c r="AL9" s="32"/>
    </row>
    <row r="10" spans="1:41" x14ac:dyDescent="0.2">
      <c r="A10" s="27"/>
      <c r="B10" s="28"/>
      <c r="C10" s="28"/>
      <c r="D10" s="28"/>
      <c r="E10" s="28"/>
      <c r="F10" s="28"/>
      <c r="G10" s="28"/>
      <c r="H10" s="28"/>
      <c r="I10" s="28"/>
      <c r="J10" s="28"/>
      <c r="K10" s="28"/>
      <c r="L10" s="28"/>
      <c r="M10" s="28"/>
      <c r="N10" s="28"/>
      <c r="O10" s="28"/>
      <c r="P10" s="28"/>
      <c r="Q10" s="28"/>
      <c r="R10" s="28"/>
      <c r="S10" s="29"/>
      <c r="T10" s="30"/>
      <c r="U10" s="31"/>
      <c r="V10" s="31"/>
      <c r="W10" s="31"/>
      <c r="X10" s="31"/>
      <c r="Y10" s="31"/>
      <c r="Z10" s="31"/>
      <c r="AA10" s="31"/>
      <c r="AB10" s="31"/>
      <c r="AC10" s="31"/>
      <c r="AD10" s="31"/>
      <c r="AE10" s="31"/>
      <c r="AF10" s="31"/>
      <c r="AG10" s="31"/>
      <c r="AH10" s="31"/>
      <c r="AI10" s="31"/>
      <c r="AJ10" s="31"/>
      <c r="AK10" s="31"/>
      <c r="AL10" s="32"/>
    </row>
    <row r="11" spans="1:41" x14ac:dyDescent="0.2">
      <c r="A11" s="27"/>
      <c r="B11" s="28"/>
      <c r="C11" s="28"/>
      <c r="D11" s="28"/>
      <c r="E11" s="28"/>
      <c r="F11" s="28"/>
      <c r="G11" s="33" t="s">
        <v>101</v>
      </c>
      <c r="H11" s="28"/>
      <c r="I11" s="28"/>
      <c r="J11" s="28"/>
      <c r="K11" s="28"/>
      <c r="L11" s="28"/>
      <c r="M11" s="28"/>
      <c r="N11" s="28"/>
      <c r="O11" s="28"/>
      <c r="P11" s="28"/>
      <c r="Q11" s="28"/>
      <c r="R11" s="28"/>
      <c r="S11" s="29"/>
      <c r="T11" s="30"/>
      <c r="U11" s="31"/>
      <c r="V11" s="31"/>
      <c r="W11" s="31"/>
      <c r="X11" s="33"/>
      <c r="Y11" s="31"/>
      <c r="Z11" s="33" t="s">
        <v>101</v>
      </c>
      <c r="AA11" s="31"/>
      <c r="AB11" s="31"/>
      <c r="AC11" s="31"/>
      <c r="AD11" s="31"/>
      <c r="AE11" s="31"/>
      <c r="AF11" s="31"/>
      <c r="AG11" s="31"/>
      <c r="AH11" s="31"/>
      <c r="AI11" s="31"/>
      <c r="AJ11" s="31"/>
      <c r="AK11" s="31"/>
      <c r="AL11" s="32"/>
    </row>
    <row r="12" spans="1:41" x14ac:dyDescent="0.2">
      <c r="A12" s="27"/>
      <c r="B12" s="28"/>
      <c r="C12" s="28"/>
      <c r="D12" s="28"/>
      <c r="E12" s="28"/>
      <c r="F12" s="28"/>
      <c r="G12" s="28"/>
      <c r="H12" s="28"/>
      <c r="I12" s="28"/>
      <c r="J12" s="28"/>
      <c r="K12" s="28"/>
      <c r="L12" s="28"/>
      <c r="M12" s="28"/>
      <c r="N12" s="28"/>
      <c r="O12" s="28"/>
      <c r="P12" s="28"/>
      <c r="Q12" s="28"/>
      <c r="R12" s="28"/>
      <c r="S12" s="29"/>
      <c r="T12" s="30"/>
      <c r="U12" s="31"/>
      <c r="V12" s="31"/>
      <c r="W12" s="31"/>
      <c r="X12" s="31"/>
      <c r="Y12" s="31"/>
      <c r="Z12" s="31"/>
      <c r="AA12" s="31"/>
      <c r="AB12" s="31"/>
      <c r="AC12" s="31"/>
      <c r="AD12" s="31"/>
      <c r="AE12" s="31"/>
      <c r="AF12" s="31"/>
      <c r="AG12" s="31"/>
      <c r="AH12" s="31"/>
      <c r="AI12" s="31"/>
      <c r="AJ12" s="31"/>
      <c r="AK12" s="31"/>
      <c r="AL12" s="32"/>
    </row>
    <row r="13" spans="1:41" x14ac:dyDescent="0.2">
      <c r="A13" s="27"/>
      <c r="B13" s="28"/>
      <c r="C13" s="28"/>
      <c r="D13" s="28"/>
      <c r="E13" s="28"/>
      <c r="F13" s="28"/>
      <c r="G13" s="33" t="s">
        <v>282</v>
      </c>
      <c r="H13" s="28"/>
      <c r="I13" s="28"/>
      <c r="J13" s="28"/>
      <c r="K13" s="28"/>
      <c r="L13" s="28"/>
      <c r="M13" s="28"/>
      <c r="N13" s="28"/>
      <c r="O13" s="28"/>
      <c r="P13" s="28"/>
      <c r="Q13" s="28"/>
      <c r="R13" s="28"/>
      <c r="S13" s="29"/>
      <c r="T13" s="30"/>
      <c r="U13" s="31"/>
      <c r="V13" s="31"/>
      <c r="W13" s="31"/>
      <c r="X13" s="31"/>
      <c r="Y13" s="31"/>
      <c r="Z13" s="33" t="s">
        <v>282</v>
      </c>
      <c r="AA13" s="31"/>
      <c r="AB13" s="31"/>
      <c r="AC13" s="31"/>
      <c r="AD13" s="31"/>
      <c r="AE13" s="31"/>
      <c r="AF13" s="31"/>
      <c r="AG13" s="31"/>
      <c r="AH13" s="31"/>
      <c r="AI13" s="31"/>
      <c r="AJ13" s="31"/>
      <c r="AK13" s="31"/>
      <c r="AL13" s="32"/>
    </row>
    <row r="14" spans="1:41" x14ac:dyDescent="0.2">
      <c r="A14" s="27"/>
      <c r="B14" s="28"/>
      <c r="C14" s="28"/>
      <c r="D14" s="28"/>
      <c r="E14" s="28"/>
      <c r="F14" s="28"/>
      <c r="G14" s="28"/>
      <c r="H14" s="28"/>
      <c r="I14" s="28"/>
      <c r="J14" s="28"/>
      <c r="K14" s="28"/>
      <c r="L14" s="28"/>
      <c r="M14" s="28"/>
      <c r="N14" s="28"/>
      <c r="O14" s="28"/>
      <c r="P14" s="28"/>
      <c r="Q14" s="28"/>
      <c r="R14" s="28"/>
      <c r="S14" s="29"/>
      <c r="T14" s="30"/>
      <c r="U14" s="31"/>
      <c r="V14" s="31"/>
      <c r="W14" s="31"/>
      <c r="X14" s="31"/>
      <c r="Y14" s="31"/>
      <c r="Z14" s="31"/>
      <c r="AA14" s="31"/>
      <c r="AB14" s="31"/>
      <c r="AC14" s="31"/>
      <c r="AD14" s="31"/>
      <c r="AE14" s="31"/>
      <c r="AF14" s="31"/>
      <c r="AG14" s="31"/>
      <c r="AH14" s="31"/>
      <c r="AI14" s="31"/>
      <c r="AJ14" s="31"/>
      <c r="AK14" s="31"/>
      <c r="AL14" s="32"/>
    </row>
    <row r="15" spans="1:41" x14ac:dyDescent="0.2">
      <c r="A15" s="27"/>
      <c r="B15" s="28"/>
      <c r="C15" s="28"/>
      <c r="D15" s="28"/>
      <c r="E15" s="28"/>
      <c r="F15" s="28"/>
      <c r="G15" s="28"/>
      <c r="H15" s="28"/>
      <c r="I15" s="28"/>
      <c r="J15" s="28"/>
      <c r="K15" s="28"/>
      <c r="L15" s="28"/>
      <c r="M15" s="28"/>
      <c r="N15" s="28"/>
      <c r="O15" s="28"/>
      <c r="P15" s="28"/>
      <c r="Q15" s="28"/>
      <c r="R15" s="28"/>
      <c r="S15" s="29"/>
      <c r="T15" s="30"/>
      <c r="U15" s="31"/>
      <c r="V15" s="31"/>
      <c r="W15" s="31"/>
      <c r="X15" s="31"/>
      <c r="Y15" s="31"/>
      <c r="Z15" s="31"/>
      <c r="AA15" s="31"/>
      <c r="AB15" s="31"/>
      <c r="AC15" s="31"/>
      <c r="AD15" s="31"/>
      <c r="AE15" s="31"/>
      <c r="AF15" s="31"/>
      <c r="AG15" s="31"/>
      <c r="AH15" s="31"/>
      <c r="AI15" s="31"/>
      <c r="AJ15" s="31"/>
      <c r="AK15" s="31"/>
      <c r="AL15" s="32"/>
    </row>
    <row r="16" spans="1:41" x14ac:dyDescent="0.2">
      <c r="A16" s="27"/>
      <c r="B16" s="28"/>
      <c r="C16" s="28"/>
      <c r="D16" s="28"/>
      <c r="E16" s="28"/>
      <c r="F16" s="28"/>
      <c r="G16" s="28"/>
      <c r="H16" s="28"/>
      <c r="I16" s="28"/>
      <c r="J16" s="28"/>
      <c r="K16" s="28"/>
      <c r="L16" s="28"/>
      <c r="M16" s="28"/>
      <c r="N16" s="28"/>
      <c r="O16" s="28"/>
      <c r="P16" s="28"/>
      <c r="Q16" s="28"/>
      <c r="R16" s="28"/>
      <c r="S16" s="29"/>
      <c r="T16" s="30"/>
      <c r="U16" s="31"/>
      <c r="V16" s="31"/>
      <c r="W16" s="31"/>
      <c r="X16" s="31"/>
      <c r="Y16" s="31"/>
      <c r="Z16" s="31"/>
      <c r="AA16" s="31"/>
      <c r="AB16" s="31"/>
      <c r="AC16" s="31"/>
      <c r="AD16" s="31"/>
      <c r="AE16" s="31"/>
      <c r="AF16" s="31"/>
      <c r="AG16" s="31"/>
      <c r="AH16" s="31"/>
      <c r="AI16" s="31"/>
      <c r="AJ16" s="31"/>
      <c r="AK16" s="31"/>
      <c r="AL16" s="32"/>
    </row>
    <row r="17" spans="1:38" x14ac:dyDescent="0.2">
      <c r="A17" s="27"/>
      <c r="B17" s="28"/>
      <c r="C17" s="28"/>
      <c r="D17" s="28"/>
      <c r="E17" s="28"/>
      <c r="F17" s="28"/>
      <c r="G17" s="28"/>
      <c r="H17" s="28"/>
      <c r="I17" s="28"/>
      <c r="J17" s="28"/>
      <c r="K17" s="28"/>
      <c r="L17" s="28"/>
      <c r="M17" s="28"/>
      <c r="N17" s="28"/>
      <c r="O17" s="28"/>
      <c r="P17" s="28"/>
      <c r="Q17" s="28"/>
      <c r="R17" s="28"/>
      <c r="S17" s="29"/>
      <c r="T17" s="30"/>
      <c r="U17" s="31"/>
      <c r="V17" s="31"/>
      <c r="W17" s="31"/>
      <c r="X17" s="31"/>
      <c r="Y17" s="31"/>
      <c r="Z17" s="31"/>
      <c r="AA17" s="31"/>
      <c r="AB17" s="31"/>
      <c r="AC17" s="31"/>
      <c r="AD17" s="31"/>
      <c r="AE17" s="31"/>
      <c r="AF17" s="31"/>
      <c r="AG17" s="31"/>
      <c r="AH17" s="31"/>
      <c r="AI17" s="31"/>
      <c r="AJ17" s="31"/>
      <c r="AK17" s="31"/>
      <c r="AL17" s="32"/>
    </row>
    <row r="18" spans="1:38" x14ac:dyDescent="0.2">
      <c r="A18" s="34"/>
      <c r="B18" s="35"/>
      <c r="C18" s="35"/>
      <c r="D18" s="35"/>
      <c r="E18" s="36"/>
      <c r="F18" s="36"/>
      <c r="G18" s="35"/>
      <c r="H18" s="36"/>
      <c r="I18" s="35"/>
      <c r="J18" s="35"/>
      <c r="K18" s="35"/>
      <c r="L18" s="35"/>
      <c r="M18" s="35"/>
      <c r="N18" s="35"/>
      <c r="O18" s="35"/>
      <c r="P18" s="35"/>
      <c r="Q18" s="35"/>
      <c r="R18" s="35"/>
      <c r="S18" s="37"/>
      <c r="T18" s="38"/>
      <c r="U18" s="36"/>
      <c r="V18" s="36"/>
      <c r="W18" s="36"/>
      <c r="X18" s="36"/>
      <c r="Y18" s="36"/>
      <c r="Z18" s="36"/>
      <c r="AA18" s="36"/>
      <c r="AB18" s="36"/>
      <c r="AC18" s="36"/>
      <c r="AD18" s="36"/>
      <c r="AE18" s="36"/>
      <c r="AF18" s="36"/>
      <c r="AG18" s="36"/>
      <c r="AH18" s="36"/>
      <c r="AI18" s="36"/>
      <c r="AJ18" s="36"/>
      <c r="AK18" s="36"/>
      <c r="AL18" s="39"/>
    </row>
    <row r="19" spans="1:38" x14ac:dyDescent="0.2">
      <c r="A19" s="13" t="s">
        <v>634</v>
      </c>
      <c r="B19" s="10"/>
      <c r="C19" s="10"/>
      <c r="D19" s="10"/>
      <c r="E19" s="10"/>
      <c r="F19" s="10"/>
      <c r="G19" s="10"/>
      <c r="H19" s="10"/>
      <c r="I19" s="10"/>
      <c r="J19" s="10"/>
      <c r="K19" s="10"/>
      <c r="L19" s="10"/>
      <c r="M19" s="10"/>
      <c r="N19" s="10"/>
      <c r="O19" s="10"/>
      <c r="P19" s="10"/>
      <c r="Q19" s="10"/>
      <c r="R19" s="10"/>
      <c r="S19" s="11"/>
      <c r="T19" s="14" t="s">
        <v>595</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312"/>
      <c r="B21" s="313"/>
      <c r="C21" s="313"/>
      <c r="D21" s="313"/>
      <c r="E21" s="313"/>
      <c r="F21" s="313"/>
      <c r="G21" s="313"/>
      <c r="H21" s="313"/>
      <c r="I21" s="313"/>
      <c r="J21" s="313"/>
      <c r="K21" s="313"/>
      <c r="L21" s="313"/>
      <c r="M21" s="313"/>
      <c r="N21" s="313"/>
      <c r="O21" s="313"/>
      <c r="P21" s="313"/>
      <c r="Q21" s="313"/>
      <c r="R21" s="313"/>
      <c r="S21" s="314"/>
      <c r="T21" s="24"/>
      <c r="U21" s="25"/>
      <c r="V21" s="25"/>
      <c r="W21" s="25"/>
      <c r="X21" s="25"/>
      <c r="Y21" s="25"/>
      <c r="Z21" s="25"/>
      <c r="AA21" s="25"/>
      <c r="AB21" s="25"/>
      <c r="AC21" s="25"/>
      <c r="AD21" s="25"/>
      <c r="AE21" s="25"/>
      <c r="AF21" s="25"/>
      <c r="AG21" s="25"/>
      <c r="AH21" s="25"/>
      <c r="AI21" s="25"/>
      <c r="AJ21" s="25"/>
      <c r="AK21" s="25"/>
      <c r="AL21" s="26"/>
    </row>
    <row r="22" spans="1:38" x14ac:dyDescent="0.2">
      <c r="A22" s="48"/>
      <c r="B22" s="68"/>
      <c r="C22" s="68"/>
      <c r="D22" s="68"/>
      <c r="E22" s="68"/>
      <c r="F22" s="68"/>
      <c r="G22" s="68"/>
      <c r="H22" s="68"/>
      <c r="I22" s="68"/>
      <c r="J22" s="68"/>
      <c r="K22" s="68"/>
      <c r="L22" s="68"/>
      <c r="M22" s="68"/>
      <c r="N22" s="68"/>
      <c r="O22" s="68"/>
      <c r="P22" s="68"/>
      <c r="Q22" s="68"/>
      <c r="R22" s="68"/>
      <c r="S22" s="310"/>
      <c r="T22" s="30"/>
      <c r="U22" s="31"/>
      <c r="V22" s="31"/>
      <c r="W22" s="31"/>
      <c r="X22" s="31"/>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ht="12.75" customHeight="1" x14ac:dyDescent="0.2">
      <c r="A25" s="48"/>
      <c r="B25" s="68"/>
      <c r="C25" s="68"/>
      <c r="D25" s="68"/>
      <c r="E25" s="68"/>
      <c r="F25" s="267"/>
      <c r="G25" s="68"/>
      <c r="H25" s="68"/>
      <c r="I25" s="68"/>
      <c r="J25" s="68"/>
      <c r="K25" s="68"/>
      <c r="L25" s="68"/>
      <c r="M25" s="68"/>
      <c r="N25" s="68"/>
      <c r="O25" s="68"/>
      <c r="P25" s="68"/>
      <c r="Q25" s="68"/>
      <c r="R25" s="68"/>
      <c r="S25" s="310"/>
      <c r="T25" s="30"/>
      <c r="U25" s="31"/>
      <c r="V25" s="31"/>
      <c r="W25" s="268"/>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268"/>
      <c r="X26" s="31"/>
      <c r="Y26" s="31"/>
      <c r="Z26" s="31"/>
      <c r="AA26" s="31"/>
      <c r="AB26" s="31"/>
      <c r="AC26" s="31"/>
      <c r="AD26" s="31"/>
      <c r="AE26" s="31"/>
      <c r="AF26" s="31"/>
      <c r="AG26" s="31"/>
      <c r="AH26" s="31"/>
      <c r="AI26" s="31"/>
      <c r="AJ26" s="31"/>
      <c r="AK26" s="31"/>
      <c r="AL26" s="32"/>
    </row>
    <row r="27" spans="1:38" x14ac:dyDescent="0.2">
      <c r="A27" s="48"/>
      <c r="B27" s="68"/>
      <c r="C27" s="68"/>
      <c r="D27" s="68"/>
      <c r="E27" s="68"/>
      <c r="F27" s="261"/>
      <c r="G27" s="68"/>
      <c r="H27" s="68"/>
      <c r="I27" s="68"/>
      <c r="J27" s="68"/>
      <c r="K27" s="68"/>
      <c r="L27" s="68"/>
      <c r="M27" s="68"/>
      <c r="N27" s="68"/>
      <c r="O27" s="68"/>
      <c r="P27" s="68"/>
      <c r="Q27" s="68"/>
      <c r="R27" s="68"/>
      <c r="S27" s="310"/>
      <c r="T27" s="30"/>
      <c r="U27" s="31"/>
      <c r="V27" s="31"/>
      <c r="W27" s="268"/>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33" t="s">
        <v>103</v>
      </c>
      <c r="H32" s="68"/>
      <c r="I32" s="68"/>
      <c r="J32" s="68"/>
      <c r="K32" s="68"/>
      <c r="L32" s="68"/>
      <c r="M32" s="68"/>
      <c r="N32" s="68"/>
      <c r="O32" s="68"/>
      <c r="P32" s="68"/>
      <c r="Q32" s="68"/>
      <c r="R32" s="68"/>
      <c r="S32" s="310"/>
      <c r="T32" s="30"/>
      <c r="U32" s="31"/>
      <c r="V32" s="31"/>
      <c r="W32" s="31"/>
      <c r="X32" s="31"/>
      <c r="Y32" s="31"/>
      <c r="Z32" s="33" t="s">
        <v>103</v>
      </c>
      <c r="AA32" s="31"/>
      <c r="AB32" s="31"/>
      <c r="AC32" s="31"/>
      <c r="AD32" s="31"/>
      <c r="AE32" s="31"/>
      <c r="AF32" s="31"/>
      <c r="AG32" s="31"/>
      <c r="AH32" s="31"/>
      <c r="AI32" s="31"/>
      <c r="AJ32" s="31"/>
      <c r="AK32" s="31"/>
      <c r="AL32" s="32"/>
    </row>
    <row r="33" spans="1:38" x14ac:dyDescent="0.2">
      <c r="A33" s="48"/>
      <c r="B33" s="68"/>
      <c r="C33" s="68"/>
      <c r="D33" s="33"/>
      <c r="E33" s="68"/>
      <c r="F33" s="68"/>
      <c r="G33" s="68"/>
      <c r="H33" s="68"/>
      <c r="I33" s="68"/>
      <c r="J33" s="68"/>
      <c r="K33" s="68"/>
      <c r="L33" s="68"/>
      <c r="M33" s="68"/>
      <c r="N33" s="68"/>
      <c r="O33" s="68"/>
      <c r="P33" s="68"/>
      <c r="Q33" s="68"/>
      <c r="R33" s="68"/>
      <c r="S33" s="310"/>
      <c r="T33" s="30"/>
      <c r="U33" s="31"/>
      <c r="V33" s="31"/>
      <c r="W33" s="31"/>
      <c r="X33" s="31"/>
      <c r="Y33" s="31"/>
      <c r="Z33" s="31"/>
      <c r="AA33" s="31"/>
      <c r="AB33" s="31"/>
      <c r="AC33" s="31"/>
      <c r="AD33" s="31"/>
      <c r="AE33" s="31"/>
      <c r="AF33" s="31"/>
      <c r="AG33" s="31"/>
      <c r="AH33" s="31"/>
      <c r="AI33" s="31"/>
      <c r="AJ33" s="31"/>
      <c r="AK33" s="31"/>
      <c r="AL33" s="32"/>
    </row>
    <row r="34" spans="1:38" x14ac:dyDescent="0.2">
      <c r="A34" s="48"/>
      <c r="B34" s="68"/>
      <c r="C34" s="68"/>
      <c r="D34" s="68"/>
      <c r="E34" s="68"/>
      <c r="F34" s="68"/>
      <c r="G34" s="33" t="s">
        <v>380</v>
      </c>
      <c r="H34" s="68"/>
      <c r="I34" s="68"/>
      <c r="J34" s="68"/>
      <c r="K34" s="68"/>
      <c r="L34" s="68"/>
      <c r="M34" s="68"/>
      <c r="N34" s="68"/>
      <c r="O34" s="68"/>
      <c r="P34" s="68"/>
      <c r="Q34" s="68"/>
      <c r="R34" s="68"/>
      <c r="S34" s="310"/>
      <c r="T34" s="30"/>
      <c r="U34" s="31"/>
      <c r="V34" s="31"/>
      <c r="W34" s="31"/>
      <c r="X34" s="31"/>
      <c r="Y34" s="31"/>
      <c r="Z34" s="33" t="s">
        <v>380</v>
      </c>
      <c r="AA34" s="31"/>
      <c r="AB34" s="31"/>
      <c r="AC34" s="31"/>
      <c r="AD34" s="31"/>
      <c r="AE34" s="31"/>
      <c r="AF34" s="31"/>
      <c r="AG34" s="31"/>
      <c r="AH34" s="31"/>
      <c r="AI34" s="31"/>
      <c r="AJ34" s="31"/>
      <c r="AK34" s="31"/>
      <c r="AL34" s="32"/>
    </row>
    <row r="35" spans="1:38" x14ac:dyDescent="0.2">
      <c r="A35" s="48"/>
      <c r="B35" s="68"/>
      <c r="C35" s="68"/>
      <c r="D35" s="68"/>
      <c r="E35" s="68"/>
      <c r="F35" s="68"/>
      <c r="G35" s="68"/>
      <c r="H35" s="68"/>
      <c r="I35" s="68"/>
      <c r="J35" s="68"/>
      <c r="K35" s="68"/>
      <c r="L35" s="68"/>
      <c r="M35" s="68"/>
      <c r="N35" s="68"/>
      <c r="O35" s="68"/>
      <c r="P35" s="68"/>
      <c r="Q35" s="68"/>
      <c r="R35" s="68"/>
      <c r="S35" s="310"/>
      <c r="T35" s="30"/>
      <c r="U35" s="31"/>
      <c r="V35" s="31"/>
      <c r="W35" s="31"/>
      <c r="X35" s="31"/>
      <c r="Y35" s="31"/>
      <c r="Z35" s="31"/>
      <c r="AA35" s="31"/>
      <c r="AB35" s="31"/>
      <c r="AC35" s="31"/>
      <c r="AD35" s="31"/>
      <c r="AE35" s="31"/>
      <c r="AF35" s="31"/>
      <c r="AG35" s="31"/>
      <c r="AH35" s="31"/>
      <c r="AI35" s="31"/>
      <c r="AJ35" s="31"/>
      <c r="AK35" s="31"/>
      <c r="AL35" s="32"/>
    </row>
    <row r="36" spans="1:38" x14ac:dyDescent="0.2">
      <c r="A36" s="48"/>
      <c r="B36" s="68"/>
      <c r="C36" s="68"/>
      <c r="D36" s="68"/>
      <c r="E36" s="68"/>
      <c r="F36" s="68"/>
      <c r="G36" s="68"/>
      <c r="H36" s="68"/>
      <c r="I36" s="68"/>
      <c r="J36" s="68"/>
      <c r="K36" s="68"/>
      <c r="L36" s="68"/>
      <c r="M36" s="68"/>
      <c r="N36" s="68"/>
      <c r="O36" s="68"/>
      <c r="P36" s="68"/>
      <c r="Q36" s="68"/>
      <c r="R36" s="68"/>
      <c r="S36" s="310"/>
      <c r="T36" s="30"/>
      <c r="U36" s="31"/>
      <c r="V36" s="31"/>
      <c r="W36" s="31"/>
      <c r="X36" s="31"/>
      <c r="Y36" s="31"/>
      <c r="Z36" s="31"/>
      <c r="AA36" s="31"/>
      <c r="AB36" s="31"/>
      <c r="AC36" s="31"/>
      <c r="AD36" s="31"/>
      <c r="AE36" s="31"/>
      <c r="AF36" s="31"/>
      <c r="AG36" s="31"/>
      <c r="AH36" s="31"/>
      <c r="AI36" s="31"/>
      <c r="AJ36" s="31"/>
      <c r="AK36" s="31"/>
      <c r="AL36" s="32"/>
    </row>
    <row r="37" spans="1:38" x14ac:dyDescent="0.2">
      <c r="A37" s="48"/>
      <c r="B37" s="68"/>
      <c r="C37" s="68"/>
      <c r="D37" s="68"/>
      <c r="E37" s="68"/>
      <c r="F37" s="68"/>
      <c r="G37" s="68"/>
      <c r="H37" s="68"/>
      <c r="I37" s="68"/>
      <c r="J37" s="68"/>
      <c r="K37" s="68"/>
      <c r="L37" s="68"/>
      <c r="M37" s="68"/>
      <c r="N37" s="68"/>
      <c r="O37" s="68"/>
      <c r="P37" s="68"/>
      <c r="Q37" s="68"/>
      <c r="R37" s="68"/>
      <c r="S37" s="310"/>
      <c r="T37" s="30"/>
      <c r="U37" s="31"/>
      <c r="V37" s="31"/>
      <c r="W37" s="31"/>
      <c r="X37" s="31"/>
      <c r="Y37" s="31"/>
      <c r="Z37" s="31"/>
      <c r="AA37" s="31"/>
      <c r="AB37" s="31"/>
      <c r="AC37" s="31"/>
      <c r="AD37" s="31"/>
      <c r="AE37" s="31"/>
      <c r="AF37" s="31"/>
      <c r="AG37" s="31"/>
      <c r="AH37" s="31"/>
      <c r="AI37" s="31"/>
      <c r="AJ37" s="31"/>
      <c r="AK37" s="31"/>
      <c r="AL37" s="32"/>
    </row>
    <row r="38" spans="1:38" x14ac:dyDescent="0.2">
      <c r="A38" s="48"/>
      <c r="B38" s="68"/>
      <c r="C38" s="68"/>
      <c r="D38" s="68"/>
      <c r="E38" s="68"/>
      <c r="F38" s="68"/>
      <c r="G38" s="68"/>
      <c r="H38" s="68"/>
      <c r="I38" s="68"/>
      <c r="J38" s="68"/>
      <c r="K38" s="68"/>
      <c r="L38" s="68"/>
      <c r="M38" s="68"/>
      <c r="N38" s="68"/>
      <c r="O38" s="68"/>
      <c r="P38" s="68"/>
      <c r="Q38" s="68"/>
      <c r="R38" s="68"/>
      <c r="S38" s="310"/>
      <c r="T38" s="30"/>
      <c r="U38" s="31"/>
      <c r="V38" s="31"/>
      <c r="W38" s="31"/>
      <c r="X38" s="31"/>
      <c r="Y38" s="31"/>
      <c r="Z38" s="31"/>
      <c r="AA38" s="31"/>
      <c r="AB38" s="31"/>
      <c r="AC38" s="31"/>
      <c r="AD38" s="31"/>
      <c r="AE38" s="31"/>
      <c r="AF38" s="31"/>
      <c r="AG38" s="31"/>
      <c r="AH38" s="31"/>
      <c r="AI38" s="31"/>
      <c r="AJ38" s="31"/>
      <c r="AK38" s="31"/>
      <c r="AL38" s="32"/>
    </row>
    <row r="39" spans="1:38" x14ac:dyDescent="0.2">
      <c r="A39" s="48"/>
      <c r="B39" s="68"/>
      <c r="C39" s="68"/>
      <c r="D39" s="68"/>
      <c r="E39" s="68"/>
      <c r="F39" s="68"/>
      <c r="G39" s="68"/>
      <c r="H39" s="68"/>
      <c r="I39" s="68"/>
      <c r="J39" s="68"/>
      <c r="K39" s="68"/>
      <c r="L39" s="68"/>
      <c r="M39" s="68"/>
      <c r="N39" s="68"/>
      <c r="O39" s="68"/>
      <c r="P39" s="68"/>
      <c r="Q39" s="68"/>
      <c r="R39" s="68"/>
      <c r="S39" s="310"/>
      <c r="T39" s="30"/>
      <c r="U39" s="31"/>
      <c r="V39" s="31"/>
      <c r="W39" s="31"/>
      <c r="X39" s="31"/>
      <c r="Y39" s="31"/>
      <c r="Z39" s="31"/>
      <c r="AA39" s="31"/>
      <c r="AB39" s="31"/>
      <c r="AC39" s="31"/>
      <c r="AD39" s="31"/>
      <c r="AE39" s="31"/>
      <c r="AF39" s="31"/>
      <c r="AG39" s="31"/>
      <c r="AH39" s="31"/>
      <c r="AI39" s="31"/>
      <c r="AJ39" s="31"/>
      <c r="AK39" s="31"/>
      <c r="AL39" s="32"/>
    </row>
    <row r="40" spans="1:38" x14ac:dyDescent="0.2">
      <c r="A40" s="48"/>
      <c r="B40" s="68"/>
      <c r="C40" s="68"/>
      <c r="D40" s="68"/>
      <c r="E40" s="68"/>
      <c r="F40" s="68"/>
      <c r="G40" s="68"/>
      <c r="H40" s="68"/>
      <c r="I40" s="68"/>
      <c r="J40" s="68"/>
      <c r="K40" s="68"/>
      <c r="L40" s="68"/>
      <c r="M40" s="68"/>
      <c r="N40" s="68"/>
      <c r="O40" s="68"/>
      <c r="P40" s="68"/>
      <c r="Q40" s="68"/>
      <c r="R40" s="68"/>
      <c r="S40" s="310"/>
      <c r="T40" s="30"/>
      <c r="U40" s="31"/>
      <c r="V40" s="31"/>
      <c r="W40" s="31"/>
      <c r="X40" s="31"/>
      <c r="Y40" s="31"/>
      <c r="Z40" s="31"/>
      <c r="AA40" s="31"/>
      <c r="AB40" s="31"/>
      <c r="AC40" s="31"/>
      <c r="AD40" s="31"/>
      <c r="AE40" s="31"/>
      <c r="AF40" s="31"/>
      <c r="AG40" s="31"/>
      <c r="AH40" s="31"/>
      <c r="AI40" s="31"/>
      <c r="AJ40" s="31"/>
      <c r="AK40" s="31"/>
      <c r="AL40" s="32"/>
    </row>
    <row r="41" spans="1:38" x14ac:dyDescent="0.2">
      <c r="A41" s="48"/>
      <c r="B41" s="68"/>
      <c r="C41" s="68"/>
      <c r="D41" s="68"/>
      <c r="E41" s="68"/>
      <c r="F41" s="68"/>
      <c r="G41" s="68"/>
      <c r="H41" s="68"/>
      <c r="I41" s="68"/>
      <c r="J41" s="68"/>
      <c r="K41" s="68"/>
      <c r="L41" s="68"/>
      <c r="M41" s="68"/>
      <c r="N41" s="68"/>
      <c r="O41" s="68"/>
      <c r="P41" s="68"/>
      <c r="Q41" s="68"/>
      <c r="R41" s="68"/>
      <c r="S41" s="310"/>
      <c r="T41" s="30"/>
      <c r="U41" s="31"/>
      <c r="V41" s="31"/>
      <c r="W41" s="31"/>
      <c r="X41" s="31"/>
      <c r="Y41" s="31"/>
      <c r="Z41" s="31"/>
      <c r="AA41" s="31"/>
      <c r="AB41" s="31"/>
      <c r="AC41" s="31"/>
      <c r="AD41" s="31"/>
      <c r="AE41" s="31"/>
      <c r="AF41" s="31"/>
      <c r="AG41" s="31"/>
      <c r="AH41" s="31"/>
      <c r="AI41" s="31"/>
      <c r="AJ41" s="31"/>
      <c r="AK41" s="31"/>
      <c r="AL41" s="32"/>
    </row>
    <row r="42" spans="1:38" x14ac:dyDescent="0.2">
      <c r="A42" s="50"/>
      <c r="B42" s="51"/>
      <c r="C42" s="51"/>
      <c r="D42" s="51"/>
      <c r="E42" s="51"/>
      <c r="F42" s="51"/>
      <c r="G42" s="51"/>
      <c r="H42" s="51"/>
      <c r="I42" s="51"/>
      <c r="J42" s="51"/>
      <c r="K42" s="51"/>
      <c r="L42" s="51"/>
      <c r="M42" s="51"/>
      <c r="N42" s="51"/>
      <c r="O42" s="51"/>
      <c r="P42" s="51"/>
      <c r="Q42" s="51"/>
      <c r="R42" s="51"/>
      <c r="S42" s="311"/>
      <c r="T42" s="38"/>
      <c r="U42" s="36"/>
      <c r="V42" s="36"/>
      <c r="W42" s="36"/>
      <c r="X42" s="36"/>
      <c r="Y42" s="36"/>
      <c r="Z42" s="36"/>
      <c r="AA42" s="36"/>
      <c r="AB42" s="36"/>
      <c r="AC42" s="36"/>
      <c r="AD42" s="36"/>
      <c r="AE42" s="36"/>
      <c r="AF42" s="36"/>
      <c r="AG42" s="36"/>
      <c r="AH42" s="36"/>
      <c r="AI42" s="36"/>
      <c r="AJ42" s="36"/>
      <c r="AK42" s="36"/>
      <c r="AL42" s="39"/>
    </row>
    <row r="43" spans="1:38" x14ac:dyDescent="0.2">
      <c r="A43" s="130" t="s">
        <v>635</v>
      </c>
      <c r="B43" s="131"/>
      <c r="C43" s="131"/>
      <c r="D43" s="131"/>
      <c r="E43" s="131"/>
      <c r="F43" s="131"/>
      <c r="G43" s="131"/>
      <c r="H43" s="131"/>
      <c r="I43" s="131"/>
      <c r="J43" s="131"/>
      <c r="K43" s="131"/>
      <c r="L43" s="131"/>
      <c r="M43" s="131"/>
      <c r="N43" s="131"/>
      <c r="O43" s="131"/>
      <c r="P43" s="131"/>
      <c r="Q43" s="131"/>
      <c r="R43" s="131"/>
      <c r="S43" s="132"/>
      <c r="T43" s="130" t="s">
        <v>596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374</v>
      </c>
      <c r="B45" s="131"/>
      <c r="C45" s="131"/>
      <c r="D45" s="131"/>
      <c r="E45" s="131"/>
      <c r="F45" s="131"/>
      <c r="G45" s="131"/>
      <c r="H45" s="131"/>
      <c r="I45" s="131"/>
      <c r="J45" s="131"/>
      <c r="K45" s="131"/>
      <c r="L45" s="131"/>
      <c r="M45" s="131"/>
      <c r="N45" s="131"/>
      <c r="O45" s="131"/>
      <c r="P45" s="131"/>
      <c r="Q45" s="131"/>
      <c r="R45" s="131"/>
      <c r="S45" s="132"/>
      <c r="T45" s="135" t="s">
        <v>105</v>
      </c>
      <c r="U45" s="133"/>
      <c r="V45" s="133"/>
      <c r="W45" s="133"/>
      <c r="X45" s="133"/>
      <c r="Y45" s="133"/>
      <c r="Z45" s="133"/>
      <c r="AA45" s="133"/>
      <c r="AB45" s="133"/>
      <c r="AC45" s="133"/>
      <c r="AD45" s="133"/>
      <c r="AE45" s="133"/>
      <c r="AF45" s="133"/>
      <c r="AG45" s="133"/>
      <c r="AH45" s="133"/>
      <c r="AI45" s="133"/>
      <c r="AJ45" s="133"/>
      <c r="AK45" s="133"/>
      <c r="AL45" s="134"/>
    </row>
    <row r="46" spans="1:38" x14ac:dyDescent="0.2">
      <c r="A46" s="282" t="s">
        <v>375</v>
      </c>
      <c r="B46" s="136"/>
      <c r="C46" s="136"/>
      <c r="D46" s="136"/>
      <c r="E46" s="136"/>
      <c r="F46" s="136"/>
      <c r="G46" s="136"/>
      <c r="H46" s="136"/>
      <c r="I46" s="136"/>
      <c r="J46" s="136"/>
      <c r="K46" s="136"/>
      <c r="L46" s="136"/>
      <c r="M46" s="136"/>
      <c r="N46" s="136"/>
      <c r="O46" s="136"/>
      <c r="P46" s="136"/>
      <c r="Q46" s="136"/>
      <c r="R46" s="136"/>
      <c r="S46" s="137"/>
      <c r="U46" s="136"/>
      <c r="V46" s="136"/>
      <c r="W46" s="136"/>
      <c r="X46" s="136"/>
      <c r="Y46" s="136"/>
      <c r="Z46" s="136"/>
      <c r="AA46" s="136"/>
      <c r="AB46" s="136"/>
      <c r="AC46" s="136"/>
      <c r="AD46" s="136"/>
      <c r="AE46" s="136"/>
      <c r="AF46" s="136"/>
      <c r="AG46" s="136"/>
      <c r="AH46" s="136"/>
      <c r="AI46" s="136"/>
      <c r="AJ46" s="136"/>
      <c r="AK46" s="136"/>
      <c r="AL46" s="137"/>
    </row>
    <row r="47" spans="1:38" ht="14.25" customHeight="1" x14ac:dyDescent="0.2">
      <c r="A47" s="683" t="s">
        <v>111</v>
      </c>
      <c r="B47" s="684"/>
      <c r="C47" s="689">
        <v>0</v>
      </c>
      <c r="D47" s="690"/>
      <c r="E47" s="684" t="s">
        <v>112</v>
      </c>
      <c r="F47" s="684"/>
      <c r="G47" s="689">
        <v>0</v>
      </c>
      <c r="H47" s="690"/>
      <c r="I47" s="138"/>
      <c r="J47" s="136"/>
      <c r="K47" s="136"/>
      <c r="L47" s="136"/>
      <c r="M47" s="139" t="s">
        <v>148</v>
      </c>
      <c r="N47" s="712">
        <f>IF(C48&gt;0,(((G48-G47)/(C48-C47))^-1-IF(AG56&gt;0,AG56^-1,0))^-1,0)</f>
        <v>0</v>
      </c>
      <c r="O47" s="713"/>
      <c r="P47" s="714">
        <f>2/3*((48*'T2.16.1 T2.16.2 SIS'!C27/0.000013)/(C57^3))</f>
        <v>196.3827341538462</v>
      </c>
      <c r="Q47" s="715"/>
      <c r="R47" s="715"/>
      <c r="S47" s="137"/>
      <c r="T47" s="683" t="s">
        <v>111</v>
      </c>
      <c r="U47" s="684"/>
      <c r="V47" s="689">
        <v>0</v>
      </c>
      <c r="W47" s="690"/>
      <c r="X47" s="684" t="s">
        <v>112</v>
      </c>
      <c r="Y47" s="684"/>
      <c r="Z47" s="689">
        <v>0</v>
      </c>
      <c r="AA47" s="690"/>
      <c r="AB47" s="138"/>
      <c r="AC47" s="136"/>
      <c r="AD47" s="136"/>
      <c r="AE47" s="136"/>
      <c r="AF47" s="139" t="s">
        <v>148</v>
      </c>
      <c r="AG47" s="666">
        <f>IF((V48-V47)&gt;0,(Z48-Z47)/(V48-V47),0)</f>
        <v>0</v>
      </c>
      <c r="AH47" s="667"/>
      <c r="AI47" s="136"/>
      <c r="AJ47" s="136"/>
      <c r="AK47" s="136"/>
      <c r="AL47" s="137"/>
    </row>
    <row r="48" spans="1:38" ht="14.25" customHeight="1" x14ac:dyDescent="0.2">
      <c r="A48" s="683" t="s">
        <v>113</v>
      </c>
      <c r="B48" s="684"/>
      <c r="C48" s="689">
        <v>0</v>
      </c>
      <c r="D48" s="690"/>
      <c r="E48" s="684" t="s">
        <v>114</v>
      </c>
      <c r="F48" s="684"/>
      <c r="G48" s="689">
        <v>0</v>
      </c>
      <c r="H48" s="690"/>
      <c r="I48" s="133"/>
      <c r="J48" s="105"/>
      <c r="K48" s="105"/>
      <c r="L48" s="105"/>
      <c r="P48" s="136"/>
      <c r="Q48" s="136"/>
      <c r="R48" s="136"/>
      <c r="S48" s="137"/>
      <c r="T48" s="683" t="s">
        <v>113</v>
      </c>
      <c r="U48" s="684"/>
      <c r="V48" s="689">
        <v>0</v>
      </c>
      <c r="W48" s="690"/>
      <c r="X48" s="684" t="s">
        <v>114</v>
      </c>
      <c r="Y48" s="684"/>
      <c r="Z48" s="689">
        <v>0</v>
      </c>
      <c r="AA48" s="690"/>
      <c r="AB48" s="133"/>
      <c r="AI48" s="136"/>
      <c r="AJ48" s="136"/>
      <c r="AK48" s="136"/>
      <c r="AL48" s="137"/>
    </row>
    <row r="49" spans="1:38" ht="14.25" customHeight="1" x14ac:dyDescent="0.2">
      <c r="A49" s="280"/>
      <c r="B49" s="281"/>
      <c r="C49" s="300"/>
      <c r="D49" s="300"/>
      <c r="E49" s="301"/>
      <c r="F49" s="301"/>
      <c r="G49" s="300"/>
      <c r="H49" s="300"/>
      <c r="I49" s="302"/>
      <c r="J49" s="73"/>
      <c r="K49" s="73"/>
      <c r="L49" s="73"/>
      <c r="M49" s="303"/>
      <c r="N49" s="304"/>
      <c r="O49" s="304"/>
      <c r="P49" s="305"/>
      <c r="Q49" s="305"/>
      <c r="R49" s="305"/>
      <c r="S49" s="306"/>
      <c r="T49" s="307"/>
      <c r="U49" s="301"/>
      <c r="V49" s="300"/>
      <c r="W49" s="300"/>
      <c r="X49" s="301"/>
      <c r="Y49" s="301"/>
      <c r="Z49" s="300"/>
      <c r="AA49" s="300"/>
      <c r="AB49" s="133"/>
      <c r="AI49" s="136"/>
      <c r="AJ49" s="136"/>
      <c r="AK49" s="136"/>
      <c r="AL49" s="137"/>
    </row>
    <row r="50" spans="1:38" ht="14.25" customHeight="1" x14ac:dyDescent="0.2">
      <c r="A50" s="130" t="s">
        <v>378</v>
      </c>
      <c r="B50" s="136"/>
      <c r="C50" s="136"/>
      <c r="D50" s="136"/>
      <c r="E50" s="136"/>
      <c r="F50" s="136"/>
      <c r="G50" s="136"/>
      <c r="H50" s="136"/>
      <c r="I50" s="136"/>
      <c r="J50" s="136"/>
      <c r="K50" s="136"/>
      <c r="L50" s="136"/>
      <c r="M50" s="136"/>
      <c r="N50" s="136"/>
      <c r="O50" s="136"/>
      <c r="P50" s="136"/>
      <c r="Q50" s="136"/>
      <c r="R50" s="136"/>
      <c r="S50" s="137"/>
      <c r="T50" s="308" t="s">
        <v>379</v>
      </c>
      <c r="U50" s="301"/>
      <c r="V50" s="300"/>
      <c r="W50" s="300"/>
      <c r="X50" s="301"/>
      <c r="Y50" s="301"/>
      <c r="Z50" s="300"/>
      <c r="AA50" s="300"/>
      <c r="AB50" s="133"/>
      <c r="AI50" s="136"/>
      <c r="AJ50" s="136"/>
      <c r="AK50" s="136"/>
      <c r="AL50" s="137"/>
    </row>
    <row r="51" spans="1:38" x14ac:dyDescent="0.2">
      <c r="A51" s="683" t="s">
        <v>115</v>
      </c>
      <c r="B51" s="684"/>
      <c r="C51" s="685">
        <v>0</v>
      </c>
      <c r="D51" s="686"/>
      <c r="E51" s="138" t="s">
        <v>106</v>
      </c>
      <c r="F51" s="136"/>
      <c r="G51" s="136"/>
      <c r="H51" s="136"/>
      <c r="I51" s="136"/>
      <c r="J51" s="136"/>
      <c r="K51" s="136"/>
      <c r="L51" s="136"/>
      <c r="M51" s="136"/>
      <c r="N51" s="136"/>
      <c r="O51" s="136"/>
      <c r="P51" s="136"/>
      <c r="Q51" s="136"/>
      <c r="R51" s="136"/>
      <c r="S51" s="137"/>
      <c r="T51" s="133"/>
      <c r="U51" s="139" t="s">
        <v>377</v>
      </c>
      <c r="V51" s="679">
        <v>0</v>
      </c>
      <c r="W51" s="680"/>
      <c r="X51" s="133"/>
      <c r="Y51" s="133"/>
      <c r="Z51" s="133"/>
      <c r="AA51" s="133"/>
      <c r="AB51" s="133"/>
      <c r="AC51" s="133"/>
      <c r="AI51" s="133"/>
      <c r="AJ51" s="133"/>
      <c r="AK51" s="133"/>
      <c r="AL51" s="134"/>
    </row>
    <row r="52" spans="1:38" x14ac:dyDescent="0.2">
      <c r="A52" s="140"/>
      <c r="B52" s="136"/>
      <c r="C52" s="716">
        <f>2*PI()*(12.7^4-11.1^4)*365/(C57*12.7)</f>
        <v>4890.8937802226601</v>
      </c>
      <c r="D52" s="716"/>
      <c r="E52" s="136"/>
      <c r="F52" s="136"/>
      <c r="G52" s="136"/>
      <c r="H52" s="136"/>
      <c r="I52" s="136"/>
      <c r="J52" s="136"/>
      <c r="K52" s="136"/>
      <c r="L52" s="136"/>
      <c r="M52" s="136"/>
      <c r="N52" s="136"/>
      <c r="O52" s="136"/>
      <c r="P52" s="136"/>
      <c r="Q52" s="136"/>
      <c r="R52" s="136"/>
      <c r="S52" s="137"/>
      <c r="U52" s="133"/>
      <c r="V52" s="133"/>
      <c r="W52" s="133"/>
      <c r="X52" s="133"/>
      <c r="Y52" s="133"/>
      <c r="Z52" s="133"/>
      <c r="AA52" s="133"/>
      <c r="AB52" s="133"/>
      <c r="AC52" s="133"/>
      <c r="AD52" s="133"/>
      <c r="AE52" s="133"/>
      <c r="AF52" s="133"/>
      <c r="AG52" s="133"/>
      <c r="AH52" s="133"/>
      <c r="AI52" s="133"/>
      <c r="AJ52" s="133"/>
      <c r="AK52" s="133"/>
      <c r="AL52" s="134"/>
    </row>
    <row r="53" spans="1:38" x14ac:dyDescent="0.2">
      <c r="A53" s="282" t="s">
        <v>376</v>
      </c>
      <c r="T53" s="130" t="s">
        <v>133</v>
      </c>
      <c r="AI53" s="133"/>
      <c r="AJ53" s="133"/>
      <c r="AK53" s="133"/>
      <c r="AL53" s="134"/>
    </row>
    <row r="54" spans="1:38" ht="15" x14ac:dyDescent="0.2">
      <c r="A54" s="282"/>
      <c r="B54" s="139" t="s">
        <v>377</v>
      </c>
      <c r="C54" s="717">
        <v>0</v>
      </c>
      <c r="D54" s="718"/>
      <c r="T54" s="130"/>
      <c r="U54" s="141" t="s">
        <v>141</v>
      </c>
      <c r="V54" s="687">
        <f>C57</f>
        <v>400</v>
      </c>
      <c r="W54" s="688"/>
      <c r="X54" s="142" t="s">
        <v>144</v>
      </c>
      <c r="Y54" s="142"/>
      <c r="Z54" s="142"/>
      <c r="AA54" s="142"/>
      <c r="AB54" s="133"/>
      <c r="AC54" s="133"/>
      <c r="AD54" s="133"/>
      <c r="AE54" s="133"/>
      <c r="AF54" s="139" t="s">
        <v>143</v>
      </c>
      <c r="AG54" s="676">
        <f>V55*(1/64)*PI()*(V56^4-V57^4)*200000</f>
        <v>3403526082.6754951</v>
      </c>
      <c r="AH54" s="677"/>
      <c r="AI54" s="348">
        <f>AG54*48/V54^3</f>
        <v>2552.6445620066215</v>
      </c>
      <c r="AJ54" s="133"/>
      <c r="AK54" s="133"/>
      <c r="AL54" s="134"/>
    </row>
    <row r="55" spans="1:38" ht="15" x14ac:dyDescent="0.2">
      <c r="T55" s="130"/>
      <c r="U55" s="139" t="s">
        <v>134</v>
      </c>
      <c r="V55" s="670">
        <v>2</v>
      </c>
      <c r="W55" s="671"/>
      <c r="X55" s="133" t="s">
        <v>147</v>
      </c>
      <c r="Y55" s="133"/>
      <c r="Z55" s="133"/>
      <c r="AA55" s="133"/>
      <c r="AB55" s="133"/>
      <c r="AC55" s="133"/>
      <c r="AD55" s="133"/>
      <c r="AE55" s="133"/>
      <c r="AF55" s="139" t="s">
        <v>145</v>
      </c>
      <c r="AG55" s="676">
        <f>IF(AG47&gt;0,(AG47*V54^3)/48,AG54)</f>
        <v>3403526082.6754951</v>
      </c>
      <c r="AH55" s="677"/>
      <c r="AI55" s="348">
        <f>AG55*48/V54^3</f>
        <v>2552.6445620066215</v>
      </c>
      <c r="AJ55" s="133"/>
      <c r="AK55" s="133"/>
      <c r="AL55" s="134"/>
    </row>
    <row r="56" spans="1:38" ht="14.25" x14ac:dyDescent="0.25">
      <c r="A56" s="135" t="s">
        <v>140</v>
      </c>
      <c r="B56" s="136"/>
      <c r="C56" s="136"/>
      <c r="D56" s="136"/>
      <c r="E56" s="136"/>
      <c r="F56" s="136"/>
      <c r="G56" s="136"/>
      <c r="H56" s="136"/>
      <c r="I56" s="136"/>
      <c r="J56" s="136"/>
      <c r="K56" s="136"/>
      <c r="L56" s="136"/>
      <c r="M56" s="136"/>
      <c r="N56" s="136"/>
      <c r="O56" s="136"/>
      <c r="P56" s="136"/>
      <c r="Q56" s="136"/>
      <c r="R56" s="136"/>
      <c r="S56" s="137"/>
      <c r="T56" s="130"/>
      <c r="U56" s="139" t="s">
        <v>137</v>
      </c>
      <c r="V56" s="679">
        <v>25.4</v>
      </c>
      <c r="W56" s="680"/>
      <c r="X56" s="133" t="s">
        <v>135</v>
      </c>
      <c r="Y56" s="133"/>
      <c r="Z56" s="133"/>
      <c r="AA56" s="133"/>
      <c r="AB56" s="133"/>
      <c r="AC56" s="133"/>
      <c r="AD56" s="133"/>
      <c r="AE56" s="133"/>
      <c r="AF56" s="139" t="s">
        <v>139</v>
      </c>
      <c r="AG56" s="681">
        <f>IF(AG55&gt;=AG54,0,(AI55^-1-AI54^-1)^-1)</f>
        <v>0</v>
      </c>
      <c r="AH56" s="682"/>
      <c r="AI56" s="133"/>
      <c r="AJ56" s="133"/>
      <c r="AK56" s="133"/>
      <c r="AL56" s="134"/>
    </row>
    <row r="57" spans="1:38" ht="12.75" customHeight="1" x14ac:dyDescent="0.25">
      <c r="A57" s="143"/>
      <c r="B57" s="144" t="s">
        <v>141</v>
      </c>
      <c r="C57" s="689">
        <v>400</v>
      </c>
      <c r="D57" s="690"/>
      <c r="E57" s="138" t="s">
        <v>142</v>
      </c>
      <c r="F57" s="136"/>
      <c r="G57" s="136"/>
      <c r="H57" s="136"/>
      <c r="I57" s="136"/>
      <c r="J57" s="136"/>
      <c r="K57" s="136"/>
      <c r="L57" s="136"/>
      <c r="M57" s="136"/>
      <c r="N57" s="136"/>
      <c r="O57" s="136"/>
      <c r="P57" s="136"/>
      <c r="Q57" s="136"/>
      <c r="R57" s="136"/>
      <c r="S57" s="137"/>
      <c r="T57" s="130"/>
      <c r="U57" s="139" t="s">
        <v>138</v>
      </c>
      <c r="V57" s="679">
        <v>22.2</v>
      </c>
      <c r="W57" s="680"/>
      <c r="X57" s="133" t="s">
        <v>136</v>
      </c>
      <c r="Y57" s="133"/>
      <c r="Z57" s="133"/>
      <c r="AA57" s="133"/>
      <c r="AB57" s="133"/>
      <c r="AC57" s="133"/>
      <c r="AD57" s="133"/>
      <c r="AE57" s="133"/>
      <c r="AF57" s="133"/>
      <c r="AG57" s="133"/>
      <c r="AH57" s="133"/>
      <c r="AI57" s="133"/>
      <c r="AJ57" s="133"/>
      <c r="AK57" s="133"/>
      <c r="AL57" s="134"/>
    </row>
    <row r="58" spans="1:38" x14ac:dyDescent="0.2">
      <c r="A58" s="668" t="s">
        <v>107</v>
      </c>
      <c r="B58" s="669"/>
      <c r="C58" s="689">
        <v>275</v>
      </c>
      <c r="D58" s="690"/>
      <c r="E58" s="138" t="s">
        <v>340</v>
      </c>
      <c r="F58" s="136"/>
      <c r="G58" s="136"/>
      <c r="H58" s="136"/>
      <c r="I58" s="136"/>
      <c r="J58" s="136"/>
      <c r="K58" s="136"/>
      <c r="L58" s="136"/>
      <c r="M58" s="136"/>
      <c r="N58" s="136"/>
      <c r="O58" s="136"/>
      <c r="P58" s="136"/>
      <c r="Q58" s="136"/>
      <c r="R58" s="136"/>
      <c r="S58" s="137"/>
      <c r="T58" s="130"/>
      <c r="U58" s="133"/>
      <c r="V58" s="133"/>
      <c r="W58" s="133"/>
      <c r="X58" s="133"/>
      <c r="Y58" s="133"/>
      <c r="Z58" s="133"/>
      <c r="AA58" s="133"/>
      <c r="AB58" s="133"/>
      <c r="AC58" s="133"/>
      <c r="AD58" s="133"/>
      <c r="AE58" s="133"/>
      <c r="AF58" s="133"/>
      <c r="AG58" s="133"/>
      <c r="AH58" s="133"/>
      <c r="AI58" s="133"/>
      <c r="AJ58" s="133"/>
      <c r="AK58" s="133"/>
      <c r="AL58" s="134"/>
    </row>
    <row r="59" spans="1:38" x14ac:dyDescent="0.2">
      <c r="A59" s="668" t="s">
        <v>108</v>
      </c>
      <c r="B59" s="669"/>
      <c r="C59" s="679">
        <v>25</v>
      </c>
      <c r="D59" s="680"/>
      <c r="E59" s="133" t="s">
        <v>227</v>
      </c>
      <c r="F59" s="133"/>
      <c r="G59" s="133"/>
      <c r="H59" s="133"/>
      <c r="I59" s="133"/>
      <c r="J59" s="133"/>
      <c r="K59" s="133"/>
      <c r="L59" s="133"/>
      <c r="M59" s="133"/>
      <c r="N59" s="133"/>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ht="15.75" customHeight="1" x14ac:dyDescent="0.25">
      <c r="A60" s="668" t="s">
        <v>116</v>
      </c>
      <c r="B60" s="669"/>
      <c r="C60" s="679">
        <v>1</v>
      </c>
      <c r="D60" s="680"/>
      <c r="E60" s="133" t="s">
        <v>228</v>
      </c>
      <c r="F60" s="133"/>
      <c r="G60" s="133"/>
      <c r="H60" s="133"/>
      <c r="I60" s="133"/>
      <c r="J60" s="133"/>
      <c r="K60" s="133"/>
      <c r="L60" s="133"/>
      <c r="M60" s="133"/>
      <c r="N60" s="133"/>
      <c r="O60" s="136"/>
      <c r="P60" s="136"/>
      <c r="Q60" s="136"/>
      <c r="R60" s="136"/>
      <c r="S60" s="137"/>
      <c r="T60" s="130"/>
      <c r="U60" s="133"/>
      <c r="V60" s="133"/>
      <c r="W60" s="299"/>
      <c r="X60" s="133"/>
      <c r="Y60" s="133"/>
      <c r="Z60" s="133"/>
      <c r="AA60" s="133"/>
      <c r="AB60" s="133"/>
      <c r="AC60" s="133"/>
      <c r="AD60" s="133"/>
      <c r="AE60" s="146"/>
      <c r="AF60" s="133"/>
      <c r="AG60" s="133"/>
      <c r="AH60" s="133"/>
      <c r="AI60" s="133"/>
      <c r="AJ60" s="133"/>
      <c r="AK60" s="133"/>
      <c r="AL60" s="134"/>
    </row>
    <row r="61" spans="1:38" ht="15.75" customHeight="1" x14ac:dyDescent="0.25">
      <c r="A61" s="668" t="s">
        <v>117</v>
      </c>
      <c r="B61" s="669"/>
      <c r="C61" s="679">
        <v>1</v>
      </c>
      <c r="D61" s="680"/>
      <c r="E61" s="133" t="s">
        <v>229</v>
      </c>
      <c r="F61" s="133"/>
      <c r="G61" s="133"/>
      <c r="H61" s="133"/>
      <c r="I61" s="133"/>
      <c r="J61" s="133"/>
      <c r="K61" s="133"/>
      <c r="L61" s="133"/>
      <c r="M61" s="133"/>
      <c r="N61" s="133"/>
      <c r="O61" s="136"/>
      <c r="P61" s="136"/>
      <c r="Q61" s="136"/>
      <c r="R61" s="136"/>
      <c r="S61" s="137"/>
      <c r="T61" s="130"/>
      <c r="U61" s="133"/>
      <c r="V61" s="133"/>
      <c r="W61" s="133"/>
      <c r="X61" s="133"/>
      <c r="AC61" s="133"/>
      <c r="AD61" s="133"/>
      <c r="AE61" s="146"/>
      <c r="AF61" s="133"/>
      <c r="AG61" s="133"/>
      <c r="AH61" s="133"/>
      <c r="AI61" s="133"/>
      <c r="AJ61" s="133"/>
      <c r="AK61" s="133"/>
      <c r="AL61" s="134"/>
    </row>
    <row r="62" spans="1:38" ht="15" x14ac:dyDescent="0.2">
      <c r="A62" s="147"/>
      <c r="B62" s="139" t="s">
        <v>118</v>
      </c>
      <c r="C62" s="672">
        <f>(C58*(((C59+C60+C61)^3)-(C59^3)))/12</f>
        <v>92995.833333333328</v>
      </c>
      <c r="D62" s="673"/>
      <c r="E62" s="133" t="s">
        <v>109</v>
      </c>
      <c r="F62" s="133"/>
      <c r="G62" s="133"/>
      <c r="H62" s="133"/>
      <c r="I62" s="133"/>
      <c r="J62" s="133"/>
      <c r="K62" s="133"/>
      <c r="L62" s="133"/>
      <c r="M62" s="133"/>
      <c r="N62" s="133"/>
      <c r="O62" s="136"/>
      <c r="P62" s="136"/>
      <c r="Q62" s="136"/>
      <c r="R62" s="136"/>
      <c r="S62" s="137"/>
      <c r="T62" s="130"/>
      <c r="U62" s="133"/>
      <c r="V62" s="133"/>
      <c r="W62" s="133"/>
      <c r="X62" s="133"/>
      <c r="Y62" s="133"/>
      <c r="Z62" s="133"/>
      <c r="AA62" s="133"/>
      <c r="AB62" s="133"/>
      <c r="AC62" s="133"/>
      <c r="AD62" s="133"/>
      <c r="AE62" s="146"/>
      <c r="AF62" s="133"/>
      <c r="AG62" s="133"/>
      <c r="AH62" s="133"/>
      <c r="AI62" s="133"/>
      <c r="AJ62" s="133"/>
      <c r="AK62" s="133"/>
      <c r="AL62" s="134"/>
    </row>
    <row r="63" spans="1:38" x14ac:dyDescent="0.2">
      <c r="A63" s="140"/>
      <c r="B63" s="139" t="s">
        <v>110</v>
      </c>
      <c r="C63" s="674">
        <f>IF(C48&gt;0,0.001*((N47*(C48-C47)*C57^3)/(48*C62*(C48-C47))),0)</f>
        <v>0</v>
      </c>
      <c r="D63" s="675"/>
      <c r="E63" s="138" t="s">
        <v>230</v>
      </c>
      <c r="F63" s="136"/>
      <c r="G63" s="136"/>
      <c r="H63" s="136"/>
      <c r="I63" s="136"/>
      <c r="J63" s="136"/>
      <c r="K63" s="136"/>
      <c r="L63" s="136"/>
      <c r="M63" s="136"/>
      <c r="N63" s="136"/>
      <c r="O63" s="136"/>
      <c r="P63" s="136"/>
      <c r="Q63" s="136"/>
      <c r="R63" s="136"/>
      <c r="S63" s="137"/>
      <c r="T63" s="130"/>
      <c r="U63" s="133"/>
      <c r="V63" s="133"/>
      <c r="W63" s="133"/>
      <c r="X63" s="133"/>
      <c r="Y63" s="133"/>
      <c r="Z63" s="133"/>
      <c r="AA63" s="133"/>
      <c r="AB63" s="133"/>
      <c r="AC63" s="133"/>
      <c r="AD63" s="133"/>
      <c r="AE63" s="133"/>
      <c r="AF63" s="133"/>
      <c r="AG63" s="133"/>
      <c r="AH63" s="133"/>
      <c r="AI63" s="133"/>
      <c r="AJ63" s="133"/>
      <c r="AK63" s="133"/>
      <c r="AL63" s="134"/>
    </row>
    <row r="64" spans="1:38" x14ac:dyDescent="0.2">
      <c r="A64" s="148"/>
      <c r="B64" s="149" t="s">
        <v>170</v>
      </c>
      <c r="C64" s="666">
        <f>C51*C57*0.5*SUM(C59:D61)/(4*C62)</f>
        <v>0</v>
      </c>
      <c r="D64" s="667"/>
      <c r="E64" s="150" t="s">
        <v>231</v>
      </c>
      <c r="F64" s="151"/>
      <c r="G64" s="151"/>
      <c r="H64" s="151"/>
      <c r="I64" s="151"/>
      <c r="J64" s="151"/>
      <c r="K64" s="151"/>
      <c r="L64" s="151"/>
      <c r="M64" s="151"/>
      <c r="N64" s="151"/>
      <c r="O64" s="151"/>
      <c r="P64" s="151"/>
      <c r="Q64" s="151"/>
      <c r="R64" s="151"/>
      <c r="S64" s="152"/>
      <c r="T64" s="153"/>
      <c r="U64" s="154"/>
      <c r="V64" s="154"/>
      <c r="W64" s="154"/>
      <c r="X64" s="154"/>
      <c r="Y64" s="154"/>
      <c r="Z64" s="154"/>
      <c r="AA64" s="154"/>
      <c r="AB64" s="154"/>
      <c r="AC64" s="154"/>
      <c r="AD64" s="154"/>
      <c r="AE64" s="154"/>
      <c r="AF64" s="154"/>
      <c r="AG64" s="154"/>
      <c r="AH64" s="154"/>
      <c r="AI64" s="154"/>
      <c r="AJ64" s="154"/>
      <c r="AK64" s="154"/>
      <c r="AL64" s="155"/>
    </row>
    <row r="65" spans="1:38" x14ac:dyDescent="0.2">
      <c r="A65" s="24"/>
      <c r="B65" s="25"/>
      <c r="C65" s="25"/>
      <c r="D65" s="25"/>
      <c r="E65" s="25"/>
      <c r="F65" s="25"/>
      <c r="G65" s="25"/>
      <c r="H65" s="25"/>
      <c r="I65" s="25"/>
      <c r="J65" s="25"/>
      <c r="K65" s="25"/>
      <c r="L65" s="25"/>
      <c r="M65" s="25"/>
      <c r="N65" s="25"/>
      <c r="O65" s="25"/>
      <c r="P65" s="25"/>
      <c r="Q65" s="25"/>
      <c r="R65" s="25"/>
      <c r="S65" s="26"/>
      <c r="T65" s="25"/>
      <c r="U65" s="25"/>
      <c r="V65" s="25"/>
      <c r="W65" s="25"/>
      <c r="X65" s="25"/>
      <c r="Y65" s="25"/>
      <c r="Z65" s="25"/>
      <c r="AA65" s="25"/>
      <c r="AB65" s="25"/>
      <c r="AC65" s="25"/>
      <c r="AD65" s="25"/>
      <c r="AE65" s="25"/>
      <c r="AF65" s="25"/>
      <c r="AG65" s="25"/>
      <c r="AH65" s="25"/>
      <c r="AI65" s="25"/>
      <c r="AJ65" s="25"/>
      <c r="AK65" s="25"/>
      <c r="AL65" s="26"/>
    </row>
    <row r="66" spans="1:38" x14ac:dyDescent="0.2">
      <c r="A66" s="309" t="s">
        <v>381</v>
      </c>
      <c r="B66" s="31"/>
      <c r="C66" s="31"/>
      <c r="D66" s="31"/>
      <c r="E66" s="31"/>
      <c r="F66" s="31"/>
      <c r="G66" s="31"/>
      <c r="H66" s="31"/>
      <c r="I66" s="31"/>
      <c r="J66" s="31"/>
      <c r="K66" s="31"/>
      <c r="L66" s="31"/>
      <c r="M66" s="31"/>
      <c r="N66" s="31"/>
      <c r="O66" s="31"/>
      <c r="P66" s="31"/>
      <c r="Q66" s="31"/>
      <c r="R66" s="31"/>
      <c r="S66" s="32"/>
      <c r="T66" s="309" t="s">
        <v>381</v>
      </c>
      <c r="U66" s="31"/>
      <c r="V66" s="31"/>
      <c r="W66" s="31"/>
      <c r="X66" s="31"/>
      <c r="Y66" s="31"/>
      <c r="Z66" s="31"/>
      <c r="AA66" s="31"/>
      <c r="AB66" s="31"/>
      <c r="AC66" s="31"/>
      <c r="AD66" s="31"/>
      <c r="AE66" s="31"/>
      <c r="AF66" s="31"/>
      <c r="AG66" s="31"/>
      <c r="AH66" s="31"/>
      <c r="AI66" s="31"/>
      <c r="AJ66" s="31"/>
      <c r="AK66" s="31"/>
      <c r="AL66" s="32"/>
    </row>
    <row r="67" spans="1:38" x14ac:dyDescent="0.2">
      <c r="A67" s="262" t="s">
        <v>525</v>
      </c>
      <c r="B67" s="31"/>
      <c r="C67" s="31"/>
      <c r="D67" s="31"/>
      <c r="E67" s="31"/>
      <c r="F67" s="31"/>
      <c r="G67" s="31"/>
      <c r="H67" s="31"/>
      <c r="I67" s="31"/>
      <c r="J67" s="31"/>
      <c r="K67" s="31"/>
      <c r="L67" s="31"/>
      <c r="M67" s="31"/>
      <c r="N67" s="31"/>
      <c r="O67" s="31"/>
      <c r="P67" s="31"/>
      <c r="Q67" s="31"/>
      <c r="R67" s="31"/>
      <c r="S67" s="32"/>
      <c r="T67" s="262" t="s">
        <v>525</v>
      </c>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0"/>
      <c r="B186" s="31"/>
      <c r="C186" s="31"/>
      <c r="D186" s="31"/>
      <c r="E186" s="31"/>
      <c r="F186" s="31"/>
      <c r="G186" s="31"/>
      <c r="H186" s="31"/>
      <c r="I186" s="31"/>
      <c r="J186" s="31"/>
      <c r="K186" s="31"/>
      <c r="L186" s="31"/>
      <c r="M186" s="31"/>
      <c r="N186" s="31"/>
      <c r="O186" s="31"/>
      <c r="P186" s="31"/>
      <c r="Q186" s="31"/>
      <c r="R186" s="31"/>
      <c r="S186" s="32"/>
      <c r="T186" s="31"/>
      <c r="U186" s="31"/>
      <c r="V186" s="31"/>
      <c r="W186" s="31"/>
      <c r="X186" s="31"/>
      <c r="Y186" s="31"/>
      <c r="Z186" s="31"/>
      <c r="AA186" s="31"/>
      <c r="AB186" s="31"/>
      <c r="AC186" s="31"/>
      <c r="AD186" s="31"/>
      <c r="AE186" s="31"/>
      <c r="AF186" s="31"/>
      <c r="AG186" s="31"/>
      <c r="AH186" s="31"/>
      <c r="AI186" s="31"/>
      <c r="AJ186" s="31"/>
      <c r="AK186" s="31"/>
      <c r="AL186" s="32"/>
    </row>
    <row r="187" spans="1:38" x14ac:dyDescent="0.2">
      <c r="A187" s="30"/>
      <c r="B187" s="31"/>
      <c r="C187" s="31"/>
      <c r="D187" s="31"/>
      <c r="E187" s="31"/>
      <c r="F187" s="31"/>
      <c r="G187" s="31"/>
      <c r="H187" s="31"/>
      <c r="I187" s="31"/>
      <c r="J187" s="31"/>
      <c r="K187" s="31"/>
      <c r="L187" s="31"/>
      <c r="M187" s="31"/>
      <c r="N187" s="31"/>
      <c r="O187" s="31"/>
      <c r="P187" s="31"/>
      <c r="Q187" s="31"/>
      <c r="R187" s="31"/>
      <c r="S187" s="32"/>
      <c r="T187" s="31"/>
      <c r="U187" s="31"/>
      <c r="V187" s="31"/>
      <c r="W187" s="31"/>
      <c r="X187" s="31"/>
      <c r="Y187" s="31"/>
      <c r="Z187" s="31"/>
      <c r="AA187" s="31"/>
      <c r="AB187" s="31"/>
      <c r="AC187" s="31"/>
      <c r="AD187" s="31"/>
      <c r="AE187" s="31"/>
      <c r="AF187" s="31"/>
      <c r="AG187" s="31"/>
      <c r="AH187" s="31"/>
      <c r="AI187" s="31"/>
      <c r="AJ187" s="31"/>
      <c r="AK187" s="31"/>
      <c r="AL187" s="32"/>
    </row>
    <row r="188" spans="1:38" x14ac:dyDescent="0.2">
      <c r="A188" s="30"/>
      <c r="B188" s="31"/>
      <c r="C188" s="31"/>
      <c r="D188" s="31"/>
      <c r="E188" s="31"/>
      <c r="F188" s="31"/>
      <c r="G188" s="31"/>
      <c r="H188" s="31"/>
      <c r="I188" s="31"/>
      <c r="J188" s="31"/>
      <c r="K188" s="31"/>
      <c r="L188" s="31"/>
      <c r="M188" s="31"/>
      <c r="N188" s="31"/>
      <c r="O188" s="31"/>
      <c r="P188" s="31"/>
      <c r="Q188" s="31"/>
      <c r="R188" s="31"/>
      <c r="S188" s="32"/>
      <c r="T188" s="31"/>
      <c r="U188" s="31"/>
      <c r="V188" s="31"/>
      <c r="W188" s="31"/>
      <c r="X188" s="31"/>
      <c r="Y188" s="31"/>
      <c r="Z188" s="31"/>
      <c r="AA188" s="31"/>
      <c r="AB188" s="31"/>
      <c r="AC188" s="31"/>
      <c r="AD188" s="31"/>
      <c r="AE188" s="31"/>
      <c r="AF188" s="31"/>
      <c r="AG188" s="31"/>
      <c r="AH188" s="31"/>
      <c r="AI188" s="31"/>
      <c r="AJ188" s="31"/>
      <c r="AK188" s="31"/>
      <c r="AL188" s="32"/>
    </row>
    <row r="189" spans="1:38" x14ac:dyDescent="0.2">
      <c r="A189" s="30"/>
      <c r="B189" s="31"/>
      <c r="C189" s="31"/>
      <c r="D189" s="31"/>
      <c r="E189" s="31"/>
      <c r="F189" s="31"/>
      <c r="G189" s="31"/>
      <c r="H189" s="31"/>
      <c r="I189" s="31"/>
      <c r="J189" s="31"/>
      <c r="K189" s="31"/>
      <c r="L189" s="31"/>
      <c r="M189" s="31"/>
      <c r="N189" s="31"/>
      <c r="O189" s="31"/>
      <c r="P189" s="31"/>
      <c r="Q189" s="31"/>
      <c r="R189" s="31"/>
      <c r="S189" s="32"/>
      <c r="T189" s="31"/>
      <c r="U189" s="31"/>
      <c r="V189" s="31"/>
      <c r="W189" s="31"/>
      <c r="X189" s="31"/>
      <c r="Y189" s="31"/>
      <c r="Z189" s="31"/>
      <c r="AA189" s="31"/>
      <c r="AB189" s="31"/>
      <c r="AC189" s="31"/>
      <c r="AD189" s="31"/>
      <c r="AE189" s="31"/>
      <c r="AF189" s="31"/>
      <c r="AG189" s="31"/>
      <c r="AH189" s="31"/>
      <c r="AI189" s="31"/>
      <c r="AJ189" s="31"/>
      <c r="AK189" s="31"/>
      <c r="AL189" s="32"/>
    </row>
    <row r="190" spans="1:38" x14ac:dyDescent="0.2">
      <c r="A190" s="38"/>
      <c r="B190" s="36"/>
      <c r="C190" s="36"/>
      <c r="D190" s="36"/>
      <c r="E190" s="36"/>
      <c r="F190" s="36"/>
      <c r="G190" s="36"/>
      <c r="H190" s="36"/>
      <c r="I190" s="36"/>
      <c r="J190" s="36"/>
      <c r="K190" s="36"/>
      <c r="L190" s="36"/>
      <c r="M190" s="36"/>
      <c r="N190" s="36"/>
      <c r="O190" s="36"/>
      <c r="P190" s="36"/>
      <c r="Q190" s="36"/>
      <c r="R190" s="36"/>
      <c r="S190" s="39"/>
      <c r="T190" s="36"/>
      <c r="U190" s="36"/>
      <c r="V190" s="36"/>
      <c r="W190" s="36"/>
      <c r="X190" s="36"/>
      <c r="Y190" s="36"/>
      <c r="Z190" s="36"/>
      <c r="AA190" s="36"/>
      <c r="AB190" s="36"/>
      <c r="AC190" s="36"/>
      <c r="AD190" s="36"/>
      <c r="AE190" s="36"/>
      <c r="AF190" s="36"/>
      <c r="AG190" s="36"/>
      <c r="AH190" s="36"/>
      <c r="AI190" s="36"/>
      <c r="AJ190" s="36"/>
      <c r="AK190" s="36"/>
      <c r="AL190" s="39"/>
    </row>
  </sheetData>
  <sheetProtection password="E10F" sheet="1"/>
  <mergeCells count="50">
    <mergeCell ref="AG56:AH56"/>
    <mergeCell ref="V55:W55"/>
    <mergeCell ref="V56:W56"/>
    <mergeCell ref="AG55:AH55"/>
    <mergeCell ref="AG54:AH54"/>
    <mergeCell ref="V54:W54"/>
    <mergeCell ref="C64:D64"/>
    <mergeCell ref="T48:U48"/>
    <mergeCell ref="C63:D63"/>
    <mergeCell ref="C57:D57"/>
    <mergeCell ref="C52:D52"/>
    <mergeCell ref="E48:F48"/>
    <mergeCell ref="C48:D48"/>
    <mergeCell ref="G48:H48"/>
    <mergeCell ref="C58:D58"/>
    <mergeCell ref="C59:D59"/>
    <mergeCell ref="C62:D62"/>
    <mergeCell ref="C54:D54"/>
    <mergeCell ref="O3:S3"/>
    <mergeCell ref="A5:S5"/>
    <mergeCell ref="E47:F47"/>
    <mergeCell ref="P47:R47"/>
    <mergeCell ref="A1:S1"/>
    <mergeCell ref="D3:J3"/>
    <mergeCell ref="T1:AL1"/>
    <mergeCell ref="W3:AC3"/>
    <mergeCell ref="AH3:AL3"/>
    <mergeCell ref="T47:U47"/>
    <mergeCell ref="V47:W47"/>
    <mergeCell ref="X47:Y47"/>
    <mergeCell ref="Z47:AA47"/>
    <mergeCell ref="AG47:AH47"/>
    <mergeCell ref="A60:B60"/>
    <mergeCell ref="C61:D61"/>
    <mergeCell ref="C60:D60"/>
    <mergeCell ref="A59:B59"/>
    <mergeCell ref="A61:B61"/>
    <mergeCell ref="A58:B58"/>
    <mergeCell ref="A48:B48"/>
    <mergeCell ref="C47:D47"/>
    <mergeCell ref="Z48:AA48"/>
    <mergeCell ref="V48:W48"/>
    <mergeCell ref="X48:Y48"/>
    <mergeCell ref="G47:H47"/>
    <mergeCell ref="N47:O47"/>
    <mergeCell ref="A47:B47"/>
    <mergeCell ref="A51:B51"/>
    <mergeCell ref="C51:D51"/>
    <mergeCell ref="V51:W51"/>
    <mergeCell ref="V57:W57"/>
  </mergeCells>
  <phoneticPr fontId="2" type="noConversion"/>
  <conditionalFormatting sqref="N47:O47">
    <cfRule type="cellIs" dxfId="158" priority="4" stopIfTrue="1" operator="equal">
      <formula>0</formula>
    </cfRule>
    <cfRule type="cellIs" dxfId="157" priority="5" stopIfTrue="1" operator="greaterThanOrEqual">
      <formula>$P$47</formula>
    </cfRule>
    <cfRule type="cellIs" dxfId="156" priority="6" stopIfTrue="1" operator="lessThan">
      <formula>$P$47</formula>
    </cfRule>
  </conditionalFormatting>
  <conditionalFormatting sqref="C51:D51">
    <cfRule type="cellIs" dxfId="155" priority="7" stopIfTrue="1" operator="greaterThanOrEqual">
      <formula>$C$52</formula>
    </cfRule>
    <cfRule type="cellIs" dxfId="154" priority="8" stopIfTrue="1" operator="between">
      <formula>0.01</formula>
      <formula>$C$52</formula>
    </cfRule>
    <cfRule type="cellIs" dxfId="153" priority="9" stopIfTrue="1" operator="equal">
      <formula>0</formula>
    </cfRule>
  </conditionalFormatting>
  <conditionalFormatting sqref="C54:D54">
    <cfRule type="cellIs" dxfId="152" priority="1" stopIfTrue="1" operator="equal">
      <formula>0</formula>
    </cfRule>
    <cfRule type="cellIs" dxfId="151" priority="2" stopIfTrue="1" operator="greaterThanOrEqual">
      <formula>$V$51</formula>
    </cfRule>
    <cfRule type="cellIs" dxfId="150" priority="3" stopIfTrue="1" operator="lessThan">
      <formula>$V$51</formula>
    </cfRule>
  </conditionalFormatting>
  <hyperlinks>
    <hyperlink ref="AM2" location="'Cover Sheet'!A1" display="BACK to COVER SHEET" xr:uid="{00000000-0004-0000-1200-000000000000}"/>
    <hyperlink ref="AM2:AO2" location="'Cover Sheet'!A1" display="BACK to COVER SHEET" xr:uid="{00000000-0004-0000-1200-000001000000}"/>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
  <dimension ref="A1:AO186"/>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98" t="s">
        <v>600</v>
      </c>
      <c r="B1" s="699"/>
      <c r="C1" s="699"/>
      <c r="D1" s="699"/>
      <c r="E1" s="699"/>
      <c r="F1" s="699"/>
      <c r="G1" s="699"/>
      <c r="H1" s="699"/>
      <c r="I1" s="699"/>
      <c r="J1" s="699"/>
      <c r="K1" s="699"/>
      <c r="L1" s="699"/>
      <c r="M1" s="699"/>
      <c r="N1" s="699"/>
      <c r="O1" s="699"/>
      <c r="P1" s="699"/>
      <c r="Q1" s="699"/>
      <c r="R1" s="699"/>
      <c r="S1" s="700"/>
      <c r="T1" s="698" t="s">
        <v>601</v>
      </c>
      <c r="U1" s="699"/>
      <c r="V1" s="699"/>
      <c r="W1" s="699"/>
      <c r="X1" s="699"/>
      <c r="Y1" s="699"/>
      <c r="Z1" s="699"/>
      <c r="AA1" s="699"/>
      <c r="AB1" s="699"/>
      <c r="AC1" s="699"/>
      <c r="AD1" s="699"/>
      <c r="AE1" s="699"/>
      <c r="AF1" s="699"/>
      <c r="AG1" s="699"/>
      <c r="AH1" s="699"/>
      <c r="AI1" s="699"/>
      <c r="AJ1" s="699"/>
      <c r="AK1" s="699"/>
      <c r="AL1" s="700"/>
    </row>
    <row r="2" spans="1:41"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701" t="str">
        <f>IF('Cover Sheet'!D14:J14&gt;0,'Cover Sheet'!D14:J14,"")</f>
        <v>EPSA</v>
      </c>
      <c r="E3" s="701"/>
      <c r="F3" s="701"/>
      <c r="G3" s="701"/>
      <c r="H3" s="701"/>
      <c r="I3" s="701"/>
      <c r="J3" s="701"/>
      <c r="K3" t="s">
        <v>48</v>
      </c>
      <c r="O3" s="701" t="str">
        <f>IF('Cover Sheet'!O14:S14&gt;0,'Cover Sheet'!O14:S14,"")</f>
        <v/>
      </c>
      <c r="P3" s="701"/>
      <c r="Q3" s="701"/>
      <c r="R3" s="701"/>
      <c r="S3" s="701"/>
      <c r="T3" s="8" t="s">
        <v>47</v>
      </c>
      <c r="W3" s="701" t="str">
        <f>IF('Cover Sheet'!W14:AC14&gt;0,'Cover Sheet'!W14:AC14,"")</f>
        <v/>
      </c>
      <c r="X3" s="701"/>
      <c r="Y3" s="701"/>
      <c r="Z3" s="701"/>
      <c r="AA3" s="701"/>
      <c r="AB3" s="701"/>
      <c r="AC3" s="701"/>
      <c r="AD3" t="s">
        <v>48</v>
      </c>
      <c r="AH3" s="701" t="str">
        <f>IF('Cover Sheet'!AH14:AL14&gt;0,'Cover Sheet'!AH14:AL14,"")</f>
        <v/>
      </c>
      <c r="AI3" s="701"/>
      <c r="AJ3" s="701"/>
      <c r="AK3" s="701"/>
      <c r="AL3" s="702"/>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719"/>
      <c r="B5" s="720"/>
      <c r="C5" s="720"/>
      <c r="D5" s="720"/>
      <c r="E5" s="720"/>
      <c r="F5" s="720"/>
      <c r="G5" s="720"/>
      <c r="H5" s="720"/>
      <c r="I5" s="720"/>
      <c r="J5" s="720"/>
      <c r="K5" s="720"/>
      <c r="L5" s="720"/>
      <c r="M5" s="720"/>
      <c r="N5" s="720"/>
      <c r="O5" s="720"/>
      <c r="P5" s="720"/>
      <c r="Q5" s="720"/>
      <c r="R5" s="720"/>
      <c r="S5" s="721"/>
      <c r="T5" s="24"/>
      <c r="U5" s="25"/>
      <c r="V5" s="25"/>
      <c r="W5" s="25"/>
      <c r="X5" s="25"/>
      <c r="Y5" s="25"/>
      <c r="Z5" s="25"/>
      <c r="AA5" s="25"/>
      <c r="AB5" s="25"/>
      <c r="AC5" s="25"/>
      <c r="AD5" s="25"/>
      <c r="AE5" s="25"/>
      <c r="AF5" s="25"/>
      <c r="AG5" s="25"/>
      <c r="AH5" s="25"/>
      <c r="AI5" s="25"/>
      <c r="AJ5" s="25"/>
      <c r="AK5" s="25"/>
      <c r="AL5" s="26"/>
    </row>
    <row r="6" spans="1:41" x14ac:dyDescent="0.2">
      <c r="A6" s="33" t="s">
        <v>608</v>
      </c>
      <c r="B6" s="33"/>
      <c r="C6" s="347"/>
      <c r="D6" s="33"/>
      <c r="E6" s="68"/>
      <c r="F6" s="68"/>
      <c r="G6" s="68"/>
      <c r="H6" s="68"/>
      <c r="I6" s="68"/>
      <c r="J6" s="68"/>
      <c r="K6" s="68"/>
      <c r="L6" s="68"/>
      <c r="M6" s="68"/>
      <c r="N6" s="68"/>
      <c r="O6" s="68"/>
      <c r="P6" s="68"/>
      <c r="Q6" s="68"/>
      <c r="R6" s="68"/>
      <c r="S6" s="310"/>
      <c r="T6" s="30"/>
      <c r="U6" s="31"/>
      <c r="V6" s="31"/>
      <c r="W6" s="31"/>
      <c r="X6" s="31"/>
      <c r="Y6" s="31"/>
      <c r="Z6" s="31"/>
      <c r="AA6" s="31"/>
      <c r="AB6" s="31"/>
      <c r="AC6" s="31"/>
      <c r="AD6" s="31"/>
      <c r="AE6" s="31"/>
      <c r="AF6" s="31"/>
      <c r="AG6" s="31"/>
      <c r="AH6" s="31"/>
      <c r="AI6" s="31"/>
      <c r="AJ6" s="31"/>
      <c r="AK6" s="31"/>
      <c r="AL6" s="32"/>
    </row>
    <row r="7" spans="1:41" x14ac:dyDescent="0.2">
      <c r="A7" s="33"/>
      <c r="B7" s="319" t="s">
        <v>473</v>
      </c>
      <c r="C7" s="347"/>
      <c r="D7" s="33"/>
      <c r="E7" s="68"/>
      <c r="F7" s="68"/>
      <c r="G7" s="68"/>
      <c r="H7" s="68"/>
      <c r="I7" s="68"/>
      <c r="J7" s="68"/>
      <c r="K7" s="68"/>
      <c r="L7" s="68"/>
      <c r="M7" s="68"/>
      <c r="N7" s="68"/>
      <c r="O7" s="68"/>
      <c r="P7" s="68"/>
      <c r="Q7" s="68"/>
      <c r="R7" s="68"/>
      <c r="S7" s="310"/>
      <c r="T7" s="30"/>
      <c r="U7" s="31"/>
      <c r="V7" s="31"/>
      <c r="W7" s="31"/>
      <c r="X7" s="31"/>
      <c r="Y7" s="31"/>
      <c r="Z7" s="31"/>
      <c r="AA7" s="31"/>
      <c r="AB7" s="31"/>
      <c r="AC7" s="31"/>
      <c r="AD7" s="31"/>
      <c r="AE7" s="31"/>
      <c r="AF7" s="31"/>
      <c r="AG7" s="31"/>
      <c r="AH7" s="31"/>
      <c r="AI7" s="31"/>
      <c r="AJ7" s="31"/>
      <c r="AK7" s="31"/>
      <c r="AL7" s="32"/>
    </row>
    <row r="8" spans="1:41" x14ac:dyDescent="0.2">
      <c r="A8" s="33"/>
      <c r="B8" s="319" t="s">
        <v>557</v>
      </c>
      <c r="C8" s="347"/>
      <c r="D8" s="33"/>
      <c r="E8" s="68"/>
      <c r="F8" s="68"/>
      <c r="G8" s="68"/>
      <c r="H8" s="68"/>
      <c r="I8" s="68"/>
      <c r="J8" s="68"/>
      <c r="K8" s="68"/>
      <c r="L8" s="68"/>
      <c r="M8" s="68"/>
      <c r="N8" s="68"/>
      <c r="O8" s="68"/>
      <c r="P8" s="68"/>
      <c r="Q8" s="68"/>
      <c r="R8" s="68"/>
      <c r="S8" s="310"/>
      <c r="T8" s="30"/>
      <c r="U8" s="31"/>
      <c r="V8" s="31"/>
      <c r="W8" s="31"/>
      <c r="X8" s="31"/>
      <c r="Y8" s="31"/>
      <c r="Z8" s="31"/>
      <c r="AA8" s="31"/>
      <c r="AB8" s="31"/>
      <c r="AC8" s="31"/>
      <c r="AD8" s="31"/>
      <c r="AE8" s="31"/>
      <c r="AF8" s="31"/>
      <c r="AG8" s="31"/>
      <c r="AH8" s="31"/>
      <c r="AI8" s="31"/>
      <c r="AJ8" s="31"/>
      <c r="AK8" s="31"/>
      <c r="AL8" s="32"/>
    </row>
    <row r="9" spans="1:41" x14ac:dyDescent="0.2">
      <c r="A9" s="33"/>
      <c r="B9" s="319" t="s">
        <v>558</v>
      </c>
      <c r="C9" s="347"/>
      <c r="D9" s="33"/>
      <c r="E9" s="68"/>
      <c r="F9" s="68"/>
      <c r="G9" s="68"/>
      <c r="H9" s="68"/>
      <c r="I9" s="68"/>
      <c r="J9" s="68"/>
      <c r="K9" s="68"/>
      <c r="L9" s="68"/>
      <c r="M9" s="68"/>
      <c r="N9" s="68"/>
      <c r="O9" s="68"/>
      <c r="P9" s="68"/>
      <c r="Q9" s="68"/>
      <c r="R9" s="68"/>
      <c r="S9" s="310"/>
      <c r="T9" s="30"/>
      <c r="U9" s="31"/>
      <c r="V9" s="31"/>
      <c r="W9" s="31"/>
      <c r="X9" s="31"/>
      <c r="Y9" s="31"/>
      <c r="Z9" s="31"/>
      <c r="AA9" s="31"/>
      <c r="AB9" s="31"/>
      <c r="AC9" s="31"/>
      <c r="AD9" s="31"/>
      <c r="AE9" s="31"/>
      <c r="AF9" s="31"/>
      <c r="AG9" s="31"/>
      <c r="AH9" s="31"/>
      <c r="AI9" s="31"/>
      <c r="AJ9" s="31"/>
      <c r="AK9" s="31"/>
      <c r="AL9" s="32"/>
    </row>
    <row r="10" spans="1:41" x14ac:dyDescent="0.2">
      <c r="A10" s="33" t="s">
        <v>474</v>
      </c>
      <c r="B10" s="261"/>
      <c r="C10" s="68"/>
      <c r="D10" s="68"/>
      <c r="E10" s="68"/>
      <c r="F10" s="68"/>
      <c r="G10" s="68"/>
      <c r="H10" s="68"/>
      <c r="I10" s="68"/>
      <c r="J10" s="68"/>
      <c r="K10" s="68"/>
      <c r="L10" s="68"/>
      <c r="M10" s="68"/>
      <c r="N10" s="68"/>
      <c r="O10" s="68"/>
      <c r="P10" s="68"/>
      <c r="Q10" s="68"/>
      <c r="R10" s="68"/>
      <c r="S10" s="310"/>
      <c r="T10" s="30"/>
      <c r="U10" s="31"/>
      <c r="V10" s="31"/>
      <c r="W10" s="31"/>
      <c r="X10" s="31"/>
      <c r="Y10" s="31"/>
      <c r="Z10" s="31"/>
      <c r="AA10" s="31"/>
      <c r="AB10" s="31"/>
      <c r="AC10" s="31"/>
      <c r="AD10" s="31"/>
      <c r="AE10" s="31"/>
      <c r="AF10" s="31"/>
      <c r="AG10" s="31"/>
      <c r="AH10" s="31"/>
      <c r="AI10" s="31"/>
      <c r="AJ10" s="31"/>
      <c r="AK10" s="31"/>
      <c r="AL10" s="32"/>
    </row>
    <row r="11" spans="1:41" x14ac:dyDescent="0.2">
      <c r="A11" s="48"/>
      <c r="B11" s="68"/>
      <c r="C11" s="68"/>
      <c r="D11" s="68"/>
      <c r="E11" s="68"/>
      <c r="F11" s="68"/>
      <c r="G11" s="347"/>
      <c r="H11" s="68"/>
      <c r="I11" s="68"/>
      <c r="J11" s="68"/>
      <c r="K11" s="68"/>
      <c r="L11" s="68"/>
      <c r="M11" s="68"/>
      <c r="N11" s="68"/>
      <c r="O11" s="68"/>
      <c r="P11" s="68"/>
      <c r="Q11" s="68"/>
      <c r="R11" s="68"/>
      <c r="S11" s="310"/>
      <c r="T11" s="30"/>
      <c r="U11" s="31"/>
      <c r="V11" s="31"/>
      <c r="W11" s="31"/>
      <c r="X11" s="33"/>
      <c r="Y11" s="31"/>
      <c r="Z11" s="33" t="s">
        <v>101</v>
      </c>
      <c r="AA11" s="31"/>
      <c r="AB11" s="31"/>
      <c r="AC11" s="31"/>
      <c r="AD11" s="31"/>
      <c r="AE11" s="31"/>
      <c r="AF11" s="31"/>
      <c r="AG11" s="31"/>
      <c r="AH11" s="31"/>
      <c r="AI11" s="31"/>
      <c r="AJ11" s="31"/>
      <c r="AK11" s="31"/>
      <c r="AL11" s="32"/>
    </row>
    <row r="12" spans="1:41" x14ac:dyDescent="0.2">
      <c r="A12" s="48"/>
      <c r="B12" s="68"/>
      <c r="C12" s="68"/>
      <c r="D12" s="68"/>
      <c r="E12" s="68"/>
      <c r="F12" s="68"/>
      <c r="G12" s="33" t="s">
        <v>101</v>
      </c>
      <c r="H12" s="68"/>
      <c r="I12" s="68"/>
      <c r="J12" s="68"/>
      <c r="K12" s="68"/>
      <c r="L12" s="68"/>
      <c r="M12" s="68"/>
      <c r="N12" s="68"/>
      <c r="O12" s="68"/>
      <c r="P12" s="68"/>
      <c r="Q12" s="68"/>
      <c r="R12" s="68"/>
      <c r="S12" s="310"/>
      <c r="T12" s="30"/>
      <c r="U12" s="31"/>
      <c r="V12" s="31"/>
      <c r="W12" s="31"/>
      <c r="X12" s="31"/>
      <c r="Y12" s="31"/>
      <c r="Z12" s="31"/>
      <c r="AA12" s="31"/>
      <c r="AB12" s="31"/>
      <c r="AC12" s="31"/>
      <c r="AD12" s="31"/>
      <c r="AE12" s="31"/>
      <c r="AF12" s="31"/>
      <c r="AG12" s="31"/>
      <c r="AH12" s="31"/>
      <c r="AI12" s="31"/>
      <c r="AJ12" s="31"/>
      <c r="AK12" s="31"/>
      <c r="AL12" s="32"/>
    </row>
    <row r="13" spans="1:41" x14ac:dyDescent="0.2">
      <c r="A13" s="48"/>
      <c r="B13" s="68"/>
      <c r="C13" s="68"/>
      <c r="D13" s="68"/>
      <c r="E13" s="68"/>
      <c r="F13" s="68"/>
      <c r="G13" s="68"/>
      <c r="H13" s="68"/>
      <c r="I13" s="68"/>
      <c r="J13" s="68"/>
      <c r="K13" s="68"/>
      <c r="L13" s="68"/>
      <c r="M13" s="68"/>
      <c r="N13" s="68"/>
      <c r="O13" s="68"/>
      <c r="P13" s="68"/>
      <c r="Q13" s="68"/>
      <c r="R13" s="68"/>
      <c r="S13" s="310"/>
      <c r="T13" s="30"/>
      <c r="U13" s="31"/>
      <c r="V13" s="31"/>
      <c r="W13" s="31"/>
      <c r="X13" s="31"/>
      <c r="Y13" s="31"/>
      <c r="Z13" s="33" t="s">
        <v>282</v>
      </c>
      <c r="AA13" s="31"/>
      <c r="AB13" s="31"/>
      <c r="AC13" s="31"/>
      <c r="AD13" s="31"/>
      <c r="AE13" s="31"/>
      <c r="AF13" s="31"/>
      <c r="AG13" s="31"/>
      <c r="AH13" s="31"/>
      <c r="AI13" s="31"/>
      <c r="AJ13" s="31"/>
      <c r="AK13" s="31"/>
      <c r="AL13" s="32"/>
    </row>
    <row r="14" spans="1:41" x14ac:dyDescent="0.2">
      <c r="A14" s="48"/>
      <c r="B14" s="68"/>
      <c r="C14" s="68"/>
      <c r="D14" s="68"/>
      <c r="E14" s="68"/>
      <c r="F14" s="68"/>
      <c r="G14" s="33" t="s">
        <v>282</v>
      </c>
      <c r="H14" s="68"/>
      <c r="I14" s="68"/>
      <c r="J14" s="68"/>
      <c r="K14" s="68"/>
      <c r="L14" s="68"/>
      <c r="M14" s="68"/>
      <c r="N14" s="68"/>
      <c r="O14" s="68"/>
      <c r="P14" s="68"/>
      <c r="Q14" s="68"/>
      <c r="R14" s="68"/>
      <c r="S14" s="310"/>
      <c r="T14" s="30"/>
      <c r="U14" s="31"/>
      <c r="V14" s="31"/>
      <c r="W14" s="31"/>
      <c r="X14" s="31"/>
      <c r="Y14" s="31"/>
      <c r="Z14" s="31"/>
      <c r="AA14" s="31"/>
      <c r="AB14" s="31"/>
      <c r="AC14" s="31"/>
      <c r="AD14" s="31"/>
      <c r="AE14" s="31"/>
      <c r="AF14" s="31"/>
      <c r="AG14" s="31"/>
      <c r="AH14" s="31"/>
      <c r="AI14" s="31"/>
      <c r="AJ14" s="31"/>
      <c r="AK14" s="31"/>
      <c r="AL14" s="32"/>
    </row>
    <row r="15" spans="1:41" x14ac:dyDescent="0.2">
      <c r="A15" s="48"/>
      <c r="B15" s="68"/>
      <c r="C15" s="68"/>
      <c r="D15" s="68"/>
      <c r="E15" s="68"/>
      <c r="F15" s="68"/>
      <c r="G15" s="68"/>
      <c r="H15" s="68"/>
      <c r="I15" s="68"/>
      <c r="J15" s="68"/>
      <c r="K15" s="68"/>
      <c r="L15" s="68"/>
      <c r="M15" s="68"/>
      <c r="N15" s="68"/>
      <c r="O15" s="68"/>
      <c r="P15" s="68"/>
      <c r="Q15" s="68"/>
      <c r="R15" s="68"/>
      <c r="S15" s="310"/>
      <c r="T15" s="30"/>
      <c r="U15" s="31"/>
      <c r="V15" s="31"/>
      <c r="W15" s="31"/>
      <c r="X15" s="31"/>
      <c r="Y15" s="31"/>
      <c r="Z15" s="31"/>
      <c r="AA15" s="31"/>
      <c r="AB15" s="31"/>
      <c r="AC15" s="31"/>
      <c r="AD15" s="31"/>
      <c r="AE15" s="31"/>
      <c r="AF15" s="31"/>
      <c r="AG15" s="31"/>
      <c r="AH15" s="31"/>
      <c r="AI15" s="31"/>
      <c r="AJ15" s="31"/>
      <c r="AK15" s="31"/>
      <c r="AL15" s="32"/>
    </row>
    <row r="16" spans="1:41" x14ac:dyDescent="0.2">
      <c r="A16" s="48"/>
      <c r="B16" s="68"/>
      <c r="C16" s="68"/>
      <c r="D16" s="68"/>
      <c r="E16" s="68"/>
      <c r="F16" s="68"/>
      <c r="G16" s="68"/>
      <c r="H16" s="68"/>
      <c r="I16" s="68"/>
      <c r="J16" s="68"/>
      <c r="K16" s="68"/>
      <c r="L16" s="68"/>
      <c r="M16" s="68"/>
      <c r="N16" s="68"/>
      <c r="O16" s="68"/>
      <c r="P16" s="68"/>
      <c r="Q16" s="68"/>
      <c r="R16" s="68"/>
      <c r="S16" s="310"/>
      <c r="T16" s="30"/>
      <c r="U16" s="31"/>
      <c r="V16" s="31"/>
      <c r="W16" s="31"/>
      <c r="X16" s="31"/>
      <c r="Y16" s="31"/>
      <c r="Z16" s="31"/>
      <c r="AA16" s="31"/>
      <c r="AB16" s="31"/>
      <c r="AC16" s="31"/>
      <c r="AD16" s="31"/>
      <c r="AE16" s="31"/>
      <c r="AF16" s="31"/>
      <c r="AG16" s="31"/>
      <c r="AH16" s="31"/>
      <c r="AI16" s="31"/>
      <c r="AJ16" s="31"/>
      <c r="AK16" s="31"/>
      <c r="AL16" s="32"/>
    </row>
    <row r="17" spans="1:38" x14ac:dyDescent="0.2">
      <c r="A17" s="48"/>
      <c r="B17" s="68"/>
      <c r="C17" s="68"/>
      <c r="D17" s="68"/>
      <c r="E17" s="68"/>
      <c r="F17" s="68"/>
      <c r="G17" s="68"/>
      <c r="H17" s="68"/>
      <c r="I17" s="68"/>
      <c r="J17" s="68"/>
      <c r="K17" s="68"/>
      <c r="L17" s="68"/>
      <c r="M17" s="68"/>
      <c r="N17" s="68"/>
      <c r="O17" s="68"/>
      <c r="P17" s="68"/>
      <c r="Q17" s="68"/>
      <c r="R17" s="68"/>
      <c r="S17" s="310"/>
      <c r="T17" s="30"/>
      <c r="U17" s="31"/>
      <c r="V17" s="31"/>
      <c r="W17" s="31"/>
      <c r="X17" s="31"/>
      <c r="Y17" s="31"/>
      <c r="Z17" s="31"/>
      <c r="AA17" s="31"/>
      <c r="AB17" s="31"/>
      <c r="AC17" s="31"/>
      <c r="AD17" s="31"/>
      <c r="AE17" s="31"/>
      <c r="AF17" s="31"/>
      <c r="AG17" s="31"/>
      <c r="AH17" s="31"/>
      <c r="AI17" s="31"/>
      <c r="AJ17" s="31"/>
      <c r="AK17" s="31"/>
      <c r="AL17" s="32"/>
    </row>
    <row r="18" spans="1:38" x14ac:dyDescent="0.2">
      <c r="A18" s="50"/>
      <c r="B18" s="51"/>
      <c r="C18" s="51"/>
      <c r="D18" s="51"/>
      <c r="E18" s="51"/>
      <c r="F18" s="51"/>
      <c r="G18" s="51"/>
      <c r="H18" s="51"/>
      <c r="I18" s="51"/>
      <c r="J18" s="51"/>
      <c r="K18" s="51"/>
      <c r="L18" s="51"/>
      <c r="M18" s="51"/>
      <c r="N18" s="51"/>
      <c r="O18" s="51"/>
      <c r="P18" s="51"/>
      <c r="Q18" s="51"/>
      <c r="R18" s="51"/>
      <c r="S18" s="311"/>
      <c r="T18" s="38"/>
      <c r="U18" s="36"/>
      <c r="V18" s="36"/>
      <c r="W18" s="36"/>
      <c r="X18" s="36"/>
      <c r="Y18" s="36"/>
      <c r="Z18" s="36"/>
      <c r="AA18" s="36"/>
      <c r="AB18" s="36"/>
      <c r="AC18" s="36"/>
      <c r="AD18" s="36"/>
      <c r="AE18" s="36"/>
      <c r="AF18" s="36"/>
      <c r="AG18" s="36"/>
      <c r="AH18" s="36"/>
      <c r="AI18" s="36"/>
      <c r="AJ18" s="36"/>
      <c r="AK18" s="36"/>
      <c r="AL18" s="39"/>
    </row>
    <row r="19" spans="1:38" x14ac:dyDescent="0.2">
      <c r="A19" s="13" t="s">
        <v>632</v>
      </c>
      <c r="B19" s="10"/>
      <c r="C19" s="10"/>
      <c r="D19" s="10"/>
      <c r="E19" s="10"/>
      <c r="F19" s="10"/>
      <c r="G19" s="10"/>
      <c r="H19" s="10"/>
      <c r="I19" s="10"/>
      <c r="J19" s="10"/>
      <c r="K19" s="10"/>
      <c r="L19" s="10"/>
      <c r="M19" s="10"/>
      <c r="N19" s="10"/>
      <c r="O19" s="10"/>
      <c r="P19" s="10"/>
      <c r="Q19" s="10"/>
      <c r="R19" s="10"/>
      <c r="S19" s="11"/>
      <c r="T19" s="14" t="s">
        <v>149</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312"/>
      <c r="B21" s="313"/>
      <c r="C21" s="313"/>
      <c r="D21" s="313"/>
      <c r="E21" s="313"/>
      <c r="F21" s="313"/>
      <c r="G21" s="313"/>
      <c r="H21" s="313"/>
      <c r="I21" s="313"/>
      <c r="J21" s="313"/>
      <c r="K21" s="313"/>
      <c r="L21" s="313"/>
      <c r="M21" s="313"/>
      <c r="N21" s="313"/>
      <c r="O21" s="313"/>
      <c r="P21" s="313"/>
      <c r="Q21" s="313"/>
      <c r="R21" s="313"/>
      <c r="S21" s="314"/>
      <c r="T21" s="24"/>
      <c r="U21" s="25"/>
      <c r="V21" s="25"/>
      <c r="W21" s="25"/>
      <c r="X21" s="25"/>
      <c r="Y21" s="25"/>
      <c r="Z21" s="25"/>
      <c r="AA21" s="25"/>
      <c r="AB21" s="25"/>
      <c r="AC21" s="25"/>
      <c r="AD21" s="25"/>
      <c r="AE21" s="25"/>
      <c r="AF21" s="25"/>
      <c r="AG21" s="25"/>
      <c r="AH21" s="25"/>
      <c r="AI21" s="25"/>
      <c r="AJ21" s="25"/>
      <c r="AK21" s="25"/>
      <c r="AL21" s="26"/>
    </row>
    <row r="22" spans="1:38" x14ac:dyDescent="0.2">
      <c r="A22" s="48"/>
      <c r="B22" s="68"/>
      <c r="C22" s="68"/>
      <c r="D22" s="68"/>
      <c r="E22" s="68"/>
      <c r="F22" s="68"/>
      <c r="G22" s="68"/>
      <c r="H22" s="68"/>
      <c r="I22" s="68"/>
      <c r="J22" s="68"/>
      <c r="K22" s="68"/>
      <c r="L22" s="68"/>
      <c r="M22" s="68"/>
      <c r="N22" s="68"/>
      <c r="O22" s="68"/>
      <c r="P22" s="68"/>
      <c r="Q22" s="68"/>
      <c r="R22" s="68"/>
      <c r="S22" s="310"/>
      <c r="T22" s="30"/>
      <c r="U22" s="31"/>
      <c r="V22" s="31"/>
      <c r="W22" s="31"/>
      <c r="X22" s="31"/>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x14ac:dyDescent="0.2">
      <c r="A25" s="48"/>
      <c r="B25" s="68"/>
      <c r="C25" s="68"/>
      <c r="D25" s="68"/>
      <c r="E25" s="68"/>
      <c r="F25" s="68"/>
      <c r="G25" s="68"/>
      <c r="H25" s="68"/>
      <c r="I25" s="68"/>
      <c r="J25" s="68"/>
      <c r="K25" s="68"/>
      <c r="L25" s="68"/>
      <c r="M25" s="68"/>
      <c r="N25" s="68"/>
      <c r="O25" s="68"/>
      <c r="P25" s="68"/>
      <c r="Q25" s="68"/>
      <c r="R25" s="68"/>
      <c r="S25" s="310"/>
      <c r="T25" s="30"/>
      <c r="U25" s="31"/>
      <c r="V25" s="31"/>
      <c r="W25" s="31"/>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31"/>
      <c r="X26" s="31"/>
      <c r="Y26" s="31"/>
      <c r="Z26" s="31"/>
      <c r="AA26" s="31"/>
      <c r="AB26" s="31"/>
      <c r="AC26" s="31"/>
      <c r="AD26" s="31"/>
      <c r="AE26" s="31"/>
      <c r="AF26" s="31"/>
      <c r="AG26" s="31"/>
      <c r="AH26" s="31"/>
      <c r="AI26" s="31"/>
      <c r="AJ26" s="31"/>
      <c r="AK26" s="31"/>
      <c r="AL26" s="32"/>
    </row>
    <row r="27" spans="1:38" x14ac:dyDescent="0.2">
      <c r="A27" s="48"/>
      <c r="B27" s="68"/>
      <c r="C27" s="68"/>
      <c r="D27" s="68"/>
      <c r="E27" s="68"/>
      <c r="F27" s="68"/>
      <c r="G27" s="68"/>
      <c r="H27" s="68"/>
      <c r="I27" s="68"/>
      <c r="J27" s="68"/>
      <c r="K27" s="68"/>
      <c r="L27" s="68"/>
      <c r="M27" s="68"/>
      <c r="N27" s="68"/>
      <c r="O27" s="68"/>
      <c r="P27" s="68"/>
      <c r="Q27" s="68"/>
      <c r="R27" s="68"/>
      <c r="S27" s="310"/>
      <c r="T27" s="30"/>
      <c r="U27" s="31"/>
      <c r="V27" s="31"/>
      <c r="W27" s="31"/>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33" t="s">
        <v>103</v>
      </c>
      <c r="H32" s="68"/>
      <c r="I32" s="68"/>
      <c r="J32" s="68"/>
      <c r="K32" s="68"/>
      <c r="L32" s="68"/>
      <c r="M32" s="68"/>
      <c r="N32" s="68"/>
      <c r="O32" s="68"/>
      <c r="P32" s="68"/>
      <c r="Q32" s="68"/>
      <c r="R32" s="68"/>
      <c r="S32" s="310"/>
      <c r="T32" s="30"/>
      <c r="U32" s="31"/>
      <c r="V32" s="31"/>
      <c r="W32" s="31"/>
      <c r="X32" s="31"/>
      <c r="Y32" s="31"/>
      <c r="Z32" s="33" t="s">
        <v>103</v>
      </c>
      <c r="AA32" s="31"/>
      <c r="AB32" s="31"/>
      <c r="AC32" s="31"/>
      <c r="AD32" s="31"/>
      <c r="AE32" s="31"/>
      <c r="AF32" s="31"/>
      <c r="AG32" s="31"/>
      <c r="AH32" s="31"/>
      <c r="AI32" s="31"/>
      <c r="AJ32" s="31"/>
      <c r="AK32" s="31"/>
      <c r="AL32" s="32"/>
    </row>
    <row r="33" spans="1:38" x14ac:dyDescent="0.2">
      <c r="A33" s="48"/>
      <c r="B33" s="68"/>
      <c r="C33" s="68"/>
      <c r="D33" s="33"/>
      <c r="E33" s="68"/>
      <c r="F33" s="68"/>
      <c r="G33" s="68"/>
      <c r="H33" s="68"/>
      <c r="I33" s="68"/>
      <c r="J33" s="68"/>
      <c r="K33" s="68"/>
      <c r="L33" s="68"/>
      <c r="M33" s="68"/>
      <c r="N33" s="68"/>
      <c r="O33" s="68"/>
      <c r="P33" s="68"/>
      <c r="Q33" s="68"/>
      <c r="R33" s="68"/>
      <c r="S33" s="310"/>
      <c r="T33" s="30"/>
      <c r="U33" s="31"/>
      <c r="V33" s="31"/>
      <c r="W33" s="31"/>
      <c r="X33" s="31"/>
      <c r="Y33" s="31"/>
      <c r="Z33" s="31"/>
      <c r="AA33" s="31"/>
      <c r="AB33" s="31"/>
      <c r="AC33" s="31"/>
      <c r="AD33" s="31"/>
      <c r="AE33" s="31"/>
      <c r="AF33" s="31"/>
      <c r="AG33" s="31"/>
      <c r="AH33" s="31"/>
      <c r="AI33" s="31"/>
      <c r="AJ33" s="31"/>
      <c r="AK33" s="31"/>
      <c r="AL33" s="32"/>
    </row>
    <row r="34" spans="1:38" x14ac:dyDescent="0.2">
      <c r="A34" s="48"/>
      <c r="B34" s="68"/>
      <c r="C34" s="68"/>
      <c r="D34" s="68"/>
      <c r="E34" s="68"/>
      <c r="F34" s="68"/>
      <c r="G34" s="33" t="s">
        <v>380</v>
      </c>
      <c r="H34" s="33"/>
      <c r="I34" s="68"/>
      <c r="J34" s="68"/>
      <c r="K34" s="68"/>
      <c r="L34" s="68"/>
      <c r="M34" s="68"/>
      <c r="N34" s="68"/>
      <c r="O34" s="68"/>
      <c r="P34" s="68"/>
      <c r="Q34" s="68"/>
      <c r="R34" s="68"/>
      <c r="S34" s="310"/>
      <c r="T34" s="30"/>
      <c r="U34" s="31"/>
      <c r="V34" s="31"/>
      <c r="W34" s="31"/>
      <c r="X34" s="31"/>
      <c r="Y34" s="31"/>
      <c r="Z34" s="33" t="s">
        <v>380</v>
      </c>
      <c r="AA34" s="31"/>
      <c r="AB34" s="31"/>
      <c r="AC34" s="31"/>
      <c r="AD34" s="31"/>
      <c r="AE34" s="31"/>
      <c r="AF34" s="31"/>
      <c r="AG34" s="31"/>
      <c r="AH34" s="31"/>
      <c r="AI34" s="31"/>
      <c r="AJ34" s="31"/>
      <c r="AK34" s="31"/>
      <c r="AL34" s="32"/>
    </row>
    <row r="35" spans="1:38" x14ac:dyDescent="0.2">
      <c r="A35" s="48"/>
      <c r="B35" s="68"/>
      <c r="C35" s="68"/>
      <c r="D35" s="68"/>
      <c r="E35" s="68"/>
      <c r="F35" s="68"/>
      <c r="G35" s="68"/>
      <c r="H35" s="68"/>
      <c r="I35" s="68"/>
      <c r="J35" s="68"/>
      <c r="K35" s="68"/>
      <c r="L35" s="68"/>
      <c r="M35" s="68"/>
      <c r="N35" s="68"/>
      <c r="O35" s="68"/>
      <c r="P35" s="68"/>
      <c r="Q35" s="68"/>
      <c r="R35" s="68"/>
      <c r="S35" s="310"/>
      <c r="T35" s="30"/>
      <c r="U35" s="31"/>
      <c r="V35" s="31"/>
      <c r="W35" s="31"/>
      <c r="X35" s="31"/>
      <c r="Y35" s="31"/>
      <c r="Z35" s="31"/>
      <c r="AA35" s="31"/>
      <c r="AB35" s="31"/>
      <c r="AC35" s="31"/>
      <c r="AD35" s="31"/>
      <c r="AE35" s="31"/>
      <c r="AF35" s="31"/>
      <c r="AG35" s="31"/>
      <c r="AH35" s="31"/>
      <c r="AI35" s="31"/>
      <c r="AJ35" s="31"/>
      <c r="AK35" s="31"/>
      <c r="AL35" s="32"/>
    </row>
    <row r="36" spans="1:38" x14ac:dyDescent="0.2">
      <c r="A36" s="48"/>
      <c r="B36" s="68"/>
      <c r="C36" s="68"/>
      <c r="D36" s="68"/>
      <c r="E36" s="68"/>
      <c r="F36" s="68"/>
      <c r="G36" s="68"/>
      <c r="H36" s="68"/>
      <c r="I36" s="68"/>
      <c r="J36" s="68"/>
      <c r="K36" s="68"/>
      <c r="L36" s="68"/>
      <c r="M36" s="68"/>
      <c r="N36" s="68"/>
      <c r="O36" s="68"/>
      <c r="P36" s="68"/>
      <c r="Q36" s="68"/>
      <c r="R36" s="68"/>
      <c r="S36" s="310"/>
      <c r="T36" s="30"/>
      <c r="U36" s="31"/>
      <c r="V36" s="31"/>
      <c r="W36" s="31"/>
      <c r="X36" s="31"/>
      <c r="Y36" s="31"/>
      <c r="Z36" s="31"/>
      <c r="AA36" s="31"/>
      <c r="AB36" s="31"/>
      <c r="AC36" s="31"/>
      <c r="AD36" s="31"/>
      <c r="AE36" s="31"/>
      <c r="AF36" s="31"/>
      <c r="AG36" s="31"/>
      <c r="AH36" s="31"/>
      <c r="AI36" s="31"/>
      <c r="AJ36" s="31"/>
      <c r="AK36" s="31"/>
      <c r="AL36" s="32"/>
    </row>
    <row r="37" spans="1:38" x14ac:dyDescent="0.2">
      <c r="A37" s="48"/>
      <c r="B37" s="68"/>
      <c r="C37" s="68"/>
      <c r="D37" s="68"/>
      <c r="E37" s="68"/>
      <c r="F37" s="68"/>
      <c r="G37" s="68"/>
      <c r="H37" s="68"/>
      <c r="I37" s="68"/>
      <c r="J37" s="68"/>
      <c r="K37" s="68"/>
      <c r="L37" s="68"/>
      <c r="M37" s="68"/>
      <c r="N37" s="68"/>
      <c r="O37" s="68"/>
      <c r="P37" s="68"/>
      <c r="Q37" s="68"/>
      <c r="R37" s="68"/>
      <c r="S37" s="310"/>
      <c r="T37" s="30"/>
      <c r="U37" s="31"/>
      <c r="V37" s="31"/>
      <c r="W37" s="31"/>
      <c r="X37" s="31"/>
      <c r="Y37" s="31"/>
      <c r="Z37" s="31"/>
      <c r="AA37" s="31"/>
      <c r="AB37" s="31"/>
      <c r="AC37" s="31"/>
      <c r="AD37" s="31"/>
      <c r="AE37" s="31"/>
      <c r="AF37" s="31"/>
      <c r="AG37" s="31"/>
      <c r="AH37" s="31"/>
      <c r="AI37" s="31"/>
      <c r="AJ37" s="31"/>
      <c r="AK37" s="31"/>
      <c r="AL37" s="32"/>
    </row>
    <row r="38" spans="1:38" x14ac:dyDescent="0.2">
      <c r="A38" s="48"/>
      <c r="B38" s="68"/>
      <c r="C38" s="68"/>
      <c r="D38" s="68"/>
      <c r="E38" s="68"/>
      <c r="F38" s="68"/>
      <c r="G38" s="68"/>
      <c r="H38" s="68"/>
      <c r="I38" s="68"/>
      <c r="J38" s="68"/>
      <c r="K38" s="68"/>
      <c r="L38" s="68"/>
      <c r="M38" s="68"/>
      <c r="N38" s="68"/>
      <c r="O38" s="68"/>
      <c r="P38" s="68"/>
      <c r="Q38" s="68"/>
      <c r="R38" s="68"/>
      <c r="S38" s="310"/>
      <c r="T38" s="30"/>
      <c r="U38" s="31"/>
      <c r="V38" s="31"/>
      <c r="W38" s="31"/>
      <c r="X38" s="31"/>
      <c r="Y38" s="31"/>
      <c r="Z38" s="31"/>
      <c r="AA38" s="31"/>
      <c r="AB38" s="31"/>
      <c r="AC38" s="31"/>
      <c r="AD38" s="31"/>
      <c r="AE38" s="31"/>
      <c r="AF38" s="31"/>
      <c r="AG38" s="31"/>
      <c r="AH38" s="31"/>
      <c r="AI38" s="31"/>
      <c r="AJ38" s="31"/>
      <c r="AK38" s="31"/>
      <c r="AL38" s="32"/>
    </row>
    <row r="39" spans="1:38" x14ac:dyDescent="0.2">
      <c r="A39" s="48"/>
      <c r="B39" s="68"/>
      <c r="C39" s="68"/>
      <c r="D39" s="68"/>
      <c r="E39" s="68"/>
      <c r="F39" s="68"/>
      <c r="G39" s="68"/>
      <c r="H39" s="68"/>
      <c r="I39" s="68"/>
      <c r="J39" s="68"/>
      <c r="K39" s="68"/>
      <c r="L39" s="68"/>
      <c r="M39" s="68"/>
      <c r="N39" s="68"/>
      <c r="O39" s="68"/>
      <c r="P39" s="68"/>
      <c r="Q39" s="68"/>
      <c r="R39" s="68"/>
      <c r="S39" s="310"/>
      <c r="T39" s="30"/>
      <c r="U39" s="31"/>
      <c r="V39" s="31"/>
      <c r="W39" s="31"/>
      <c r="X39" s="31"/>
      <c r="Y39" s="31"/>
      <c r="Z39" s="31"/>
      <c r="AA39" s="31"/>
      <c r="AB39" s="31"/>
      <c r="AC39" s="31"/>
      <c r="AD39" s="31"/>
      <c r="AE39" s="31"/>
      <c r="AF39" s="31"/>
      <c r="AG39" s="31"/>
      <c r="AH39" s="31"/>
      <c r="AI39" s="31"/>
      <c r="AJ39" s="31"/>
      <c r="AK39" s="31"/>
      <c r="AL39" s="32"/>
    </row>
    <row r="40" spans="1:38" x14ac:dyDescent="0.2">
      <c r="A40" s="48"/>
      <c r="B40" s="68"/>
      <c r="C40" s="68"/>
      <c r="D40" s="68"/>
      <c r="E40" s="68"/>
      <c r="F40" s="68"/>
      <c r="G40" s="68"/>
      <c r="H40" s="68"/>
      <c r="I40" s="68"/>
      <c r="J40" s="68"/>
      <c r="K40" s="68"/>
      <c r="L40" s="68"/>
      <c r="M40" s="68"/>
      <c r="N40" s="68"/>
      <c r="O40" s="68"/>
      <c r="P40" s="68"/>
      <c r="Q40" s="68"/>
      <c r="R40" s="68"/>
      <c r="S40" s="310"/>
      <c r="T40" s="30"/>
      <c r="U40" s="31"/>
      <c r="V40" s="31"/>
      <c r="W40" s="31"/>
      <c r="X40" s="31"/>
      <c r="Y40" s="31"/>
      <c r="Z40" s="31"/>
      <c r="AA40" s="31"/>
      <c r="AB40" s="31"/>
      <c r="AC40" s="31"/>
      <c r="AD40" s="31"/>
      <c r="AE40" s="31"/>
      <c r="AF40" s="31"/>
      <c r="AG40" s="31"/>
      <c r="AH40" s="31"/>
      <c r="AI40" s="31"/>
      <c r="AJ40" s="31"/>
      <c r="AK40" s="31"/>
      <c r="AL40" s="32"/>
    </row>
    <row r="41" spans="1:38" x14ac:dyDescent="0.2">
      <c r="A41" s="48"/>
      <c r="B41" s="68"/>
      <c r="C41" s="68"/>
      <c r="D41" s="68"/>
      <c r="E41" s="68"/>
      <c r="F41" s="68"/>
      <c r="G41" s="68"/>
      <c r="H41" s="68"/>
      <c r="I41" s="68"/>
      <c r="J41" s="68"/>
      <c r="K41" s="68"/>
      <c r="L41" s="68"/>
      <c r="M41" s="68"/>
      <c r="N41" s="68"/>
      <c r="O41" s="68"/>
      <c r="P41" s="68"/>
      <c r="Q41" s="68"/>
      <c r="R41" s="68"/>
      <c r="S41" s="310"/>
      <c r="T41" s="30"/>
      <c r="U41" s="31"/>
      <c r="V41" s="31"/>
      <c r="W41" s="31"/>
      <c r="X41" s="31"/>
      <c r="Y41" s="31"/>
      <c r="Z41" s="31"/>
      <c r="AA41" s="31"/>
      <c r="AB41" s="31"/>
      <c r="AC41" s="31"/>
      <c r="AD41" s="31"/>
      <c r="AE41" s="31"/>
      <c r="AF41" s="31"/>
      <c r="AG41" s="31"/>
      <c r="AH41" s="31"/>
      <c r="AI41" s="31"/>
      <c r="AJ41" s="31"/>
      <c r="AK41" s="31"/>
      <c r="AL41" s="32"/>
    </row>
    <row r="42" spans="1:38" x14ac:dyDescent="0.2">
      <c r="A42" s="50"/>
      <c r="B42" s="51"/>
      <c r="C42" s="51"/>
      <c r="D42" s="51"/>
      <c r="E42" s="51"/>
      <c r="F42" s="51"/>
      <c r="G42" s="51"/>
      <c r="H42" s="51"/>
      <c r="I42" s="51"/>
      <c r="J42" s="51"/>
      <c r="K42" s="51"/>
      <c r="L42" s="51"/>
      <c r="M42" s="51"/>
      <c r="N42" s="51"/>
      <c r="O42" s="51"/>
      <c r="P42" s="51"/>
      <c r="Q42" s="51"/>
      <c r="R42" s="51"/>
      <c r="S42" s="311"/>
      <c r="T42" s="38"/>
      <c r="U42" s="36"/>
      <c r="V42" s="36"/>
      <c r="W42" s="36"/>
      <c r="X42" s="36"/>
      <c r="Y42" s="36"/>
      <c r="Z42" s="36"/>
      <c r="AA42" s="36"/>
      <c r="AB42" s="36"/>
      <c r="AC42" s="36"/>
      <c r="AD42" s="36"/>
      <c r="AE42" s="36"/>
      <c r="AF42" s="36"/>
      <c r="AG42" s="36"/>
      <c r="AH42" s="36"/>
      <c r="AI42" s="36"/>
      <c r="AJ42" s="36"/>
      <c r="AK42" s="36"/>
      <c r="AL42" s="39"/>
    </row>
    <row r="43" spans="1:38" x14ac:dyDescent="0.2">
      <c r="A43" s="130" t="s">
        <v>633</v>
      </c>
      <c r="B43" s="131"/>
      <c r="C43" s="131"/>
      <c r="D43" s="131"/>
      <c r="E43" s="131"/>
      <c r="F43" s="131"/>
      <c r="G43" s="131"/>
      <c r="H43" s="131"/>
      <c r="I43" s="131"/>
      <c r="J43" s="131"/>
      <c r="K43" s="131"/>
      <c r="L43" s="131"/>
      <c r="M43" s="131"/>
      <c r="N43" s="131"/>
      <c r="O43" s="131"/>
      <c r="P43" s="131"/>
      <c r="Q43" s="131"/>
      <c r="R43" s="131"/>
      <c r="S43" s="132"/>
      <c r="T43" s="130" t="s">
        <v>146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row>
    <row r="46" spans="1:38" ht="14.25" customHeight="1" x14ac:dyDescent="0.2">
      <c r="A46" s="683" t="s">
        <v>111</v>
      </c>
      <c r="B46" s="684"/>
      <c r="C46" s="689"/>
      <c r="D46" s="690"/>
      <c r="E46" s="684" t="s">
        <v>112</v>
      </c>
      <c r="F46" s="684"/>
      <c r="G46" s="689"/>
      <c r="H46" s="690"/>
      <c r="I46" s="138"/>
      <c r="J46" s="136"/>
      <c r="K46" s="136"/>
      <c r="L46" s="136"/>
      <c r="M46" s="139" t="s">
        <v>148</v>
      </c>
      <c r="N46" s="694">
        <f>IF(C47&gt;0,(((G47-G46)/(C47-C46))^-1-IF(AG52&gt;0,AG52^-1,0))^-1,0)</f>
        <v>0</v>
      </c>
      <c r="O46" s="695"/>
      <c r="P46" s="696"/>
      <c r="Q46" s="697"/>
      <c r="R46" s="697"/>
      <c r="S46" s="137"/>
      <c r="T46" s="683" t="s">
        <v>111</v>
      </c>
      <c r="U46" s="684"/>
      <c r="V46" s="689">
        <v>0</v>
      </c>
      <c r="W46" s="690"/>
      <c r="X46" s="684" t="s">
        <v>112</v>
      </c>
      <c r="Y46" s="684"/>
      <c r="Z46" s="689">
        <v>0</v>
      </c>
      <c r="AA46" s="690"/>
      <c r="AB46" s="138"/>
      <c r="AC46" s="136"/>
      <c r="AD46" s="136"/>
      <c r="AE46" s="136"/>
      <c r="AF46" s="139" t="s">
        <v>148</v>
      </c>
      <c r="AG46" s="666">
        <f>IF((V47-V46)&gt;0,(Z47-Z46)/(V47-V46),0)</f>
        <v>0</v>
      </c>
      <c r="AH46" s="667"/>
      <c r="AI46" s="136"/>
      <c r="AJ46" s="136"/>
      <c r="AK46" s="136"/>
      <c r="AL46" s="137"/>
    </row>
    <row r="47" spans="1:38" ht="14.25" customHeight="1" x14ac:dyDescent="0.2">
      <c r="A47" s="683" t="s">
        <v>113</v>
      </c>
      <c r="B47" s="684"/>
      <c r="C47" s="689"/>
      <c r="D47" s="690"/>
      <c r="E47" s="684" t="s">
        <v>114</v>
      </c>
      <c r="F47" s="684"/>
      <c r="G47" s="689"/>
      <c r="H47" s="690"/>
      <c r="I47" s="133"/>
      <c r="J47" s="105"/>
      <c r="K47" s="105"/>
      <c r="L47" s="105"/>
      <c r="M47" s="105"/>
      <c r="N47" s="105"/>
      <c r="O47" s="105"/>
      <c r="P47" s="136"/>
      <c r="Q47" s="136"/>
      <c r="R47" s="136"/>
      <c r="S47" s="137"/>
      <c r="T47" s="683" t="s">
        <v>113</v>
      </c>
      <c r="U47" s="684"/>
      <c r="V47" s="689">
        <v>0</v>
      </c>
      <c r="W47" s="690"/>
      <c r="X47" s="684" t="s">
        <v>114</v>
      </c>
      <c r="Y47" s="684"/>
      <c r="Z47" s="689">
        <v>0</v>
      </c>
      <c r="AA47" s="690"/>
      <c r="AB47" s="133"/>
      <c r="AC47" s="133"/>
      <c r="AD47" s="133"/>
      <c r="AE47" s="133"/>
      <c r="AF47" s="133"/>
      <c r="AG47" s="133"/>
      <c r="AH47" s="133"/>
      <c r="AI47" s="136"/>
      <c r="AJ47" s="136"/>
      <c r="AK47" s="136"/>
      <c r="AL47" s="137"/>
    </row>
    <row r="48" spans="1:38" x14ac:dyDescent="0.2">
      <c r="A48" s="140"/>
      <c r="B48" s="136"/>
      <c r="C48" s="136"/>
      <c r="D48" s="136"/>
      <c r="E48" s="136"/>
      <c r="F48" s="136"/>
      <c r="G48" s="136"/>
      <c r="H48" s="136"/>
      <c r="I48" s="136"/>
      <c r="J48" s="136"/>
      <c r="K48" s="136"/>
      <c r="L48" s="136"/>
      <c r="M48" s="136"/>
      <c r="N48" s="136"/>
      <c r="O48" s="136"/>
      <c r="P48" s="136"/>
      <c r="Q48" s="136"/>
      <c r="R48" s="136"/>
      <c r="S48" s="137"/>
      <c r="T48" s="130"/>
      <c r="U48" s="133"/>
      <c r="V48" s="133"/>
      <c r="W48" s="133"/>
      <c r="X48" s="133"/>
      <c r="Y48" s="133"/>
      <c r="Z48" s="133"/>
      <c r="AA48" s="133"/>
      <c r="AB48" s="133"/>
      <c r="AC48" s="133"/>
      <c r="AD48" s="133"/>
      <c r="AE48" s="133"/>
      <c r="AF48" s="133"/>
      <c r="AG48" s="133"/>
      <c r="AH48" s="133"/>
      <c r="AI48" s="133"/>
      <c r="AJ48" s="133"/>
      <c r="AK48" s="133"/>
      <c r="AL48" s="134"/>
    </row>
    <row r="49" spans="1:38" x14ac:dyDescent="0.2">
      <c r="A49" s="130" t="s">
        <v>122</v>
      </c>
      <c r="B49" s="136"/>
      <c r="C49" s="136"/>
      <c r="D49" s="136"/>
      <c r="E49" s="136"/>
      <c r="F49" s="136"/>
      <c r="G49" s="136"/>
      <c r="H49" s="136"/>
      <c r="I49" s="136"/>
      <c r="J49" s="136"/>
      <c r="K49" s="136"/>
      <c r="L49" s="136"/>
      <c r="M49" s="136"/>
      <c r="N49" s="136"/>
      <c r="O49" s="136"/>
      <c r="P49" s="136"/>
      <c r="Q49" s="136"/>
      <c r="R49" s="136"/>
      <c r="S49" s="137"/>
      <c r="T49" s="130" t="s">
        <v>133</v>
      </c>
      <c r="U49" s="133"/>
      <c r="V49" s="133"/>
      <c r="W49" s="133"/>
      <c r="X49" s="133"/>
      <c r="Y49" s="133"/>
      <c r="Z49" s="133"/>
      <c r="AA49" s="133"/>
      <c r="AB49" s="133"/>
      <c r="AC49" s="133"/>
      <c r="AD49" s="133"/>
      <c r="AE49" s="133"/>
      <c r="AF49" s="133"/>
      <c r="AG49" s="133"/>
      <c r="AH49" s="133"/>
      <c r="AI49" s="133"/>
      <c r="AJ49" s="133"/>
      <c r="AK49" s="133"/>
      <c r="AL49" s="134"/>
    </row>
    <row r="50" spans="1:38" ht="15" x14ac:dyDescent="0.2">
      <c r="A50" s="683" t="s">
        <v>115</v>
      </c>
      <c r="B50" s="684"/>
      <c r="C50" s="685"/>
      <c r="D50" s="686"/>
      <c r="E50" s="138"/>
      <c r="F50" s="136"/>
      <c r="G50" s="136"/>
      <c r="H50" s="136"/>
      <c r="I50" s="136"/>
      <c r="J50" s="136"/>
      <c r="K50" s="136"/>
      <c r="L50" s="136"/>
      <c r="M50" s="136"/>
      <c r="N50" s="136"/>
      <c r="O50" s="136"/>
      <c r="P50" s="136"/>
      <c r="Q50" s="136"/>
      <c r="R50" s="136"/>
      <c r="S50" s="137"/>
      <c r="T50" s="130"/>
      <c r="U50" s="141" t="s">
        <v>141</v>
      </c>
      <c r="V50" s="687">
        <f>C53</f>
        <v>400</v>
      </c>
      <c r="W50" s="688"/>
      <c r="X50" s="142" t="s">
        <v>144</v>
      </c>
      <c r="Y50" s="142"/>
      <c r="Z50" s="142"/>
      <c r="AA50" s="142"/>
      <c r="AB50" s="133"/>
      <c r="AC50" s="133"/>
      <c r="AD50" s="133"/>
      <c r="AE50" s="133"/>
      <c r="AF50" s="139" t="s">
        <v>143</v>
      </c>
      <c r="AG50" s="676">
        <f>V51*(1/64)*PI()*(V52^4-V53^4)*200000</f>
        <v>1744439000.4490404</v>
      </c>
      <c r="AH50" s="677"/>
      <c r="AI50" s="348">
        <f>AG50*48/V50^3</f>
        <v>1308.3292503367802</v>
      </c>
      <c r="AJ50" s="133"/>
      <c r="AK50" s="133"/>
      <c r="AL50" s="134"/>
    </row>
    <row r="51" spans="1:38" ht="15" x14ac:dyDescent="0.2">
      <c r="A51" s="140"/>
      <c r="B51" s="136"/>
      <c r="C51" s="678"/>
      <c r="D51" s="678"/>
      <c r="E51" s="136"/>
      <c r="F51" s="136"/>
      <c r="G51" s="136"/>
      <c r="H51" s="136"/>
      <c r="I51" s="136"/>
      <c r="J51" s="136"/>
      <c r="K51" s="136"/>
      <c r="L51" s="136"/>
      <c r="M51" s="136"/>
      <c r="N51" s="136"/>
      <c r="O51" s="136"/>
      <c r="P51" s="136"/>
      <c r="Q51" s="136"/>
      <c r="R51" s="136"/>
      <c r="S51" s="137"/>
      <c r="T51" s="130"/>
      <c r="U51" s="139" t="s">
        <v>134</v>
      </c>
      <c r="V51" s="679">
        <v>1</v>
      </c>
      <c r="W51" s="680"/>
      <c r="X51" s="133" t="s">
        <v>147</v>
      </c>
      <c r="Y51" s="133"/>
      <c r="Z51" s="133"/>
      <c r="AA51" s="133"/>
      <c r="AB51" s="133"/>
      <c r="AC51" s="133"/>
      <c r="AD51" s="133"/>
      <c r="AE51" s="133"/>
      <c r="AF51" s="139" t="s">
        <v>145</v>
      </c>
      <c r="AG51" s="676">
        <f>IF(AG46&gt;0,(AG46*V50^3)/48,AG50)</f>
        <v>1744439000.4490404</v>
      </c>
      <c r="AH51" s="677"/>
      <c r="AI51" s="348">
        <f>AG51*48/V50^3</f>
        <v>1308.3292503367802</v>
      </c>
      <c r="AJ51" s="133"/>
      <c r="AK51" s="133"/>
      <c r="AL51" s="134"/>
    </row>
    <row r="52" spans="1:38" ht="14.25" x14ac:dyDescent="0.25">
      <c r="A52" s="135" t="s">
        <v>140</v>
      </c>
      <c r="B52" s="136"/>
      <c r="C52" s="136"/>
      <c r="D52" s="136"/>
      <c r="E52" s="136"/>
      <c r="F52" s="136"/>
      <c r="G52" s="136"/>
      <c r="H52" s="136"/>
      <c r="I52" s="136"/>
      <c r="J52" s="136"/>
      <c r="K52" s="136"/>
      <c r="L52" s="136"/>
      <c r="M52" s="136"/>
      <c r="N52" s="136"/>
      <c r="O52" s="136"/>
      <c r="P52" s="136"/>
      <c r="Q52" s="136"/>
      <c r="R52" s="136"/>
      <c r="S52" s="137"/>
      <c r="T52" s="130"/>
      <c r="U52" s="139" t="s">
        <v>137</v>
      </c>
      <c r="V52" s="679">
        <v>25.4</v>
      </c>
      <c r="W52" s="680"/>
      <c r="X52" s="133" t="s">
        <v>135</v>
      </c>
      <c r="Y52" s="133"/>
      <c r="Z52" s="133"/>
      <c r="AA52" s="133"/>
      <c r="AB52" s="133"/>
      <c r="AC52" s="133"/>
      <c r="AD52" s="133"/>
      <c r="AE52" s="133"/>
      <c r="AF52" s="139" t="s">
        <v>139</v>
      </c>
      <c r="AG52" s="681">
        <f>IF(AG51&gt;=AG50,0,(AI51^-1-AI50^-1)^-1)</f>
        <v>0</v>
      </c>
      <c r="AH52" s="682"/>
      <c r="AI52" s="133"/>
      <c r="AJ52" s="133"/>
      <c r="AK52" s="133"/>
      <c r="AL52" s="134"/>
    </row>
    <row r="53" spans="1:38" ht="12.75" customHeight="1" x14ac:dyDescent="0.25">
      <c r="A53" s="143"/>
      <c r="B53" s="144" t="s">
        <v>141</v>
      </c>
      <c r="C53" s="689">
        <v>400</v>
      </c>
      <c r="D53" s="690"/>
      <c r="E53" s="138" t="s">
        <v>142</v>
      </c>
      <c r="F53" s="136"/>
      <c r="G53" s="136"/>
      <c r="H53" s="136"/>
      <c r="I53" s="136"/>
      <c r="J53" s="136"/>
      <c r="K53" s="136"/>
      <c r="L53" s="136"/>
      <c r="M53" s="136"/>
      <c r="N53" s="136"/>
      <c r="O53" s="136"/>
      <c r="P53" s="136"/>
      <c r="Q53" s="136"/>
      <c r="R53" s="136"/>
      <c r="S53" s="137"/>
      <c r="T53" s="130"/>
      <c r="U53" s="139" t="s">
        <v>138</v>
      </c>
      <c r="V53" s="679">
        <v>22.1</v>
      </c>
      <c r="W53" s="680"/>
      <c r="X53" s="133" t="s">
        <v>136</v>
      </c>
      <c r="Y53" s="133"/>
      <c r="Z53" s="133"/>
      <c r="AA53" s="133"/>
      <c r="AB53" s="133"/>
      <c r="AC53" s="133"/>
      <c r="AD53" s="133"/>
      <c r="AE53" s="133"/>
      <c r="AF53" s="133"/>
      <c r="AG53" s="133"/>
      <c r="AH53" s="133"/>
      <c r="AI53" s="133"/>
      <c r="AJ53" s="133"/>
      <c r="AK53" s="133"/>
      <c r="AL53" s="134"/>
    </row>
    <row r="54" spans="1:38" x14ac:dyDescent="0.2">
      <c r="A54" s="668" t="s">
        <v>107</v>
      </c>
      <c r="B54" s="669"/>
      <c r="C54" s="689">
        <v>275</v>
      </c>
      <c r="D54" s="690"/>
      <c r="E54" s="138" t="s">
        <v>100</v>
      </c>
      <c r="F54" s="136"/>
      <c r="G54" s="136"/>
      <c r="H54" s="136"/>
      <c r="I54" s="136"/>
      <c r="J54" s="136"/>
      <c r="K54" s="136"/>
      <c r="L54" s="136"/>
      <c r="M54" s="136"/>
      <c r="N54" s="136"/>
      <c r="O54" s="136"/>
      <c r="P54" s="136"/>
      <c r="Q54" s="136"/>
      <c r="R54" s="136"/>
      <c r="S54" s="137"/>
      <c r="T54" s="130"/>
      <c r="U54" s="133"/>
      <c r="V54" s="133"/>
      <c r="W54" s="133"/>
      <c r="X54" s="133"/>
      <c r="Y54" s="133"/>
      <c r="Z54" s="133"/>
      <c r="AA54" s="133"/>
      <c r="AB54" s="133"/>
      <c r="AC54" s="133"/>
      <c r="AD54" s="133"/>
      <c r="AE54" s="133"/>
      <c r="AF54" s="133"/>
      <c r="AG54" s="133"/>
      <c r="AH54" s="133"/>
      <c r="AI54" s="133"/>
      <c r="AJ54" s="133"/>
      <c r="AK54" s="133"/>
      <c r="AL54" s="134"/>
    </row>
    <row r="55" spans="1:38" x14ac:dyDescent="0.2">
      <c r="A55" s="668" t="s">
        <v>108</v>
      </c>
      <c r="B55" s="669"/>
      <c r="C55" s="679">
        <v>18</v>
      </c>
      <c r="D55" s="680"/>
      <c r="E55" s="133" t="s">
        <v>227</v>
      </c>
      <c r="F55" s="133"/>
      <c r="G55" s="133"/>
      <c r="H55" s="133"/>
      <c r="I55" s="133"/>
      <c r="J55" s="133"/>
      <c r="K55" s="133"/>
      <c r="L55" s="133"/>
      <c r="M55" s="133"/>
      <c r="N55" s="133"/>
      <c r="O55" s="136"/>
      <c r="P55" s="136"/>
      <c r="Q55" s="136"/>
      <c r="R55" s="136"/>
      <c r="S55" s="137"/>
      <c r="T55" s="130"/>
      <c r="U55" s="133"/>
      <c r="V55" s="133"/>
      <c r="W55" s="133"/>
      <c r="X55" s="133"/>
      <c r="Y55" s="133"/>
      <c r="Z55" s="133"/>
      <c r="AA55" s="133"/>
      <c r="AB55" s="133"/>
      <c r="AC55" s="133"/>
      <c r="AD55" s="133"/>
      <c r="AE55" s="133"/>
      <c r="AF55" s="133"/>
      <c r="AG55" s="133"/>
      <c r="AH55" s="133"/>
      <c r="AI55" s="133"/>
      <c r="AJ55" s="133"/>
      <c r="AK55" s="133"/>
      <c r="AL55" s="134"/>
    </row>
    <row r="56" spans="1:38" ht="15.75" customHeight="1" x14ac:dyDescent="0.25">
      <c r="A56" s="668" t="s">
        <v>116</v>
      </c>
      <c r="B56" s="669"/>
      <c r="C56" s="679">
        <v>1</v>
      </c>
      <c r="D56" s="680"/>
      <c r="E56" s="133" t="s">
        <v>228</v>
      </c>
      <c r="F56" s="133"/>
      <c r="G56" s="133"/>
      <c r="H56" s="133"/>
      <c r="I56" s="133"/>
      <c r="J56" s="133"/>
      <c r="K56" s="133"/>
      <c r="L56" s="133"/>
      <c r="M56" s="133"/>
      <c r="N56" s="133"/>
      <c r="O56" s="136"/>
      <c r="P56" s="136"/>
      <c r="Q56" s="136"/>
      <c r="R56" s="136"/>
      <c r="S56" s="137"/>
      <c r="T56" s="130"/>
      <c r="U56" s="133"/>
      <c r="V56" s="133"/>
      <c r="W56" s="133"/>
      <c r="X56" s="133"/>
      <c r="Y56" s="133"/>
      <c r="Z56" s="133"/>
      <c r="AA56" s="133"/>
      <c r="AB56" s="133"/>
      <c r="AC56" s="133"/>
      <c r="AD56" s="133"/>
      <c r="AE56" s="146"/>
      <c r="AF56" s="133"/>
      <c r="AG56" s="133"/>
      <c r="AH56" s="133"/>
      <c r="AI56" s="133"/>
      <c r="AJ56" s="133"/>
      <c r="AK56" s="133"/>
      <c r="AL56" s="134"/>
    </row>
    <row r="57" spans="1:38" ht="15.75" customHeight="1" x14ac:dyDescent="0.25">
      <c r="A57" s="668" t="s">
        <v>117</v>
      </c>
      <c r="B57" s="669"/>
      <c r="C57" s="679">
        <v>1</v>
      </c>
      <c r="D57" s="680"/>
      <c r="E57" s="133" t="s">
        <v>229</v>
      </c>
      <c r="F57" s="133"/>
      <c r="G57" s="133"/>
      <c r="H57" s="133"/>
      <c r="I57" s="133"/>
      <c r="J57" s="133"/>
      <c r="K57" s="133"/>
      <c r="L57" s="133"/>
      <c r="M57" s="133"/>
      <c r="N57" s="133"/>
      <c r="O57" s="136"/>
      <c r="P57" s="136"/>
      <c r="Q57" s="136"/>
      <c r="R57" s="136"/>
      <c r="S57" s="137"/>
      <c r="T57" s="130"/>
      <c r="U57" s="133"/>
      <c r="V57" s="133"/>
      <c r="W57" s="133"/>
      <c r="X57" s="133"/>
      <c r="Y57" s="133"/>
      <c r="Z57" s="133"/>
      <c r="AA57" s="133"/>
      <c r="AB57" s="133"/>
      <c r="AC57" s="133"/>
      <c r="AD57" s="133"/>
      <c r="AE57" s="146"/>
      <c r="AF57" s="133"/>
      <c r="AG57" s="133"/>
      <c r="AH57" s="133"/>
      <c r="AI57" s="133"/>
      <c r="AJ57" s="133"/>
      <c r="AK57" s="133"/>
      <c r="AL57" s="134"/>
    </row>
    <row r="58" spans="1:38" ht="15" x14ac:dyDescent="0.2">
      <c r="A58" s="147"/>
      <c r="B58" s="139" t="s">
        <v>118</v>
      </c>
      <c r="C58" s="672">
        <f>(C54*(((C55+C56+C57)^3)-(C55^3)))/12</f>
        <v>49683.333333333336</v>
      </c>
      <c r="D58" s="673"/>
      <c r="E58" s="133" t="s">
        <v>109</v>
      </c>
      <c r="F58" s="133"/>
      <c r="G58" s="133"/>
      <c r="H58" s="133"/>
      <c r="I58" s="133"/>
      <c r="J58" s="133"/>
      <c r="K58" s="133"/>
      <c r="L58" s="133"/>
      <c r="M58" s="133"/>
      <c r="N58" s="133"/>
      <c r="O58" s="136"/>
      <c r="P58" s="136"/>
      <c r="Q58" s="136"/>
      <c r="R58" s="136"/>
      <c r="S58" s="137"/>
      <c r="T58" s="130"/>
      <c r="U58" s="133"/>
      <c r="V58" s="133"/>
      <c r="W58" s="133"/>
      <c r="X58" s="133"/>
      <c r="Y58" s="133"/>
      <c r="Z58" s="133"/>
      <c r="AA58" s="133"/>
      <c r="AB58" s="133"/>
      <c r="AC58" s="133"/>
      <c r="AD58" s="133"/>
      <c r="AE58" s="146"/>
      <c r="AF58" s="133"/>
      <c r="AG58" s="133"/>
      <c r="AH58" s="133"/>
      <c r="AI58" s="133"/>
      <c r="AJ58" s="133"/>
      <c r="AK58" s="133"/>
      <c r="AL58" s="134"/>
    </row>
    <row r="59" spans="1:38" x14ac:dyDescent="0.2">
      <c r="A59" s="140"/>
      <c r="B59" s="139" t="s">
        <v>110</v>
      </c>
      <c r="C59" s="674">
        <f>IF(C47&gt;0,0.001*((N46*(C47-C46)*C53^3)/(48*C58*(C47-C46))),0)</f>
        <v>0</v>
      </c>
      <c r="D59" s="675"/>
      <c r="E59" s="138" t="s">
        <v>230</v>
      </c>
      <c r="F59" s="136"/>
      <c r="G59" s="136"/>
      <c r="H59" s="136"/>
      <c r="I59" s="136"/>
      <c r="J59" s="136"/>
      <c r="K59" s="136"/>
      <c r="L59" s="136"/>
      <c r="M59" s="136"/>
      <c r="N59" s="136"/>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x14ac:dyDescent="0.2">
      <c r="A60" s="148"/>
      <c r="B60" s="149" t="s">
        <v>170</v>
      </c>
      <c r="C60" s="666">
        <f>C50*C53*0.5*SUM(C55:D57)/(4*C58)</f>
        <v>0</v>
      </c>
      <c r="D60" s="667"/>
      <c r="E60" s="150" t="s">
        <v>231</v>
      </c>
      <c r="F60" s="151"/>
      <c r="G60" s="151"/>
      <c r="H60" s="151"/>
      <c r="I60" s="151"/>
      <c r="J60" s="151"/>
      <c r="K60" s="151"/>
      <c r="L60" s="151"/>
      <c r="M60" s="151"/>
      <c r="N60" s="151"/>
      <c r="O60" s="151"/>
      <c r="P60" s="151"/>
      <c r="Q60" s="151"/>
      <c r="R60" s="151"/>
      <c r="S60" s="152"/>
      <c r="T60" s="153"/>
      <c r="U60" s="154"/>
      <c r="V60" s="154"/>
      <c r="W60" s="154"/>
      <c r="X60" s="154"/>
      <c r="Y60" s="154"/>
      <c r="Z60" s="154"/>
      <c r="AA60" s="154"/>
      <c r="AB60" s="154"/>
      <c r="AC60" s="154"/>
      <c r="AD60" s="154"/>
      <c r="AE60" s="154"/>
      <c r="AF60" s="154"/>
      <c r="AG60" s="154"/>
      <c r="AH60" s="154"/>
      <c r="AI60" s="154"/>
      <c r="AJ60" s="154"/>
      <c r="AK60" s="154"/>
      <c r="AL60" s="155"/>
    </row>
    <row r="61" spans="1:38" x14ac:dyDescent="0.2">
      <c r="A61" s="24"/>
      <c r="B61" s="25"/>
      <c r="C61" s="25"/>
      <c r="D61" s="25"/>
      <c r="E61" s="25"/>
      <c r="F61" s="25"/>
      <c r="G61" s="25"/>
      <c r="H61" s="25"/>
      <c r="I61" s="25"/>
      <c r="J61" s="25"/>
      <c r="K61" s="25"/>
      <c r="L61" s="25"/>
      <c r="M61" s="25"/>
      <c r="N61" s="25"/>
      <c r="O61" s="25"/>
      <c r="P61" s="25"/>
      <c r="Q61" s="25"/>
      <c r="R61" s="25"/>
      <c r="S61" s="26"/>
      <c r="T61" s="25"/>
      <c r="U61" s="25"/>
      <c r="V61" s="25"/>
      <c r="W61" s="25"/>
      <c r="X61" s="25"/>
      <c r="Y61" s="25"/>
      <c r="Z61" s="25"/>
      <c r="AA61" s="25"/>
      <c r="AB61" s="25"/>
      <c r="AC61" s="25"/>
      <c r="AD61" s="25"/>
      <c r="AE61" s="25"/>
      <c r="AF61" s="25"/>
      <c r="AG61" s="25"/>
      <c r="AH61" s="25"/>
      <c r="AI61" s="25"/>
      <c r="AJ61" s="25"/>
      <c r="AK61" s="25"/>
      <c r="AL61" s="26"/>
    </row>
    <row r="62" spans="1:38"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row>
    <row r="63" spans="1:38"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8"/>
      <c r="B186" s="36"/>
      <c r="C186" s="36"/>
      <c r="D186" s="36"/>
      <c r="E186" s="36"/>
      <c r="F186" s="36"/>
      <c r="G186" s="36"/>
      <c r="H186" s="36"/>
      <c r="I186" s="36"/>
      <c r="J186" s="36"/>
      <c r="K186" s="36"/>
      <c r="L186" s="36"/>
      <c r="M186" s="36"/>
      <c r="N186" s="36"/>
      <c r="O186" s="36"/>
      <c r="P186" s="36"/>
      <c r="Q186" s="36"/>
      <c r="R186" s="36"/>
      <c r="S186" s="39"/>
      <c r="T186" s="36"/>
      <c r="U186" s="36"/>
      <c r="V186" s="36"/>
      <c r="W186" s="36"/>
      <c r="X186" s="36"/>
      <c r="Y186" s="36"/>
      <c r="Z186" s="36"/>
      <c r="AA186" s="36"/>
      <c r="AB186" s="36"/>
      <c r="AC186" s="36"/>
      <c r="AD186" s="36"/>
      <c r="AE186" s="36"/>
      <c r="AF186" s="36"/>
      <c r="AG186" s="36"/>
      <c r="AH186" s="36"/>
      <c r="AI186" s="36"/>
      <c r="AJ186" s="36"/>
      <c r="AK186" s="36"/>
      <c r="AL186" s="39"/>
    </row>
  </sheetData>
  <sheetProtection password="E10F" sheet="1"/>
  <mergeCells count="48">
    <mergeCell ref="A1:S1"/>
    <mergeCell ref="T1:AL1"/>
    <mergeCell ref="D3:J3"/>
    <mergeCell ref="O3:S3"/>
    <mergeCell ref="W3:AC3"/>
    <mergeCell ref="AH3:AL3"/>
    <mergeCell ref="A5:S5"/>
    <mergeCell ref="A46:B46"/>
    <mergeCell ref="C46:D46"/>
    <mergeCell ref="E46:F46"/>
    <mergeCell ref="G46:H46"/>
    <mergeCell ref="N46:O46"/>
    <mergeCell ref="P46:R46"/>
    <mergeCell ref="AG46:AH46"/>
    <mergeCell ref="A47:B47"/>
    <mergeCell ref="C47:D47"/>
    <mergeCell ref="E47:F47"/>
    <mergeCell ref="G47:H47"/>
    <mergeCell ref="T47:U47"/>
    <mergeCell ref="T46:U46"/>
    <mergeCell ref="V46:W46"/>
    <mergeCell ref="X46:Y46"/>
    <mergeCell ref="Z46:AA46"/>
    <mergeCell ref="V47:W47"/>
    <mergeCell ref="X47:Y47"/>
    <mergeCell ref="Z47:AA47"/>
    <mergeCell ref="A50:B50"/>
    <mergeCell ref="C50:D50"/>
    <mergeCell ref="V50:W50"/>
    <mergeCell ref="C55:D55"/>
    <mergeCell ref="AG50:AH50"/>
    <mergeCell ref="C51:D51"/>
    <mergeCell ref="V51:W51"/>
    <mergeCell ref="AG51:AH51"/>
    <mergeCell ref="V52:W52"/>
    <mergeCell ref="AG52:AH52"/>
    <mergeCell ref="C53:D53"/>
    <mergeCell ref="V53:W53"/>
    <mergeCell ref="A54:B54"/>
    <mergeCell ref="C54:D54"/>
    <mergeCell ref="A55:B55"/>
    <mergeCell ref="C60:D60"/>
    <mergeCell ref="A56:B56"/>
    <mergeCell ref="C56:D56"/>
    <mergeCell ref="A57:B57"/>
    <mergeCell ref="C57:D57"/>
    <mergeCell ref="C58:D58"/>
    <mergeCell ref="C59:D59"/>
  </mergeCells>
  <phoneticPr fontId="0" type="noConversion"/>
  <hyperlinks>
    <hyperlink ref="AM2" location="'Cover Sheet'!A1" display="BACK to COVER SHEET" xr:uid="{00000000-0004-0000-1300-000000000000}"/>
    <hyperlink ref="AM2:AO2" location="'Cover Sheet'!A1" display="BACK to COVER SHEET" xr:uid="{00000000-0004-0000-1300-000001000000}"/>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
  <dimension ref="A1:AO186"/>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98" t="s">
        <v>600</v>
      </c>
      <c r="B1" s="699"/>
      <c r="C1" s="699"/>
      <c r="D1" s="699"/>
      <c r="E1" s="699"/>
      <c r="F1" s="699"/>
      <c r="G1" s="699"/>
      <c r="H1" s="699"/>
      <c r="I1" s="699"/>
      <c r="J1" s="699"/>
      <c r="K1" s="699"/>
      <c r="L1" s="699"/>
      <c r="M1" s="699"/>
      <c r="N1" s="699"/>
      <c r="O1" s="699"/>
      <c r="P1" s="699"/>
      <c r="Q1" s="699"/>
      <c r="R1" s="699"/>
      <c r="S1" s="700"/>
      <c r="T1" s="698" t="s">
        <v>601</v>
      </c>
      <c r="U1" s="699"/>
      <c r="V1" s="699"/>
      <c r="W1" s="699"/>
      <c r="X1" s="699"/>
      <c r="Y1" s="699"/>
      <c r="Z1" s="699"/>
      <c r="AA1" s="699"/>
      <c r="AB1" s="699"/>
      <c r="AC1" s="699"/>
      <c r="AD1" s="699"/>
      <c r="AE1" s="699"/>
      <c r="AF1" s="699"/>
      <c r="AG1" s="699"/>
      <c r="AH1" s="699"/>
      <c r="AI1" s="699"/>
      <c r="AJ1" s="699"/>
      <c r="AK1" s="699"/>
      <c r="AL1" s="700"/>
    </row>
    <row r="2" spans="1:41"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701" t="str">
        <f>IF('Cover Sheet'!D14:J14&gt;0,'Cover Sheet'!D14:J14,"")</f>
        <v>EPSA</v>
      </c>
      <c r="E3" s="701"/>
      <c r="F3" s="701"/>
      <c r="G3" s="701"/>
      <c r="H3" s="701"/>
      <c r="I3" s="701"/>
      <c r="J3" s="701"/>
      <c r="K3" t="s">
        <v>48</v>
      </c>
      <c r="O3" s="701" t="str">
        <f>IF('Cover Sheet'!O14:S14&gt;0,'Cover Sheet'!O14:S14,"")</f>
        <v/>
      </c>
      <c r="P3" s="701"/>
      <c r="Q3" s="701"/>
      <c r="R3" s="701"/>
      <c r="S3" s="701"/>
      <c r="T3" s="8" t="s">
        <v>47</v>
      </c>
      <c r="W3" s="701" t="str">
        <f>IF('Cover Sheet'!W14:AC14&gt;0,'Cover Sheet'!W14:AC14,"")</f>
        <v/>
      </c>
      <c r="X3" s="701"/>
      <c r="Y3" s="701"/>
      <c r="Z3" s="701"/>
      <c r="AA3" s="701"/>
      <c r="AB3" s="701"/>
      <c r="AC3" s="701"/>
      <c r="AD3" t="s">
        <v>48</v>
      </c>
      <c r="AH3" s="701" t="str">
        <f>IF('Cover Sheet'!AH14:AL14&gt;0,'Cover Sheet'!AH14:AL14,"")</f>
        <v/>
      </c>
      <c r="AI3" s="701"/>
      <c r="AJ3" s="701"/>
      <c r="AK3" s="701"/>
      <c r="AL3" s="702"/>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719"/>
      <c r="B5" s="720"/>
      <c r="C5" s="720"/>
      <c r="D5" s="720"/>
      <c r="E5" s="720"/>
      <c r="F5" s="720"/>
      <c r="G5" s="720"/>
      <c r="H5" s="720"/>
      <c r="I5" s="720"/>
      <c r="J5" s="720"/>
      <c r="K5" s="720"/>
      <c r="L5" s="720"/>
      <c r="M5" s="720"/>
      <c r="N5" s="720"/>
      <c r="O5" s="720"/>
      <c r="P5" s="720"/>
      <c r="Q5" s="720"/>
      <c r="R5" s="720"/>
      <c r="S5" s="721"/>
      <c r="T5" s="24"/>
      <c r="U5" s="25"/>
      <c r="V5" s="25"/>
      <c r="W5" s="25"/>
      <c r="X5" s="25"/>
      <c r="Y5" s="25"/>
      <c r="Z5" s="25"/>
      <c r="AA5" s="25"/>
      <c r="AB5" s="25"/>
      <c r="AC5" s="25"/>
      <c r="AD5" s="25"/>
      <c r="AE5" s="25"/>
      <c r="AF5" s="25"/>
      <c r="AG5" s="25"/>
      <c r="AH5" s="25"/>
      <c r="AI5" s="25"/>
      <c r="AJ5" s="25"/>
      <c r="AK5" s="25"/>
      <c r="AL5" s="26"/>
    </row>
    <row r="6" spans="1:41" x14ac:dyDescent="0.2">
      <c r="A6" s="33" t="s">
        <v>608</v>
      </c>
      <c r="B6" s="33"/>
      <c r="C6" s="347"/>
      <c r="D6" s="33"/>
      <c r="E6" s="68"/>
      <c r="F6" s="68"/>
      <c r="G6" s="68"/>
      <c r="H6" s="68"/>
      <c r="I6" s="68"/>
      <c r="J6" s="68"/>
      <c r="K6" s="68"/>
      <c r="L6" s="68"/>
      <c r="M6" s="68"/>
      <c r="N6" s="68"/>
      <c r="O6" s="68"/>
      <c r="P6" s="68"/>
      <c r="Q6" s="68"/>
      <c r="R6" s="68"/>
      <c r="S6" s="310"/>
      <c r="T6" s="30"/>
      <c r="U6" s="31"/>
      <c r="V6" s="31"/>
      <c r="W6" s="31"/>
      <c r="X6" s="31"/>
      <c r="Y6" s="31"/>
      <c r="Z6" s="31"/>
      <c r="AA6" s="31"/>
      <c r="AB6" s="31"/>
      <c r="AC6" s="31"/>
      <c r="AD6" s="31"/>
      <c r="AE6" s="31"/>
      <c r="AF6" s="31"/>
      <c r="AG6" s="31"/>
      <c r="AH6" s="31"/>
      <c r="AI6" s="31"/>
      <c r="AJ6" s="31"/>
      <c r="AK6" s="31"/>
      <c r="AL6" s="32"/>
    </row>
    <row r="7" spans="1:41" x14ac:dyDescent="0.2">
      <c r="A7" s="33"/>
      <c r="B7" s="319" t="s">
        <v>473</v>
      </c>
      <c r="C7" s="347"/>
      <c r="D7" s="33"/>
      <c r="E7" s="68"/>
      <c r="F7" s="68"/>
      <c r="G7" s="68"/>
      <c r="H7" s="68"/>
      <c r="I7" s="68"/>
      <c r="J7" s="68"/>
      <c r="K7" s="68"/>
      <c r="L7" s="68"/>
      <c r="M7" s="68"/>
      <c r="N7" s="68"/>
      <c r="O7" s="68"/>
      <c r="P7" s="68"/>
      <c r="Q7" s="68"/>
      <c r="R7" s="68"/>
      <c r="S7" s="310"/>
      <c r="T7" s="30"/>
      <c r="U7" s="31"/>
      <c r="V7" s="31"/>
      <c r="W7" s="31"/>
      <c r="X7" s="31"/>
      <c r="Y7" s="31"/>
      <c r="Z7" s="31"/>
      <c r="AA7" s="31"/>
      <c r="AB7" s="31"/>
      <c r="AC7" s="31"/>
      <c r="AD7" s="31"/>
      <c r="AE7" s="31"/>
      <c r="AF7" s="31"/>
      <c r="AG7" s="31"/>
      <c r="AH7" s="31"/>
      <c r="AI7" s="31"/>
      <c r="AJ7" s="31"/>
      <c r="AK7" s="31"/>
      <c r="AL7" s="32"/>
    </row>
    <row r="8" spans="1:41" x14ac:dyDescent="0.2">
      <c r="A8" s="33"/>
      <c r="B8" s="319" t="s">
        <v>557</v>
      </c>
      <c r="C8" s="347"/>
      <c r="D8" s="33"/>
      <c r="E8" s="68"/>
      <c r="F8" s="68"/>
      <c r="G8" s="68"/>
      <c r="H8" s="68"/>
      <c r="I8" s="68"/>
      <c r="J8" s="68"/>
      <c r="K8" s="68"/>
      <c r="L8" s="68"/>
      <c r="M8" s="68"/>
      <c r="N8" s="68"/>
      <c r="O8" s="68"/>
      <c r="P8" s="68"/>
      <c r="Q8" s="68"/>
      <c r="R8" s="68"/>
      <c r="S8" s="310"/>
      <c r="T8" s="30"/>
      <c r="U8" s="31"/>
      <c r="V8" s="31"/>
      <c r="W8" s="31"/>
      <c r="X8" s="31"/>
      <c r="Y8" s="31"/>
      <c r="Z8" s="31"/>
      <c r="AA8" s="31"/>
      <c r="AB8" s="31"/>
      <c r="AC8" s="31"/>
      <c r="AD8" s="31"/>
      <c r="AE8" s="31"/>
      <c r="AF8" s="31"/>
      <c r="AG8" s="31"/>
      <c r="AH8" s="31"/>
      <c r="AI8" s="31"/>
      <c r="AJ8" s="31"/>
      <c r="AK8" s="31"/>
      <c r="AL8" s="32"/>
    </row>
    <row r="9" spans="1:41" x14ac:dyDescent="0.2">
      <c r="A9" s="33"/>
      <c r="B9" s="319" t="s">
        <v>558</v>
      </c>
      <c r="C9" s="347"/>
      <c r="D9" s="33"/>
      <c r="E9" s="68"/>
      <c r="F9" s="68"/>
      <c r="G9" s="68"/>
      <c r="H9" s="68"/>
      <c r="I9" s="68"/>
      <c r="J9" s="68"/>
      <c r="K9" s="68"/>
      <c r="L9" s="68"/>
      <c r="M9" s="68"/>
      <c r="N9" s="68"/>
      <c r="O9" s="68"/>
      <c r="P9" s="68"/>
      <c r="Q9" s="68"/>
      <c r="R9" s="68"/>
      <c r="S9" s="310"/>
      <c r="T9" s="30"/>
      <c r="U9" s="31"/>
      <c r="V9" s="31"/>
      <c r="W9" s="31"/>
      <c r="X9" s="31"/>
      <c r="Y9" s="31"/>
      <c r="Z9" s="31"/>
      <c r="AA9" s="31"/>
      <c r="AB9" s="31"/>
      <c r="AC9" s="31"/>
      <c r="AD9" s="31"/>
      <c r="AE9" s="31"/>
      <c r="AF9" s="31"/>
      <c r="AG9" s="31"/>
      <c r="AH9" s="31"/>
      <c r="AI9" s="31"/>
      <c r="AJ9" s="31"/>
      <c r="AK9" s="31"/>
      <c r="AL9" s="32"/>
    </row>
    <row r="10" spans="1:41" x14ac:dyDescent="0.2">
      <c r="A10" s="33" t="s">
        <v>474</v>
      </c>
      <c r="B10" s="261"/>
      <c r="C10" s="68"/>
      <c r="D10" s="68"/>
      <c r="E10" s="68"/>
      <c r="F10" s="68"/>
      <c r="G10" s="68"/>
      <c r="H10" s="68"/>
      <c r="I10" s="68"/>
      <c r="J10" s="68"/>
      <c r="K10" s="68"/>
      <c r="L10" s="68"/>
      <c r="M10" s="68"/>
      <c r="N10" s="68"/>
      <c r="O10" s="68"/>
      <c r="P10" s="68"/>
      <c r="Q10" s="68"/>
      <c r="R10" s="68"/>
      <c r="S10" s="310"/>
      <c r="T10" s="30"/>
      <c r="U10" s="31"/>
      <c r="V10" s="31"/>
      <c r="W10" s="31"/>
      <c r="X10" s="31"/>
      <c r="Y10" s="31"/>
      <c r="Z10" s="31"/>
      <c r="AA10" s="31"/>
      <c r="AB10" s="31"/>
      <c r="AC10" s="31"/>
      <c r="AD10" s="31"/>
      <c r="AE10" s="31"/>
      <c r="AF10" s="31"/>
      <c r="AG10" s="31"/>
      <c r="AH10" s="31"/>
      <c r="AI10" s="31"/>
      <c r="AJ10" s="31"/>
      <c r="AK10" s="31"/>
      <c r="AL10" s="32"/>
    </row>
    <row r="11" spans="1:41" x14ac:dyDescent="0.2">
      <c r="A11" s="48"/>
      <c r="B11" s="68"/>
      <c r="C11" s="68"/>
      <c r="D11" s="68"/>
      <c r="E11" s="68"/>
      <c r="F11" s="68"/>
      <c r="G11" s="347"/>
      <c r="H11" s="68"/>
      <c r="I11" s="68"/>
      <c r="J11" s="68"/>
      <c r="K11" s="68"/>
      <c r="L11" s="68"/>
      <c r="M11" s="68"/>
      <c r="N11" s="68"/>
      <c r="O11" s="68"/>
      <c r="P11" s="68"/>
      <c r="Q11" s="68"/>
      <c r="R11" s="68"/>
      <c r="S11" s="310"/>
      <c r="T11" s="30"/>
      <c r="U11" s="31"/>
      <c r="V11" s="31"/>
      <c r="W11" s="31"/>
      <c r="X11" s="33"/>
      <c r="Y11" s="31"/>
      <c r="Z11" s="33" t="s">
        <v>101</v>
      </c>
      <c r="AA11" s="31"/>
      <c r="AB11" s="31"/>
      <c r="AC11" s="31"/>
      <c r="AD11" s="31"/>
      <c r="AE11" s="31"/>
      <c r="AF11" s="31"/>
      <c r="AG11" s="31"/>
      <c r="AH11" s="31"/>
      <c r="AI11" s="31"/>
      <c r="AJ11" s="31"/>
      <c r="AK11" s="31"/>
      <c r="AL11" s="32"/>
    </row>
    <row r="12" spans="1:41" x14ac:dyDescent="0.2">
      <c r="A12" s="48"/>
      <c r="B12" s="68"/>
      <c r="C12" s="68"/>
      <c r="D12" s="68"/>
      <c r="E12" s="68"/>
      <c r="F12" s="68"/>
      <c r="G12" s="33" t="s">
        <v>101</v>
      </c>
      <c r="H12" s="68"/>
      <c r="I12" s="68"/>
      <c r="J12" s="68"/>
      <c r="K12" s="68"/>
      <c r="L12" s="68"/>
      <c r="M12" s="68"/>
      <c r="N12" s="68"/>
      <c r="O12" s="68"/>
      <c r="P12" s="68"/>
      <c r="Q12" s="68"/>
      <c r="R12" s="68"/>
      <c r="S12" s="310"/>
      <c r="T12" s="30"/>
      <c r="U12" s="31"/>
      <c r="V12" s="31"/>
      <c r="W12" s="31"/>
      <c r="X12" s="31"/>
      <c r="Y12" s="31"/>
      <c r="Z12" s="31"/>
      <c r="AA12" s="31"/>
      <c r="AB12" s="31"/>
      <c r="AC12" s="31"/>
      <c r="AD12" s="31"/>
      <c r="AE12" s="31"/>
      <c r="AF12" s="31"/>
      <c r="AG12" s="31"/>
      <c r="AH12" s="31"/>
      <c r="AI12" s="31"/>
      <c r="AJ12" s="31"/>
      <c r="AK12" s="31"/>
      <c r="AL12" s="32"/>
    </row>
    <row r="13" spans="1:41" x14ac:dyDescent="0.2">
      <c r="A13" s="48"/>
      <c r="B13" s="68"/>
      <c r="C13" s="68"/>
      <c r="D13" s="68"/>
      <c r="E13" s="68"/>
      <c r="F13" s="68"/>
      <c r="G13" s="68"/>
      <c r="H13" s="68"/>
      <c r="I13" s="68"/>
      <c r="J13" s="68"/>
      <c r="K13" s="68"/>
      <c r="L13" s="68"/>
      <c r="M13" s="68"/>
      <c r="N13" s="68"/>
      <c r="O13" s="68"/>
      <c r="P13" s="68"/>
      <c r="Q13" s="68"/>
      <c r="R13" s="68"/>
      <c r="S13" s="310"/>
      <c r="T13" s="30"/>
      <c r="U13" s="31"/>
      <c r="V13" s="31"/>
      <c r="W13" s="31"/>
      <c r="X13" s="31"/>
      <c r="Y13" s="31"/>
      <c r="Z13" s="33" t="s">
        <v>282</v>
      </c>
      <c r="AA13" s="31"/>
      <c r="AB13" s="31"/>
      <c r="AC13" s="31"/>
      <c r="AD13" s="31"/>
      <c r="AE13" s="31"/>
      <c r="AF13" s="31"/>
      <c r="AG13" s="31"/>
      <c r="AH13" s="31"/>
      <c r="AI13" s="31"/>
      <c r="AJ13" s="31"/>
      <c r="AK13" s="31"/>
      <c r="AL13" s="32"/>
    </row>
    <row r="14" spans="1:41" x14ac:dyDescent="0.2">
      <c r="A14" s="48"/>
      <c r="B14" s="68"/>
      <c r="C14" s="68"/>
      <c r="D14" s="68"/>
      <c r="E14" s="68"/>
      <c r="F14" s="68"/>
      <c r="G14" s="33" t="s">
        <v>282</v>
      </c>
      <c r="H14" s="68"/>
      <c r="I14" s="68"/>
      <c r="J14" s="68"/>
      <c r="K14" s="68"/>
      <c r="L14" s="68"/>
      <c r="M14" s="68"/>
      <c r="N14" s="68"/>
      <c r="O14" s="68"/>
      <c r="P14" s="68"/>
      <c r="Q14" s="68"/>
      <c r="R14" s="68"/>
      <c r="S14" s="310"/>
      <c r="T14" s="30"/>
      <c r="U14" s="31"/>
      <c r="V14" s="31"/>
      <c r="W14" s="31"/>
      <c r="X14" s="31"/>
      <c r="Y14" s="31"/>
      <c r="Z14" s="31"/>
      <c r="AA14" s="31"/>
      <c r="AB14" s="31"/>
      <c r="AC14" s="31"/>
      <c r="AD14" s="31"/>
      <c r="AE14" s="31"/>
      <c r="AF14" s="31"/>
      <c r="AG14" s="31"/>
      <c r="AH14" s="31"/>
      <c r="AI14" s="31"/>
      <c r="AJ14" s="31"/>
      <c r="AK14" s="31"/>
      <c r="AL14" s="32"/>
    </row>
    <row r="15" spans="1:41" x14ac:dyDescent="0.2">
      <c r="A15" s="48"/>
      <c r="B15" s="68"/>
      <c r="C15" s="68"/>
      <c r="D15" s="68"/>
      <c r="E15" s="68"/>
      <c r="F15" s="68"/>
      <c r="G15" s="68"/>
      <c r="H15" s="68"/>
      <c r="I15" s="68"/>
      <c r="J15" s="68"/>
      <c r="K15" s="68"/>
      <c r="L15" s="68"/>
      <c r="M15" s="68"/>
      <c r="N15" s="68"/>
      <c r="O15" s="68"/>
      <c r="P15" s="68"/>
      <c r="Q15" s="68"/>
      <c r="R15" s="68"/>
      <c r="S15" s="310"/>
      <c r="T15" s="30"/>
      <c r="U15" s="31"/>
      <c r="V15" s="31"/>
      <c r="W15" s="31"/>
      <c r="X15" s="31"/>
      <c r="Y15" s="31"/>
      <c r="Z15" s="31"/>
      <c r="AA15" s="31"/>
      <c r="AB15" s="31"/>
      <c r="AC15" s="31"/>
      <c r="AD15" s="31"/>
      <c r="AE15" s="31"/>
      <c r="AF15" s="31"/>
      <c r="AG15" s="31"/>
      <c r="AH15" s="31"/>
      <c r="AI15" s="31"/>
      <c r="AJ15" s="31"/>
      <c r="AK15" s="31"/>
      <c r="AL15" s="32"/>
    </row>
    <row r="16" spans="1:41" x14ac:dyDescent="0.2">
      <c r="A16" s="48"/>
      <c r="B16" s="68"/>
      <c r="C16" s="68"/>
      <c r="D16" s="68"/>
      <c r="E16" s="68"/>
      <c r="F16" s="68"/>
      <c r="G16" s="68"/>
      <c r="H16" s="68"/>
      <c r="I16" s="68"/>
      <c r="J16" s="68"/>
      <c r="K16" s="68"/>
      <c r="L16" s="68"/>
      <c r="M16" s="68"/>
      <c r="N16" s="68"/>
      <c r="O16" s="68"/>
      <c r="P16" s="68"/>
      <c r="Q16" s="68"/>
      <c r="R16" s="68"/>
      <c r="S16" s="310"/>
      <c r="T16" s="30"/>
      <c r="U16" s="31"/>
      <c r="V16" s="31"/>
      <c r="W16" s="31"/>
      <c r="X16" s="31"/>
      <c r="Y16" s="31"/>
      <c r="Z16" s="31"/>
      <c r="AA16" s="31"/>
      <c r="AB16" s="31"/>
      <c r="AC16" s="31"/>
      <c r="AD16" s="31"/>
      <c r="AE16" s="31"/>
      <c r="AF16" s="31"/>
      <c r="AG16" s="31"/>
      <c r="AH16" s="31"/>
      <c r="AI16" s="31"/>
      <c r="AJ16" s="31"/>
      <c r="AK16" s="31"/>
      <c r="AL16" s="32"/>
    </row>
    <row r="17" spans="1:38" x14ac:dyDescent="0.2">
      <c r="A17" s="48"/>
      <c r="B17" s="68"/>
      <c r="C17" s="68"/>
      <c r="D17" s="68"/>
      <c r="E17" s="68"/>
      <c r="F17" s="68"/>
      <c r="G17" s="68"/>
      <c r="H17" s="68"/>
      <c r="I17" s="68"/>
      <c r="J17" s="68"/>
      <c r="K17" s="68"/>
      <c r="L17" s="68"/>
      <c r="M17" s="68"/>
      <c r="N17" s="68"/>
      <c r="O17" s="68"/>
      <c r="P17" s="68"/>
      <c r="Q17" s="68"/>
      <c r="R17" s="68"/>
      <c r="S17" s="310"/>
      <c r="T17" s="30"/>
      <c r="U17" s="31"/>
      <c r="V17" s="31"/>
      <c r="W17" s="31"/>
      <c r="X17" s="31"/>
      <c r="Y17" s="31"/>
      <c r="Z17" s="31"/>
      <c r="AA17" s="31"/>
      <c r="AB17" s="31"/>
      <c r="AC17" s="31"/>
      <c r="AD17" s="31"/>
      <c r="AE17" s="31"/>
      <c r="AF17" s="31"/>
      <c r="AG17" s="31"/>
      <c r="AH17" s="31"/>
      <c r="AI17" s="31"/>
      <c r="AJ17" s="31"/>
      <c r="AK17" s="31"/>
      <c r="AL17" s="32"/>
    </row>
    <row r="18" spans="1:38" x14ac:dyDescent="0.2">
      <c r="A18" s="50"/>
      <c r="B18" s="51"/>
      <c r="C18" s="51"/>
      <c r="D18" s="51"/>
      <c r="E18" s="51"/>
      <c r="F18" s="51"/>
      <c r="G18" s="51"/>
      <c r="H18" s="51"/>
      <c r="I18" s="51"/>
      <c r="J18" s="51"/>
      <c r="K18" s="51"/>
      <c r="L18" s="51"/>
      <c r="M18" s="51"/>
      <c r="N18" s="51"/>
      <c r="O18" s="51"/>
      <c r="P18" s="51"/>
      <c r="Q18" s="51"/>
      <c r="R18" s="51"/>
      <c r="S18" s="311"/>
      <c r="T18" s="38"/>
      <c r="U18" s="36"/>
      <c r="V18" s="36"/>
      <c r="W18" s="36"/>
      <c r="X18" s="36"/>
      <c r="Y18" s="36"/>
      <c r="Z18" s="36"/>
      <c r="AA18" s="36"/>
      <c r="AB18" s="36"/>
      <c r="AC18" s="36"/>
      <c r="AD18" s="36"/>
      <c r="AE18" s="36"/>
      <c r="AF18" s="36"/>
      <c r="AG18" s="36"/>
      <c r="AH18" s="36"/>
      <c r="AI18" s="36"/>
      <c r="AJ18" s="36"/>
      <c r="AK18" s="36"/>
      <c r="AL18" s="39"/>
    </row>
    <row r="19" spans="1:38" x14ac:dyDescent="0.2">
      <c r="A19" s="13" t="s">
        <v>132</v>
      </c>
      <c r="B19" s="10"/>
      <c r="C19" s="10"/>
      <c r="D19" s="10"/>
      <c r="E19" s="10"/>
      <c r="F19" s="10"/>
      <c r="G19" s="10"/>
      <c r="H19" s="10"/>
      <c r="I19" s="10"/>
      <c r="J19" s="10"/>
      <c r="K19" s="10"/>
      <c r="L19" s="10"/>
      <c r="M19" s="10"/>
      <c r="N19" s="10"/>
      <c r="O19" s="10"/>
      <c r="P19" s="10"/>
      <c r="Q19" s="10"/>
      <c r="R19" s="10"/>
      <c r="S19" s="11"/>
      <c r="T19" s="14" t="s">
        <v>149</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312"/>
      <c r="B21" s="313"/>
      <c r="C21" s="313"/>
      <c r="D21" s="313"/>
      <c r="E21" s="313"/>
      <c r="F21" s="313"/>
      <c r="G21" s="313"/>
      <c r="H21" s="313"/>
      <c r="I21" s="313"/>
      <c r="J21" s="313"/>
      <c r="K21" s="313"/>
      <c r="L21" s="313"/>
      <c r="M21" s="313"/>
      <c r="N21" s="313"/>
      <c r="O21" s="313"/>
      <c r="P21" s="313"/>
      <c r="Q21" s="313"/>
      <c r="R21" s="313"/>
      <c r="S21" s="314"/>
      <c r="T21" s="24"/>
      <c r="U21" s="25"/>
      <c r="V21" s="25"/>
      <c r="W21" s="25"/>
      <c r="X21" s="25"/>
      <c r="Y21" s="25"/>
      <c r="Z21" s="25"/>
      <c r="AA21" s="25"/>
      <c r="AB21" s="25"/>
      <c r="AC21" s="25"/>
      <c r="AD21" s="25"/>
      <c r="AE21" s="25"/>
      <c r="AF21" s="25"/>
      <c r="AG21" s="25"/>
      <c r="AH21" s="25"/>
      <c r="AI21" s="25"/>
      <c r="AJ21" s="25"/>
      <c r="AK21" s="25"/>
      <c r="AL21" s="26"/>
    </row>
    <row r="22" spans="1:38" x14ac:dyDescent="0.2">
      <c r="A22" s="48"/>
      <c r="B22" s="68"/>
      <c r="C22" s="68"/>
      <c r="D22" s="68"/>
      <c r="E22" s="68"/>
      <c r="F22" s="68"/>
      <c r="G22" s="68"/>
      <c r="H22" s="68"/>
      <c r="I22" s="68"/>
      <c r="J22" s="68"/>
      <c r="K22" s="68"/>
      <c r="L22" s="68"/>
      <c r="M22" s="68"/>
      <c r="N22" s="68"/>
      <c r="O22" s="68"/>
      <c r="P22" s="68"/>
      <c r="Q22" s="68"/>
      <c r="R22" s="68"/>
      <c r="S22" s="310"/>
      <c r="T22" s="30"/>
      <c r="U22" s="31"/>
      <c r="V22" s="31"/>
      <c r="W22" s="31"/>
      <c r="X22" s="31"/>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x14ac:dyDescent="0.2">
      <c r="A25" s="48"/>
      <c r="B25" s="68"/>
      <c r="C25" s="68"/>
      <c r="D25" s="68"/>
      <c r="E25" s="68"/>
      <c r="F25" s="68"/>
      <c r="G25" s="68"/>
      <c r="H25" s="68"/>
      <c r="I25" s="68"/>
      <c r="J25" s="68"/>
      <c r="K25" s="68"/>
      <c r="L25" s="68"/>
      <c r="M25" s="68"/>
      <c r="N25" s="68"/>
      <c r="O25" s="68"/>
      <c r="P25" s="68"/>
      <c r="Q25" s="68"/>
      <c r="R25" s="68"/>
      <c r="S25" s="310"/>
      <c r="T25" s="30"/>
      <c r="U25" s="31"/>
      <c r="V25" s="31"/>
      <c r="W25" s="31"/>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31"/>
      <c r="X26" s="31"/>
      <c r="Y26" s="31"/>
      <c r="Z26" s="31"/>
      <c r="AA26" s="31"/>
      <c r="AB26" s="31"/>
      <c r="AC26" s="31"/>
      <c r="AD26" s="31"/>
      <c r="AE26" s="31"/>
      <c r="AF26" s="31"/>
      <c r="AG26" s="31"/>
      <c r="AH26" s="31"/>
      <c r="AI26" s="31"/>
      <c r="AJ26" s="31"/>
      <c r="AK26" s="31"/>
      <c r="AL26" s="32"/>
    </row>
    <row r="27" spans="1:38" x14ac:dyDescent="0.2">
      <c r="A27" s="48"/>
      <c r="B27" s="68"/>
      <c r="C27" s="68"/>
      <c r="D27" s="68"/>
      <c r="E27" s="68"/>
      <c r="F27" s="68"/>
      <c r="G27" s="68"/>
      <c r="H27" s="68"/>
      <c r="I27" s="68"/>
      <c r="J27" s="68"/>
      <c r="K27" s="68"/>
      <c r="L27" s="68"/>
      <c r="M27" s="68"/>
      <c r="N27" s="68"/>
      <c r="O27" s="68"/>
      <c r="P27" s="68"/>
      <c r="Q27" s="68"/>
      <c r="R27" s="68"/>
      <c r="S27" s="310"/>
      <c r="T27" s="30"/>
      <c r="U27" s="31"/>
      <c r="V27" s="31"/>
      <c r="W27" s="31"/>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33" t="s">
        <v>103</v>
      </c>
      <c r="H32" s="68"/>
      <c r="I32" s="68"/>
      <c r="J32" s="68"/>
      <c r="K32" s="68"/>
      <c r="L32" s="68"/>
      <c r="M32" s="68"/>
      <c r="N32" s="68"/>
      <c r="O32" s="68"/>
      <c r="P32" s="68"/>
      <c r="Q32" s="68"/>
      <c r="R32" s="68"/>
      <c r="S32" s="310"/>
      <c r="T32" s="30"/>
      <c r="U32" s="31"/>
      <c r="V32" s="31"/>
      <c r="W32" s="31"/>
      <c r="X32" s="31"/>
      <c r="Y32" s="31"/>
      <c r="Z32" s="33" t="s">
        <v>103</v>
      </c>
      <c r="AA32" s="31"/>
      <c r="AB32" s="31"/>
      <c r="AC32" s="31"/>
      <c r="AD32" s="31"/>
      <c r="AE32" s="31"/>
      <c r="AF32" s="31"/>
      <c r="AG32" s="31"/>
      <c r="AH32" s="31"/>
      <c r="AI32" s="31"/>
      <c r="AJ32" s="31"/>
      <c r="AK32" s="31"/>
      <c r="AL32" s="32"/>
    </row>
    <row r="33" spans="1:38" x14ac:dyDescent="0.2">
      <c r="A33" s="48"/>
      <c r="B33" s="68"/>
      <c r="C33" s="68"/>
      <c r="D33" s="33"/>
      <c r="E33" s="68"/>
      <c r="F33" s="68"/>
      <c r="G33" s="68"/>
      <c r="H33" s="68"/>
      <c r="I33" s="68"/>
      <c r="J33" s="68"/>
      <c r="K33" s="68"/>
      <c r="L33" s="68"/>
      <c r="M33" s="68"/>
      <c r="N33" s="68"/>
      <c r="O33" s="68"/>
      <c r="P33" s="68"/>
      <c r="Q33" s="68"/>
      <c r="R33" s="68"/>
      <c r="S33" s="310"/>
      <c r="T33" s="30"/>
      <c r="U33" s="31"/>
      <c r="V33" s="31"/>
      <c r="W33" s="31"/>
      <c r="X33" s="31"/>
      <c r="Y33" s="31"/>
      <c r="Z33" s="31"/>
      <c r="AA33" s="31"/>
      <c r="AB33" s="31"/>
      <c r="AC33" s="31"/>
      <c r="AD33" s="31"/>
      <c r="AE33" s="31"/>
      <c r="AF33" s="31"/>
      <c r="AG33" s="31"/>
      <c r="AH33" s="31"/>
      <c r="AI33" s="31"/>
      <c r="AJ33" s="31"/>
      <c r="AK33" s="31"/>
      <c r="AL33" s="32"/>
    </row>
    <row r="34" spans="1:38" x14ac:dyDescent="0.2">
      <c r="A34" s="48"/>
      <c r="B34" s="68"/>
      <c r="C34" s="68"/>
      <c r="D34" s="68"/>
      <c r="E34" s="68"/>
      <c r="F34" s="68"/>
      <c r="G34" s="33" t="s">
        <v>380</v>
      </c>
      <c r="H34" s="33"/>
      <c r="I34" s="68"/>
      <c r="J34" s="68"/>
      <c r="K34" s="68"/>
      <c r="L34" s="68"/>
      <c r="M34" s="68"/>
      <c r="N34" s="68"/>
      <c r="O34" s="68"/>
      <c r="P34" s="68"/>
      <c r="Q34" s="68"/>
      <c r="R34" s="68"/>
      <c r="S34" s="310"/>
      <c r="T34" s="30"/>
      <c r="U34" s="31"/>
      <c r="V34" s="31"/>
      <c r="W34" s="31"/>
      <c r="X34" s="31"/>
      <c r="Y34" s="31"/>
      <c r="Z34" s="33" t="s">
        <v>380</v>
      </c>
      <c r="AA34" s="31"/>
      <c r="AB34" s="31"/>
      <c r="AC34" s="31"/>
      <c r="AD34" s="31"/>
      <c r="AE34" s="31"/>
      <c r="AF34" s="31"/>
      <c r="AG34" s="31"/>
      <c r="AH34" s="31"/>
      <c r="AI34" s="31"/>
      <c r="AJ34" s="31"/>
      <c r="AK34" s="31"/>
      <c r="AL34" s="32"/>
    </row>
    <row r="35" spans="1:38" x14ac:dyDescent="0.2">
      <c r="A35" s="48"/>
      <c r="B35" s="68"/>
      <c r="C35" s="68"/>
      <c r="D35" s="68"/>
      <c r="E35" s="68"/>
      <c r="F35" s="68"/>
      <c r="G35" s="68"/>
      <c r="H35" s="68"/>
      <c r="I35" s="68"/>
      <c r="J35" s="68"/>
      <c r="K35" s="68"/>
      <c r="L35" s="68"/>
      <c r="M35" s="68"/>
      <c r="N35" s="68"/>
      <c r="O35" s="68"/>
      <c r="P35" s="68"/>
      <c r="Q35" s="68"/>
      <c r="R35" s="68"/>
      <c r="S35" s="310"/>
      <c r="T35" s="30"/>
      <c r="U35" s="31"/>
      <c r="V35" s="31"/>
      <c r="W35" s="31"/>
      <c r="X35" s="31"/>
      <c r="Y35" s="31"/>
      <c r="Z35" s="31"/>
      <c r="AA35" s="31"/>
      <c r="AB35" s="31"/>
      <c r="AC35" s="31"/>
      <c r="AD35" s="31"/>
      <c r="AE35" s="31"/>
      <c r="AF35" s="31"/>
      <c r="AG35" s="31"/>
      <c r="AH35" s="31"/>
      <c r="AI35" s="31"/>
      <c r="AJ35" s="31"/>
      <c r="AK35" s="31"/>
      <c r="AL35" s="32"/>
    </row>
    <row r="36" spans="1:38" x14ac:dyDescent="0.2">
      <c r="A36" s="48"/>
      <c r="B36" s="68"/>
      <c r="C36" s="68"/>
      <c r="D36" s="68"/>
      <c r="E36" s="68"/>
      <c r="F36" s="68"/>
      <c r="G36" s="68"/>
      <c r="H36" s="68"/>
      <c r="I36" s="68"/>
      <c r="J36" s="68"/>
      <c r="K36" s="68"/>
      <c r="L36" s="68"/>
      <c r="M36" s="68"/>
      <c r="N36" s="68"/>
      <c r="O36" s="68"/>
      <c r="P36" s="68"/>
      <c r="Q36" s="68"/>
      <c r="R36" s="68"/>
      <c r="S36" s="310"/>
      <c r="T36" s="30"/>
      <c r="U36" s="31"/>
      <c r="V36" s="31"/>
      <c r="W36" s="31"/>
      <c r="X36" s="31"/>
      <c r="Y36" s="31"/>
      <c r="Z36" s="31"/>
      <c r="AA36" s="31"/>
      <c r="AB36" s="31"/>
      <c r="AC36" s="31"/>
      <c r="AD36" s="31"/>
      <c r="AE36" s="31"/>
      <c r="AF36" s="31"/>
      <c r="AG36" s="31"/>
      <c r="AH36" s="31"/>
      <c r="AI36" s="31"/>
      <c r="AJ36" s="31"/>
      <c r="AK36" s="31"/>
      <c r="AL36" s="32"/>
    </row>
    <row r="37" spans="1:38" x14ac:dyDescent="0.2">
      <c r="A37" s="48"/>
      <c r="B37" s="68"/>
      <c r="C37" s="68"/>
      <c r="D37" s="68"/>
      <c r="E37" s="68"/>
      <c r="F37" s="68"/>
      <c r="G37" s="68"/>
      <c r="H37" s="68"/>
      <c r="I37" s="68"/>
      <c r="J37" s="68"/>
      <c r="K37" s="68"/>
      <c r="L37" s="68"/>
      <c r="M37" s="68"/>
      <c r="N37" s="68"/>
      <c r="O37" s="68"/>
      <c r="P37" s="68"/>
      <c r="Q37" s="68"/>
      <c r="R37" s="68"/>
      <c r="S37" s="310"/>
      <c r="T37" s="30"/>
      <c r="U37" s="31"/>
      <c r="V37" s="31"/>
      <c r="W37" s="31"/>
      <c r="X37" s="31"/>
      <c r="Y37" s="31"/>
      <c r="Z37" s="31"/>
      <c r="AA37" s="31"/>
      <c r="AB37" s="31"/>
      <c r="AC37" s="31"/>
      <c r="AD37" s="31"/>
      <c r="AE37" s="31"/>
      <c r="AF37" s="31"/>
      <c r="AG37" s="31"/>
      <c r="AH37" s="31"/>
      <c r="AI37" s="31"/>
      <c r="AJ37" s="31"/>
      <c r="AK37" s="31"/>
      <c r="AL37" s="32"/>
    </row>
    <row r="38" spans="1:38" x14ac:dyDescent="0.2">
      <c r="A38" s="48"/>
      <c r="B38" s="68"/>
      <c r="C38" s="68"/>
      <c r="D38" s="68"/>
      <c r="E38" s="68"/>
      <c r="F38" s="68"/>
      <c r="G38" s="68"/>
      <c r="H38" s="68"/>
      <c r="I38" s="68"/>
      <c r="J38" s="68"/>
      <c r="K38" s="68"/>
      <c r="L38" s="68"/>
      <c r="M38" s="68"/>
      <c r="N38" s="68"/>
      <c r="O38" s="68"/>
      <c r="P38" s="68"/>
      <c r="Q38" s="68"/>
      <c r="R38" s="68"/>
      <c r="S38" s="310"/>
      <c r="T38" s="30"/>
      <c r="U38" s="31"/>
      <c r="V38" s="31"/>
      <c r="W38" s="31"/>
      <c r="X38" s="31"/>
      <c r="Y38" s="31"/>
      <c r="Z38" s="31"/>
      <c r="AA38" s="31"/>
      <c r="AB38" s="31"/>
      <c r="AC38" s="31"/>
      <c r="AD38" s="31"/>
      <c r="AE38" s="31"/>
      <c r="AF38" s="31"/>
      <c r="AG38" s="31"/>
      <c r="AH38" s="31"/>
      <c r="AI38" s="31"/>
      <c r="AJ38" s="31"/>
      <c r="AK38" s="31"/>
      <c r="AL38" s="32"/>
    </row>
    <row r="39" spans="1:38" x14ac:dyDescent="0.2">
      <c r="A39" s="48"/>
      <c r="B39" s="68"/>
      <c r="C39" s="68"/>
      <c r="D39" s="68"/>
      <c r="E39" s="68"/>
      <c r="F39" s="68"/>
      <c r="G39" s="68"/>
      <c r="H39" s="68"/>
      <c r="I39" s="68"/>
      <c r="J39" s="68"/>
      <c r="K39" s="68"/>
      <c r="L39" s="68"/>
      <c r="M39" s="68"/>
      <c r="N39" s="68"/>
      <c r="O39" s="68"/>
      <c r="P39" s="68"/>
      <c r="Q39" s="68"/>
      <c r="R39" s="68"/>
      <c r="S39" s="310"/>
      <c r="T39" s="30"/>
      <c r="U39" s="31"/>
      <c r="V39" s="31"/>
      <c r="W39" s="31"/>
      <c r="X39" s="31"/>
      <c r="Y39" s="31"/>
      <c r="Z39" s="31"/>
      <c r="AA39" s="31"/>
      <c r="AB39" s="31"/>
      <c r="AC39" s="31"/>
      <c r="AD39" s="31"/>
      <c r="AE39" s="31"/>
      <c r="AF39" s="31"/>
      <c r="AG39" s="31"/>
      <c r="AH39" s="31"/>
      <c r="AI39" s="31"/>
      <c r="AJ39" s="31"/>
      <c r="AK39" s="31"/>
      <c r="AL39" s="32"/>
    </row>
    <row r="40" spans="1:38" x14ac:dyDescent="0.2">
      <c r="A40" s="48"/>
      <c r="B40" s="68"/>
      <c r="C40" s="68"/>
      <c r="D40" s="68"/>
      <c r="E40" s="68"/>
      <c r="F40" s="68"/>
      <c r="G40" s="68"/>
      <c r="H40" s="68"/>
      <c r="I40" s="68"/>
      <c r="J40" s="68"/>
      <c r="K40" s="68"/>
      <c r="L40" s="68"/>
      <c r="M40" s="68"/>
      <c r="N40" s="68"/>
      <c r="O40" s="68"/>
      <c r="P40" s="68"/>
      <c r="Q40" s="68"/>
      <c r="R40" s="68"/>
      <c r="S40" s="310"/>
      <c r="T40" s="30"/>
      <c r="U40" s="31"/>
      <c r="V40" s="31"/>
      <c r="W40" s="31"/>
      <c r="X40" s="31"/>
      <c r="Y40" s="31"/>
      <c r="Z40" s="31"/>
      <c r="AA40" s="31"/>
      <c r="AB40" s="31"/>
      <c r="AC40" s="31"/>
      <c r="AD40" s="31"/>
      <c r="AE40" s="31"/>
      <c r="AF40" s="31"/>
      <c r="AG40" s="31"/>
      <c r="AH40" s="31"/>
      <c r="AI40" s="31"/>
      <c r="AJ40" s="31"/>
      <c r="AK40" s="31"/>
      <c r="AL40" s="32"/>
    </row>
    <row r="41" spans="1:38" x14ac:dyDescent="0.2">
      <c r="A41" s="48"/>
      <c r="B41" s="68"/>
      <c r="C41" s="68"/>
      <c r="D41" s="68"/>
      <c r="E41" s="68"/>
      <c r="F41" s="68"/>
      <c r="G41" s="68"/>
      <c r="H41" s="68"/>
      <c r="I41" s="68"/>
      <c r="J41" s="68"/>
      <c r="K41" s="68"/>
      <c r="L41" s="68"/>
      <c r="M41" s="68"/>
      <c r="N41" s="68"/>
      <c r="O41" s="68"/>
      <c r="P41" s="68"/>
      <c r="Q41" s="68"/>
      <c r="R41" s="68"/>
      <c r="S41" s="310"/>
      <c r="T41" s="30"/>
      <c r="U41" s="31"/>
      <c r="V41" s="31"/>
      <c r="W41" s="31"/>
      <c r="X41" s="31"/>
      <c r="Y41" s="31"/>
      <c r="Z41" s="31"/>
      <c r="AA41" s="31"/>
      <c r="AB41" s="31"/>
      <c r="AC41" s="31"/>
      <c r="AD41" s="31"/>
      <c r="AE41" s="31"/>
      <c r="AF41" s="31"/>
      <c r="AG41" s="31"/>
      <c r="AH41" s="31"/>
      <c r="AI41" s="31"/>
      <c r="AJ41" s="31"/>
      <c r="AK41" s="31"/>
      <c r="AL41" s="32"/>
    </row>
    <row r="42" spans="1:38" x14ac:dyDescent="0.2">
      <c r="A42" s="50"/>
      <c r="B42" s="51"/>
      <c r="C42" s="51"/>
      <c r="D42" s="51"/>
      <c r="E42" s="51"/>
      <c r="F42" s="51"/>
      <c r="G42" s="51"/>
      <c r="H42" s="51"/>
      <c r="I42" s="51"/>
      <c r="J42" s="51"/>
      <c r="K42" s="51"/>
      <c r="L42" s="51"/>
      <c r="M42" s="51"/>
      <c r="N42" s="51"/>
      <c r="O42" s="51"/>
      <c r="P42" s="51"/>
      <c r="Q42" s="51"/>
      <c r="R42" s="51"/>
      <c r="S42" s="311"/>
      <c r="T42" s="38"/>
      <c r="U42" s="36"/>
      <c r="V42" s="36"/>
      <c r="W42" s="36"/>
      <c r="X42" s="36"/>
      <c r="Y42" s="36"/>
      <c r="Z42" s="36"/>
      <c r="AA42" s="36"/>
      <c r="AB42" s="36"/>
      <c r="AC42" s="36"/>
      <c r="AD42" s="36"/>
      <c r="AE42" s="36"/>
      <c r="AF42" s="36"/>
      <c r="AG42" s="36"/>
      <c r="AH42" s="36"/>
      <c r="AI42" s="36"/>
      <c r="AJ42" s="36"/>
      <c r="AK42" s="36"/>
      <c r="AL42" s="39"/>
    </row>
    <row r="43" spans="1:38" x14ac:dyDescent="0.2">
      <c r="A43" s="130" t="s">
        <v>104</v>
      </c>
      <c r="B43" s="131"/>
      <c r="C43" s="131"/>
      <c r="D43" s="131"/>
      <c r="E43" s="131"/>
      <c r="F43" s="131"/>
      <c r="G43" s="131"/>
      <c r="H43" s="131"/>
      <c r="I43" s="131"/>
      <c r="J43" s="131"/>
      <c r="K43" s="131"/>
      <c r="L43" s="131"/>
      <c r="M43" s="131"/>
      <c r="N43" s="131"/>
      <c r="O43" s="131"/>
      <c r="P43" s="131"/>
      <c r="Q43" s="131"/>
      <c r="R43" s="131"/>
      <c r="S43" s="132"/>
      <c r="T43" s="130" t="s">
        <v>146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row>
    <row r="46" spans="1:38" ht="14.25" customHeight="1" x14ac:dyDescent="0.2">
      <c r="A46" s="683" t="s">
        <v>111</v>
      </c>
      <c r="B46" s="684"/>
      <c r="C46" s="689"/>
      <c r="D46" s="690"/>
      <c r="E46" s="684" t="s">
        <v>112</v>
      </c>
      <c r="F46" s="684"/>
      <c r="G46" s="689"/>
      <c r="H46" s="690"/>
      <c r="I46" s="138"/>
      <c r="J46" s="136"/>
      <c r="K46" s="136"/>
      <c r="L46" s="136"/>
      <c r="M46" s="139" t="s">
        <v>148</v>
      </c>
      <c r="N46" s="694">
        <f>IF(C47&gt;0,(((G47-G46)/(C47-C46))^-1-IF(AG52&gt;0,AG52^-1,0))^-1,0)</f>
        <v>0</v>
      </c>
      <c r="O46" s="695"/>
      <c r="P46" s="696"/>
      <c r="Q46" s="697"/>
      <c r="R46" s="697"/>
      <c r="S46" s="137"/>
      <c r="T46" s="683" t="s">
        <v>111</v>
      </c>
      <c r="U46" s="684"/>
      <c r="V46" s="689">
        <v>0</v>
      </c>
      <c r="W46" s="690"/>
      <c r="X46" s="684" t="s">
        <v>112</v>
      </c>
      <c r="Y46" s="684"/>
      <c r="Z46" s="689">
        <v>0</v>
      </c>
      <c r="AA46" s="690"/>
      <c r="AB46" s="138"/>
      <c r="AC46" s="136"/>
      <c r="AD46" s="136"/>
      <c r="AE46" s="136"/>
      <c r="AF46" s="139" t="s">
        <v>148</v>
      </c>
      <c r="AG46" s="666">
        <f>IF((V47-V46)&gt;0,(Z47-Z46)/(V47-V46),0)</f>
        <v>0</v>
      </c>
      <c r="AH46" s="667"/>
      <c r="AI46" s="136"/>
      <c r="AJ46" s="136"/>
      <c r="AK46" s="136"/>
      <c r="AL46" s="137"/>
    </row>
    <row r="47" spans="1:38" ht="14.25" customHeight="1" x14ac:dyDescent="0.2">
      <c r="A47" s="683" t="s">
        <v>113</v>
      </c>
      <c r="B47" s="684"/>
      <c r="C47" s="689"/>
      <c r="D47" s="690"/>
      <c r="E47" s="684" t="s">
        <v>114</v>
      </c>
      <c r="F47" s="684"/>
      <c r="G47" s="689"/>
      <c r="H47" s="690"/>
      <c r="I47" s="133"/>
      <c r="J47" s="105"/>
      <c r="K47" s="105"/>
      <c r="L47" s="105"/>
      <c r="M47" s="105"/>
      <c r="N47" s="105"/>
      <c r="O47" s="105"/>
      <c r="P47" s="136"/>
      <c r="Q47" s="136"/>
      <c r="R47" s="136"/>
      <c r="S47" s="137"/>
      <c r="T47" s="683" t="s">
        <v>113</v>
      </c>
      <c r="U47" s="684"/>
      <c r="V47" s="689">
        <v>0</v>
      </c>
      <c r="W47" s="690"/>
      <c r="X47" s="684" t="s">
        <v>114</v>
      </c>
      <c r="Y47" s="684"/>
      <c r="Z47" s="689">
        <v>0</v>
      </c>
      <c r="AA47" s="690"/>
      <c r="AB47" s="133"/>
      <c r="AC47" s="133"/>
      <c r="AD47" s="133"/>
      <c r="AE47" s="133"/>
      <c r="AF47" s="133"/>
      <c r="AG47" s="133"/>
      <c r="AH47" s="133"/>
      <c r="AI47" s="136"/>
      <c r="AJ47" s="136"/>
      <c r="AK47" s="136"/>
      <c r="AL47" s="137"/>
    </row>
    <row r="48" spans="1:38" x14ac:dyDescent="0.2">
      <c r="A48" s="140"/>
      <c r="B48" s="136"/>
      <c r="C48" s="136"/>
      <c r="D48" s="136"/>
      <c r="E48" s="136"/>
      <c r="F48" s="136"/>
      <c r="G48" s="136"/>
      <c r="H48" s="136"/>
      <c r="I48" s="136"/>
      <c r="J48" s="136"/>
      <c r="K48" s="136"/>
      <c r="L48" s="136"/>
      <c r="M48" s="136"/>
      <c r="N48" s="136"/>
      <c r="O48" s="136"/>
      <c r="P48" s="136"/>
      <c r="Q48" s="136"/>
      <c r="R48" s="136"/>
      <c r="S48" s="137"/>
      <c r="T48" s="130"/>
      <c r="U48" s="133"/>
      <c r="V48" s="133"/>
      <c r="W48" s="133"/>
      <c r="X48" s="133"/>
      <c r="Y48" s="133"/>
      <c r="Z48" s="133"/>
      <c r="AA48" s="133"/>
      <c r="AB48" s="133"/>
      <c r="AC48" s="133"/>
      <c r="AD48" s="133"/>
      <c r="AE48" s="133"/>
      <c r="AF48" s="133"/>
      <c r="AG48" s="133"/>
      <c r="AH48" s="133"/>
      <c r="AI48" s="133"/>
      <c r="AJ48" s="133"/>
      <c r="AK48" s="133"/>
      <c r="AL48" s="134"/>
    </row>
    <row r="49" spans="1:38" x14ac:dyDescent="0.2">
      <c r="A49" s="130" t="s">
        <v>122</v>
      </c>
      <c r="B49" s="136"/>
      <c r="C49" s="136"/>
      <c r="D49" s="136"/>
      <c r="E49" s="136"/>
      <c r="F49" s="136"/>
      <c r="G49" s="136"/>
      <c r="H49" s="136"/>
      <c r="I49" s="136"/>
      <c r="J49" s="136"/>
      <c r="K49" s="136"/>
      <c r="L49" s="136"/>
      <c r="M49" s="136"/>
      <c r="N49" s="136"/>
      <c r="O49" s="136"/>
      <c r="P49" s="136"/>
      <c r="Q49" s="136"/>
      <c r="R49" s="136"/>
      <c r="S49" s="137"/>
      <c r="T49" s="130" t="s">
        <v>133</v>
      </c>
      <c r="U49" s="133"/>
      <c r="V49" s="133"/>
      <c r="W49" s="133"/>
      <c r="X49" s="133"/>
      <c r="Y49" s="133"/>
      <c r="Z49" s="133"/>
      <c r="AA49" s="133"/>
      <c r="AB49" s="133"/>
      <c r="AC49" s="133"/>
      <c r="AD49" s="133"/>
      <c r="AE49" s="133"/>
      <c r="AF49" s="133"/>
      <c r="AG49" s="133"/>
      <c r="AH49" s="133"/>
      <c r="AI49" s="133"/>
      <c r="AJ49" s="133"/>
      <c r="AK49" s="133"/>
      <c r="AL49" s="134"/>
    </row>
    <row r="50" spans="1:38" ht="15" x14ac:dyDescent="0.2">
      <c r="A50" s="683" t="s">
        <v>115</v>
      </c>
      <c r="B50" s="684"/>
      <c r="C50" s="685"/>
      <c r="D50" s="686"/>
      <c r="E50" s="138"/>
      <c r="F50" s="136"/>
      <c r="G50" s="136"/>
      <c r="H50" s="136"/>
      <c r="I50" s="136"/>
      <c r="J50" s="136"/>
      <c r="K50" s="136"/>
      <c r="L50" s="136"/>
      <c r="M50" s="136"/>
      <c r="N50" s="136"/>
      <c r="O50" s="136"/>
      <c r="P50" s="136"/>
      <c r="Q50" s="136"/>
      <c r="R50" s="136"/>
      <c r="S50" s="137"/>
      <c r="T50" s="130"/>
      <c r="U50" s="141" t="s">
        <v>141</v>
      </c>
      <c r="V50" s="687">
        <f>C53</f>
        <v>400</v>
      </c>
      <c r="W50" s="688"/>
      <c r="X50" s="142" t="s">
        <v>144</v>
      </c>
      <c r="Y50" s="142"/>
      <c r="Z50" s="142"/>
      <c r="AA50" s="142"/>
      <c r="AB50" s="133"/>
      <c r="AC50" s="133"/>
      <c r="AD50" s="133"/>
      <c r="AE50" s="133"/>
      <c r="AF50" s="139" t="s">
        <v>143</v>
      </c>
      <c r="AG50" s="676">
        <f>V51*(1/64)*PI()*(V52^4-V53^4)*200000</f>
        <v>1744439000.4490404</v>
      </c>
      <c r="AH50" s="677"/>
      <c r="AI50" s="348">
        <f>AG50*48/V50^3</f>
        <v>1308.3292503367802</v>
      </c>
      <c r="AJ50" s="133"/>
      <c r="AK50" s="133"/>
      <c r="AL50" s="134"/>
    </row>
    <row r="51" spans="1:38" ht="15" x14ac:dyDescent="0.2">
      <c r="A51" s="140"/>
      <c r="B51" s="136"/>
      <c r="C51" s="678"/>
      <c r="D51" s="678"/>
      <c r="E51" s="136"/>
      <c r="F51" s="136"/>
      <c r="G51" s="136"/>
      <c r="H51" s="136"/>
      <c r="I51" s="136"/>
      <c r="J51" s="136"/>
      <c r="K51" s="136"/>
      <c r="L51" s="136"/>
      <c r="M51" s="136"/>
      <c r="N51" s="136"/>
      <c r="O51" s="136"/>
      <c r="P51" s="136"/>
      <c r="Q51" s="136"/>
      <c r="R51" s="136"/>
      <c r="S51" s="137"/>
      <c r="T51" s="130"/>
      <c r="U51" s="139" t="s">
        <v>134</v>
      </c>
      <c r="V51" s="679">
        <v>1</v>
      </c>
      <c r="W51" s="680"/>
      <c r="X51" s="133" t="s">
        <v>147</v>
      </c>
      <c r="Y51" s="133"/>
      <c r="Z51" s="133"/>
      <c r="AA51" s="133"/>
      <c r="AB51" s="133"/>
      <c r="AC51" s="133"/>
      <c r="AD51" s="133"/>
      <c r="AE51" s="133"/>
      <c r="AF51" s="139" t="s">
        <v>145</v>
      </c>
      <c r="AG51" s="676">
        <f>IF(AG46&gt;0,(AG46*V50^3)/48,AG50)</f>
        <v>1744439000.4490404</v>
      </c>
      <c r="AH51" s="677"/>
      <c r="AI51" s="348">
        <f>AG51*48/V50^3</f>
        <v>1308.3292503367802</v>
      </c>
      <c r="AJ51" s="133"/>
      <c r="AK51" s="133"/>
      <c r="AL51" s="134"/>
    </row>
    <row r="52" spans="1:38" ht="14.25" x14ac:dyDescent="0.25">
      <c r="A52" s="135" t="s">
        <v>140</v>
      </c>
      <c r="B52" s="136"/>
      <c r="C52" s="136"/>
      <c r="D52" s="136"/>
      <c r="E52" s="136"/>
      <c r="F52" s="136"/>
      <c r="G52" s="136"/>
      <c r="H52" s="136"/>
      <c r="I52" s="136"/>
      <c r="J52" s="136"/>
      <c r="K52" s="136"/>
      <c r="L52" s="136"/>
      <c r="M52" s="136"/>
      <c r="N52" s="136"/>
      <c r="O52" s="136"/>
      <c r="P52" s="136"/>
      <c r="Q52" s="136"/>
      <c r="R52" s="136"/>
      <c r="S52" s="137"/>
      <c r="T52" s="130"/>
      <c r="U52" s="139" t="s">
        <v>137</v>
      </c>
      <c r="V52" s="679">
        <v>25.4</v>
      </c>
      <c r="W52" s="680"/>
      <c r="X52" s="133" t="s">
        <v>135</v>
      </c>
      <c r="Y52" s="133"/>
      <c r="Z52" s="133"/>
      <c r="AA52" s="133"/>
      <c r="AB52" s="133"/>
      <c r="AC52" s="133"/>
      <c r="AD52" s="133"/>
      <c r="AE52" s="133"/>
      <c r="AF52" s="139" t="s">
        <v>139</v>
      </c>
      <c r="AG52" s="681">
        <f>IF(AG51&gt;=AG50,0,(AI51^-1-AI50^-1)^-1)</f>
        <v>0</v>
      </c>
      <c r="AH52" s="682"/>
      <c r="AI52" s="133"/>
      <c r="AJ52" s="133"/>
      <c r="AK52" s="133"/>
      <c r="AL52" s="134"/>
    </row>
    <row r="53" spans="1:38" ht="12.75" customHeight="1" x14ac:dyDescent="0.25">
      <c r="A53" s="143"/>
      <c r="B53" s="144" t="s">
        <v>141</v>
      </c>
      <c r="C53" s="689">
        <v>400</v>
      </c>
      <c r="D53" s="690"/>
      <c r="E53" s="138" t="s">
        <v>142</v>
      </c>
      <c r="F53" s="136"/>
      <c r="G53" s="136"/>
      <c r="H53" s="136"/>
      <c r="I53" s="136"/>
      <c r="J53" s="136"/>
      <c r="K53" s="136"/>
      <c r="L53" s="136"/>
      <c r="M53" s="136"/>
      <c r="N53" s="136"/>
      <c r="O53" s="136"/>
      <c r="P53" s="136"/>
      <c r="Q53" s="136"/>
      <c r="R53" s="136"/>
      <c r="S53" s="137"/>
      <c r="T53" s="130"/>
      <c r="U53" s="139" t="s">
        <v>138</v>
      </c>
      <c r="V53" s="679">
        <v>22.1</v>
      </c>
      <c r="W53" s="680"/>
      <c r="X53" s="133" t="s">
        <v>136</v>
      </c>
      <c r="Y53" s="133"/>
      <c r="Z53" s="133"/>
      <c r="AA53" s="133"/>
      <c r="AB53" s="133"/>
      <c r="AC53" s="133"/>
      <c r="AD53" s="133"/>
      <c r="AE53" s="133"/>
      <c r="AF53" s="133"/>
      <c r="AG53" s="133"/>
      <c r="AH53" s="133"/>
      <c r="AI53" s="133"/>
      <c r="AJ53" s="133"/>
      <c r="AK53" s="133"/>
      <c r="AL53" s="134"/>
    </row>
    <row r="54" spans="1:38" x14ac:dyDescent="0.2">
      <c r="A54" s="668" t="s">
        <v>107</v>
      </c>
      <c r="B54" s="669"/>
      <c r="C54" s="689">
        <v>275</v>
      </c>
      <c r="D54" s="690"/>
      <c r="E54" s="138" t="s">
        <v>100</v>
      </c>
      <c r="F54" s="136"/>
      <c r="G54" s="136"/>
      <c r="H54" s="136"/>
      <c r="I54" s="136"/>
      <c r="J54" s="136"/>
      <c r="K54" s="136"/>
      <c r="L54" s="136"/>
      <c r="M54" s="136"/>
      <c r="N54" s="136"/>
      <c r="O54" s="136"/>
      <c r="P54" s="136"/>
      <c r="Q54" s="136"/>
      <c r="R54" s="136"/>
      <c r="S54" s="137"/>
      <c r="T54" s="130"/>
      <c r="U54" s="133"/>
      <c r="V54" s="133"/>
      <c r="W54" s="133"/>
      <c r="X54" s="133"/>
      <c r="Y54" s="133"/>
      <c r="Z54" s="133"/>
      <c r="AA54" s="133"/>
      <c r="AB54" s="133"/>
      <c r="AC54" s="133"/>
      <c r="AD54" s="133"/>
      <c r="AE54" s="133"/>
      <c r="AF54" s="133"/>
      <c r="AG54" s="133"/>
      <c r="AH54" s="133"/>
      <c r="AI54" s="133"/>
      <c r="AJ54" s="133"/>
      <c r="AK54" s="133"/>
      <c r="AL54" s="134"/>
    </row>
    <row r="55" spans="1:38" x14ac:dyDescent="0.2">
      <c r="A55" s="668" t="s">
        <v>108</v>
      </c>
      <c r="B55" s="669"/>
      <c r="C55" s="679">
        <v>18</v>
      </c>
      <c r="D55" s="680"/>
      <c r="E55" s="133" t="s">
        <v>227</v>
      </c>
      <c r="F55" s="133"/>
      <c r="G55" s="133"/>
      <c r="H55" s="133"/>
      <c r="I55" s="133"/>
      <c r="J55" s="133"/>
      <c r="K55" s="133"/>
      <c r="L55" s="133"/>
      <c r="M55" s="133"/>
      <c r="N55" s="133"/>
      <c r="O55" s="136"/>
      <c r="P55" s="136"/>
      <c r="Q55" s="136"/>
      <c r="R55" s="136"/>
      <c r="S55" s="137"/>
      <c r="T55" s="130"/>
      <c r="U55" s="133"/>
      <c r="V55" s="133"/>
      <c r="W55" s="133"/>
      <c r="X55" s="133"/>
      <c r="Y55" s="133"/>
      <c r="Z55" s="133"/>
      <c r="AA55" s="133"/>
      <c r="AB55" s="133"/>
      <c r="AC55" s="133"/>
      <c r="AD55" s="133"/>
      <c r="AE55" s="133"/>
      <c r="AF55" s="133"/>
      <c r="AG55" s="133"/>
      <c r="AH55" s="133"/>
      <c r="AI55" s="133"/>
      <c r="AJ55" s="133"/>
      <c r="AK55" s="133"/>
      <c r="AL55" s="134"/>
    </row>
    <row r="56" spans="1:38" ht="15.75" customHeight="1" x14ac:dyDescent="0.25">
      <c r="A56" s="668" t="s">
        <v>116</v>
      </c>
      <c r="B56" s="669"/>
      <c r="C56" s="679">
        <v>1</v>
      </c>
      <c r="D56" s="680"/>
      <c r="E56" s="133" t="s">
        <v>228</v>
      </c>
      <c r="F56" s="133"/>
      <c r="G56" s="133"/>
      <c r="H56" s="133"/>
      <c r="I56" s="133"/>
      <c r="J56" s="133"/>
      <c r="K56" s="133"/>
      <c r="L56" s="133"/>
      <c r="M56" s="133"/>
      <c r="N56" s="133"/>
      <c r="O56" s="136"/>
      <c r="P56" s="136"/>
      <c r="Q56" s="136"/>
      <c r="R56" s="136"/>
      <c r="S56" s="137"/>
      <c r="T56" s="130"/>
      <c r="U56" s="133"/>
      <c r="V56" s="133"/>
      <c r="W56" s="133"/>
      <c r="X56" s="133"/>
      <c r="Y56" s="133"/>
      <c r="Z56" s="133"/>
      <c r="AA56" s="133"/>
      <c r="AB56" s="133"/>
      <c r="AC56" s="133"/>
      <c r="AD56" s="133"/>
      <c r="AE56" s="146"/>
      <c r="AF56" s="133"/>
      <c r="AG56" s="133"/>
      <c r="AH56" s="133"/>
      <c r="AI56" s="133"/>
      <c r="AJ56" s="133"/>
      <c r="AK56" s="133"/>
      <c r="AL56" s="134"/>
    </row>
    <row r="57" spans="1:38" ht="15.75" customHeight="1" x14ac:dyDescent="0.25">
      <c r="A57" s="668" t="s">
        <v>117</v>
      </c>
      <c r="B57" s="669"/>
      <c r="C57" s="679">
        <v>1</v>
      </c>
      <c r="D57" s="680"/>
      <c r="E57" s="133" t="s">
        <v>229</v>
      </c>
      <c r="F57" s="133"/>
      <c r="G57" s="133"/>
      <c r="H57" s="133"/>
      <c r="I57" s="133"/>
      <c r="J57" s="133"/>
      <c r="K57" s="133"/>
      <c r="L57" s="133"/>
      <c r="M57" s="133"/>
      <c r="N57" s="133"/>
      <c r="O57" s="136"/>
      <c r="P57" s="136"/>
      <c r="Q57" s="136"/>
      <c r="R57" s="136"/>
      <c r="S57" s="137"/>
      <c r="T57" s="130"/>
      <c r="U57" s="133"/>
      <c r="V57" s="133"/>
      <c r="W57" s="133"/>
      <c r="X57" s="133"/>
      <c r="Y57" s="133"/>
      <c r="Z57" s="133"/>
      <c r="AA57" s="133"/>
      <c r="AB57" s="133"/>
      <c r="AC57" s="133"/>
      <c r="AD57" s="133"/>
      <c r="AE57" s="146"/>
      <c r="AF57" s="133"/>
      <c r="AG57" s="133"/>
      <c r="AH57" s="133"/>
      <c r="AI57" s="133"/>
      <c r="AJ57" s="133"/>
      <c r="AK57" s="133"/>
      <c r="AL57" s="134"/>
    </row>
    <row r="58" spans="1:38" ht="15" x14ac:dyDescent="0.2">
      <c r="A58" s="147"/>
      <c r="B58" s="139" t="s">
        <v>118</v>
      </c>
      <c r="C58" s="672">
        <f>(C54*(((C55+C56+C57)^3)-(C55^3)))/12</f>
        <v>49683.333333333336</v>
      </c>
      <c r="D58" s="673"/>
      <c r="E58" s="133" t="s">
        <v>109</v>
      </c>
      <c r="F58" s="133"/>
      <c r="G58" s="133"/>
      <c r="H58" s="133"/>
      <c r="I58" s="133"/>
      <c r="J58" s="133"/>
      <c r="K58" s="133"/>
      <c r="L58" s="133"/>
      <c r="M58" s="133"/>
      <c r="N58" s="133"/>
      <c r="O58" s="136"/>
      <c r="P58" s="136"/>
      <c r="Q58" s="136"/>
      <c r="R58" s="136"/>
      <c r="S58" s="137"/>
      <c r="T58" s="130"/>
      <c r="U58" s="133"/>
      <c r="V58" s="133"/>
      <c r="W58" s="133"/>
      <c r="X58" s="133"/>
      <c r="Y58" s="133"/>
      <c r="Z58" s="133"/>
      <c r="AA58" s="133"/>
      <c r="AB58" s="133"/>
      <c r="AC58" s="133"/>
      <c r="AD58" s="133"/>
      <c r="AE58" s="146"/>
      <c r="AF58" s="133"/>
      <c r="AG58" s="133"/>
      <c r="AH58" s="133"/>
      <c r="AI58" s="133"/>
      <c r="AJ58" s="133"/>
      <c r="AK58" s="133"/>
      <c r="AL58" s="134"/>
    </row>
    <row r="59" spans="1:38" x14ac:dyDescent="0.2">
      <c r="A59" s="140"/>
      <c r="B59" s="139" t="s">
        <v>110</v>
      </c>
      <c r="C59" s="674">
        <f>IF(C47&gt;0,0.001*((N46*(C47-C46)*C53^3)/(48*C58*(C47-C46))),0)</f>
        <v>0</v>
      </c>
      <c r="D59" s="675"/>
      <c r="E59" s="138" t="s">
        <v>230</v>
      </c>
      <c r="F59" s="136"/>
      <c r="G59" s="136"/>
      <c r="H59" s="136"/>
      <c r="I59" s="136"/>
      <c r="J59" s="136"/>
      <c r="K59" s="136"/>
      <c r="L59" s="136"/>
      <c r="M59" s="136"/>
      <c r="N59" s="136"/>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x14ac:dyDescent="0.2">
      <c r="A60" s="148"/>
      <c r="B60" s="149" t="s">
        <v>170</v>
      </c>
      <c r="C60" s="666">
        <f>C50*C53*0.5*SUM(C55:D57)/(4*C58)</f>
        <v>0</v>
      </c>
      <c r="D60" s="667"/>
      <c r="E60" s="150" t="s">
        <v>231</v>
      </c>
      <c r="F60" s="151"/>
      <c r="G60" s="151"/>
      <c r="H60" s="151"/>
      <c r="I60" s="151"/>
      <c r="J60" s="151"/>
      <c r="K60" s="151"/>
      <c r="L60" s="151"/>
      <c r="M60" s="151"/>
      <c r="N60" s="151"/>
      <c r="O60" s="151"/>
      <c r="P60" s="151"/>
      <c r="Q60" s="151"/>
      <c r="R60" s="151"/>
      <c r="S60" s="152"/>
      <c r="T60" s="153"/>
      <c r="U60" s="154"/>
      <c r="V60" s="154"/>
      <c r="W60" s="154"/>
      <c r="X60" s="154"/>
      <c r="Y60" s="154"/>
      <c r="Z60" s="154"/>
      <c r="AA60" s="154"/>
      <c r="AB60" s="154"/>
      <c r="AC60" s="154"/>
      <c r="AD60" s="154"/>
      <c r="AE60" s="154"/>
      <c r="AF60" s="154"/>
      <c r="AG60" s="154"/>
      <c r="AH60" s="154"/>
      <c r="AI60" s="154"/>
      <c r="AJ60" s="154"/>
      <c r="AK60" s="154"/>
      <c r="AL60" s="155"/>
    </row>
    <row r="61" spans="1:38" x14ac:dyDescent="0.2">
      <c r="A61" s="24"/>
      <c r="B61" s="25"/>
      <c r="C61" s="25"/>
      <c r="D61" s="25"/>
      <c r="E61" s="25"/>
      <c r="F61" s="25"/>
      <c r="G61" s="25"/>
      <c r="H61" s="25"/>
      <c r="I61" s="25"/>
      <c r="J61" s="25"/>
      <c r="K61" s="25"/>
      <c r="L61" s="25"/>
      <c r="M61" s="25"/>
      <c r="N61" s="25"/>
      <c r="O61" s="25"/>
      <c r="P61" s="25"/>
      <c r="Q61" s="25"/>
      <c r="R61" s="25"/>
      <c r="S61" s="26"/>
      <c r="T61" s="25"/>
      <c r="U61" s="25"/>
      <c r="V61" s="25"/>
      <c r="W61" s="25"/>
      <c r="X61" s="25"/>
      <c r="Y61" s="25"/>
      <c r="Z61" s="25"/>
      <c r="AA61" s="25"/>
      <c r="AB61" s="25"/>
      <c r="AC61" s="25"/>
      <c r="AD61" s="25"/>
      <c r="AE61" s="25"/>
      <c r="AF61" s="25"/>
      <c r="AG61" s="25"/>
      <c r="AH61" s="25"/>
      <c r="AI61" s="25"/>
      <c r="AJ61" s="25"/>
      <c r="AK61" s="25"/>
      <c r="AL61" s="26"/>
    </row>
    <row r="62" spans="1:38"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row>
    <row r="63" spans="1:38"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8"/>
      <c r="B186" s="36"/>
      <c r="C186" s="36"/>
      <c r="D186" s="36"/>
      <c r="E186" s="36"/>
      <c r="F186" s="36"/>
      <c r="G186" s="36"/>
      <c r="H186" s="36"/>
      <c r="I186" s="36"/>
      <c r="J186" s="36"/>
      <c r="K186" s="36"/>
      <c r="L186" s="36"/>
      <c r="M186" s="36"/>
      <c r="N186" s="36"/>
      <c r="O186" s="36"/>
      <c r="P186" s="36"/>
      <c r="Q186" s="36"/>
      <c r="R186" s="36"/>
      <c r="S186" s="39"/>
      <c r="T186" s="36"/>
      <c r="U186" s="36"/>
      <c r="V186" s="36"/>
      <c r="W186" s="36"/>
      <c r="X186" s="36"/>
      <c r="Y186" s="36"/>
      <c r="Z186" s="36"/>
      <c r="AA186" s="36"/>
      <c r="AB186" s="36"/>
      <c r="AC186" s="36"/>
      <c r="AD186" s="36"/>
      <c r="AE186" s="36"/>
      <c r="AF186" s="36"/>
      <c r="AG186" s="36"/>
      <c r="AH186" s="36"/>
      <c r="AI186" s="36"/>
      <c r="AJ186" s="36"/>
      <c r="AK186" s="36"/>
      <c r="AL186" s="39"/>
    </row>
  </sheetData>
  <sheetProtection password="E10F" sheet="1"/>
  <mergeCells count="48">
    <mergeCell ref="A55:B55"/>
    <mergeCell ref="C55:D55"/>
    <mergeCell ref="C60:D60"/>
    <mergeCell ref="A56:B56"/>
    <mergeCell ref="C56:D56"/>
    <mergeCell ref="A57:B57"/>
    <mergeCell ref="C57:D57"/>
    <mergeCell ref="C58:D58"/>
    <mergeCell ref="C59:D59"/>
    <mergeCell ref="V52:W52"/>
    <mergeCell ref="AG52:AH52"/>
    <mergeCell ref="C53:D53"/>
    <mergeCell ref="V53:W53"/>
    <mergeCell ref="A54:B54"/>
    <mergeCell ref="C54:D54"/>
    <mergeCell ref="A50:B50"/>
    <mergeCell ref="C50:D50"/>
    <mergeCell ref="V50:W50"/>
    <mergeCell ref="AG50:AH50"/>
    <mergeCell ref="C51:D51"/>
    <mergeCell ref="V51:W51"/>
    <mergeCell ref="AG51:AH51"/>
    <mergeCell ref="AG46:AH46"/>
    <mergeCell ref="A47:B47"/>
    <mergeCell ref="C47:D47"/>
    <mergeCell ref="E47:F47"/>
    <mergeCell ref="G47:H47"/>
    <mergeCell ref="T47:U47"/>
    <mergeCell ref="V47:W47"/>
    <mergeCell ref="X47:Y47"/>
    <mergeCell ref="Z47:AA47"/>
    <mergeCell ref="T46:U46"/>
    <mergeCell ref="V46:W46"/>
    <mergeCell ref="X46:Y46"/>
    <mergeCell ref="Z46:AA46"/>
    <mergeCell ref="A5:S5"/>
    <mergeCell ref="A46:B46"/>
    <mergeCell ref="C46:D46"/>
    <mergeCell ref="E46:F46"/>
    <mergeCell ref="G46:H46"/>
    <mergeCell ref="N46:O46"/>
    <mergeCell ref="P46:R46"/>
    <mergeCell ref="A1:S1"/>
    <mergeCell ref="T1:AL1"/>
    <mergeCell ref="D3:J3"/>
    <mergeCell ref="O3:S3"/>
    <mergeCell ref="W3:AC3"/>
    <mergeCell ref="AH3:AL3"/>
  </mergeCells>
  <phoneticPr fontId="0" type="noConversion"/>
  <hyperlinks>
    <hyperlink ref="AM2" location="'Cover Sheet'!A1" display="BACK to COVER SHEET" xr:uid="{00000000-0004-0000-1400-000000000000}"/>
    <hyperlink ref="AM2:AO2" location="'Cover Sheet'!A1" display="BACK to COVER SHEET" xr:uid="{00000000-0004-0000-1400-000001000000}"/>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AO181"/>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01" t="s">
        <v>548</v>
      </c>
      <c r="B1" s="601"/>
      <c r="C1" s="601"/>
      <c r="D1" s="601"/>
      <c r="E1" s="601"/>
      <c r="F1" s="601"/>
      <c r="G1" s="601"/>
      <c r="H1" s="601"/>
      <c r="I1" s="601"/>
      <c r="J1" s="601"/>
      <c r="K1" s="601"/>
      <c r="L1" s="601"/>
      <c r="M1" s="601"/>
      <c r="N1" s="601"/>
      <c r="O1" s="601"/>
      <c r="P1" s="601"/>
      <c r="Q1" s="601"/>
      <c r="R1" s="601"/>
      <c r="S1" s="601"/>
      <c r="T1" s="601" t="s">
        <v>548</v>
      </c>
      <c r="U1" s="601"/>
      <c r="V1" s="601"/>
      <c r="W1" s="601"/>
      <c r="X1" s="601"/>
      <c r="Y1" s="601"/>
      <c r="Z1" s="601"/>
      <c r="AA1" s="601"/>
      <c r="AB1" s="601"/>
      <c r="AC1" s="601"/>
      <c r="AD1" s="601"/>
      <c r="AE1" s="601"/>
      <c r="AF1" s="601"/>
      <c r="AG1" s="601"/>
      <c r="AH1" s="601"/>
      <c r="AI1" s="601"/>
      <c r="AJ1" s="601"/>
      <c r="AK1" s="601"/>
      <c r="AL1" s="601"/>
    </row>
    <row r="2" spans="1:41" x14ac:dyDescent="0.2">
      <c r="AM2" s="298" t="s">
        <v>565</v>
      </c>
      <c r="AN2" s="298"/>
      <c r="AO2" s="298"/>
    </row>
    <row r="3" spans="1:41" x14ac:dyDescent="0.2">
      <c r="A3" t="s">
        <v>47</v>
      </c>
      <c r="D3" s="701" t="str">
        <f>IF('Cover Sheet'!D14:J14&gt;0,'Cover Sheet'!D14:J14,"")</f>
        <v>EPSA</v>
      </c>
      <c r="E3" s="701"/>
      <c r="F3" s="701"/>
      <c r="G3" s="701"/>
      <c r="H3" s="701"/>
      <c r="I3" s="701"/>
      <c r="J3" s="701"/>
      <c r="K3" t="s">
        <v>48</v>
      </c>
      <c r="O3" s="701" t="str">
        <f>IF('Cover Sheet'!O14:S14&gt;0,'Cover Sheet'!O14:S14,"")</f>
        <v/>
      </c>
      <c r="P3" s="701"/>
      <c r="Q3" s="701"/>
      <c r="R3" s="701"/>
      <c r="S3" s="701"/>
      <c r="T3" t="s">
        <v>47</v>
      </c>
      <c r="W3" s="701" t="str">
        <f>IF('Cover Sheet'!W14:AC14&gt;0,'Cover Sheet'!W14:AC14,"")</f>
        <v/>
      </c>
      <c r="X3" s="701"/>
      <c r="Y3" s="701"/>
      <c r="Z3" s="701"/>
      <c r="AA3" s="701"/>
      <c r="AB3" s="701"/>
      <c r="AC3" s="701"/>
      <c r="AD3" t="s">
        <v>48</v>
      </c>
      <c r="AH3" s="701" t="str">
        <f>IF('Cover Sheet'!AH14:AL14&gt;0,'Cover Sheet'!AH14:AL14,"")</f>
        <v/>
      </c>
      <c r="AI3" s="701"/>
      <c r="AJ3" s="701"/>
      <c r="AK3" s="701"/>
      <c r="AL3" s="701"/>
    </row>
    <row r="5" spans="1:41" ht="12.75" customHeight="1" x14ac:dyDescent="0.2">
      <c r="A5" s="40"/>
      <c r="B5" s="41"/>
      <c r="C5" s="41"/>
      <c r="D5" s="41"/>
      <c r="E5" s="41"/>
      <c r="F5" s="41"/>
      <c r="G5" s="41"/>
      <c r="H5" s="41"/>
      <c r="I5" s="41"/>
      <c r="J5" s="41"/>
      <c r="K5" s="41"/>
      <c r="L5" s="41"/>
      <c r="M5" s="41"/>
      <c r="N5" s="41"/>
      <c r="O5" s="41"/>
      <c r="P5" s="41"/>
      <c r="Q5" s="41"/>
      <c r="R5" s="41"/>
      <c r="S5" s="42"/>
      <c r="T5" s="691"/>
      <c r="U5" s="692"/>
      <c r="V5" s="692"/>
      <c r="W5" s="692"/>
      <c r="X5" s="692"/>
      <c r="Y5" s="692"/>
      <c r="Z5" s="692"/>
      <c r="AA5" s="692"/>
      <c r="AB5" s="692"/>
      <c r="AC5" s="692"/>
      <c r="AD5" s="692"/>
      <c r="AE5" s="692"/>
      <c r="AF5" s="692"/>
      <c r="AG5" s="692"/>
      <c r="AH5" s="692"/>
      <c r="AI5" s="692"/>
      <c r="AJ5" s="692"/>
      <c r="AK5" s="692"/>
      <c r="AL5" s="693"/>
    </row>
    <row r="6" spans="1:41" ht="12.75" customHeight="1" x14ac:dyDescent="0.2">
      <c r="A6" s="27"/>
      <c r="B6" s="726" t="s">
        <v>480</v>
      </c>
      <c r="C6" s="726"/>
      <c r="D6" s="726"/>
      <c r="E6" s="726"/>
      <c r="F6" s="726"/>
      <c r="G6" s="28"/>
      <c r="H6" s="28"/>
      <c r="I6" s="28"/>
      <c r="J6" s="28"/>
      <c r="K6" s="28"/>
      <c r="L6" s="28"/>
      <c r="M6" s="28"/>
      <c r="N6" s="28"/>
      <c r="O6" s="28"/>
      <c r="P6" s="28"/>
      <c r="Q6" s="28"/>
      <c r="R6" s="28"/>
      <c r="S6" s="29"/>
      <c r="T6" s="27"/>
      <c r="U6" s="28"/>
      <c r="V6" s="28"/>
      <c r="W6" s="28"/>
      <c r="X6" s="28"/>
      <c r="Y6" s="28"/>
      <c r="Z6" s="28"/>
      <c r="AA6" s="28"/>
      <c r="AB6" s="28"/>
      <c r="AC6" s="28"/>
      <c r="AD6" s="28"/>
      <c r="AE6" s="28"/>
      <c r="AF6" s="28"/>
      <c r="AG6" s="28"/>
      <c r="AH6" s="28"/>
      <c r="AI6" s="28"/>
      <c r="AJ6" s="28"/>
      <c r="AK6" s="28"/>
      <c r="AL6" s="29"/>
    </row>
    <row r="7" spans="1:41" x14ac:dyDescent="0.2">
      <c r="A7" s="27"/>
      <c r="B7" s="28"/>
      <c r="C7" s="28"/>
      <c r="D7" s="28"/>
      <c r="E7" s="28"/>
      <c r="F7" s="28"/>
      <c r="G7" s="28"/>
      <c r="H7" s="28"/>
      <c r="I7" s="28"/>
      <c r="J7" s="28"/>
      <c r="K7" s="28"/>
      <c r="L7" s="28"/>
      <c r="M7" s="28"/>
      <c r="N7" s="28"/>
      <c r="O7" s="28"/>
      <c r="P7" s="28"/>
      <c r="Q7" s="28"/>
      <c r="R7" s="28"/>
      <c r="S7" s="29"/>
      <c r="T7" s="27"/>
      <c r="U7" s="28"/>
      <c r="V7" s="28"/>
      <c r="W7" s="28"/>
      <c r="X7" s="28"/>
      <c r="Y7" s="28"/>
      <c r="Z7" s="28"/>
      <c r="AA7" s="28"/>
      <c r="AB7" s="28"/>
      <c r="AC7" s="28"/>
      <c r="AD7" s="28"/>
      <c r="AE7" s="28"/>
      <c r="AF7" s="28"/>
      <c r="AG7" s="28"/>
      <c r="AH7" s="28"/>
      <c r="AI7" s="28"/>
      <c r="AJ7" s="28"/>
      <c r="AK7" s="28"/>
      <c r="AL7" s="29"/>
    </row>
    <row r="8" spans="1:41" x14ac:dyDescent="0.2">
      <c r="A8" s="27"/>
      <c r="B8" s="28"/>
      <c r="C8" s="28"/>
      <c r="D8" s="28"/>
      <c r="E8" s="28"/>
      <c r="F8" s="28"/>
      <c r="G8" s="28"/>
      <c r="H8" s="28"/>
      <c r="I8" s="28"/>
      <c r="J8" s="28"/>
      <c r="K8" s="28"/>
      <c r="L8" s="28"/>
      <c r="M8" s="28"/>
      <c r="N8" s="28"/>
      <c r="O8" s="28"/>
      <c r="P8" s="28"/>
      <c r="Q8" s="28"/>
      <c r="R8" s="28"/>
      <c r="S8" s="29"/>
      <c r="T8" s="27"/>
      <c r="U8" s="28"/>
      <c r="V8" s="28"/>
      <c r="W8" s="28"/>
      <c r="X8" s="28"/>
      <c r="Y8" s="28"/>
      <c r="Z8" s="28"/>
      <c r="AA8" s="28"/>
      <c r="AB8" s="28"/>
      <c r="AC8" s="28"/>
      <c r="AD8" s="28"/>
      <c r="AE8" s="28"/>
      <c r="AF8" s="28"/>
      <c r="AG8" s="28"/>
      <c r="AH8" s="28"/>
      <c r="AI8" s="28"/>
      <c r="AJ8" s="28"/>
      <c r="AK8" s="28"/>
      <c r="AL8" s="29"/>
    </row>
    <row r="9" spans="1:41" x14ac:dyDescent="0.2">
      <c r="A9" s="27"/>
      <c r="B9" s="28"/>
      <c r="C9" s="28"/>
      <c r="D9" s="28"/>
      <c r="E9" s="28"/>
      <c r="F9" s="31"/>
      <c r="G9" s="31"/>
      <c r="H9" s="28"/>
      <c r="I9" s="28"/>
      <c r="J9" s="28"/>
      <c r="K9" s="28"/>
      <c r="L9" s="28"/>
      <c r="M9" s="28"/>
      <c r="N9" s="28"/>
      <c r="O9" s="28"/>
      <c r="P9" s="28"/>
      <c r="Q9" s="28"/>
      <c r="R9" s="28"/>
      <c r="S9" s="29"/>
      <c r="T9" s="27"/>
      <c r="U9" s="28"/>
      <c r="V9" s="28"/>
      <c r="W9" s="28"/>
      <c r="X9" s="28"/>
      <c r="Y9" s="31"/>
      <c r="Z9" s="31"/>
      <c r="AA9" s="28"/>
      <c r="AB9" s="28"/>
      <c r="AC9" s="28"/>
      <c r="AD9" s="28"/>
      <c r="AE9" s="28"/>
      <c r="AF9" s="28"/>
      <c r="AG9" s="28"/>
      <c r="AH9" s="28"/>
      <c r="AI9" s="28"/>
      <c r="AJ9" s="28"/>
      <c r="AK9" s="28"/>
      <c r="AL9" s="29"/>
    </row>
    <row r="10" spans="1:41" x14ac:dyDescent="0.2">
      <c r="A10" s="27"/>
      <c r="B10" s="28"/>
      <c r="C10" s="28"/>
      <c r="D10" s="28"/>
      <c r="E10" s="28"/>
      <c r="F10" s="28"/>
      <c r="G10" s="28"/>
      <c r="H10" s="28"/>
      <c r="I10" s="28"/>
      <c r="J10" s="28"/>
      <c r="K10" s="28"/>
      <c r="L10" s="28"/>
      <c r="M10" s="28"/>
      <c r="N10" s="28"/>
      <c r="O10" s="28"/>
      <c r="P10" s="28"/>
      <c r="Q10" s="28"/>
      <c r="R10" s="28"/>
      <c r="S10" s="29"/>
      <c r="T10" s="27"/>
      <c r="U10" s="28"/>
      <c r="V10" s="28"/>
      <c r="W10" s="28"/>
      <c r="X10" s="28"/>
      <c r="Y10" s="28"/>
      <c r="Z10" s="28"/>
      <c r="AA10" s="28"/>
      <c r="AB10" s="28"/>
      <c r="AC10" s="28"/>
      <c r="AD10" s="28"/>
      <c r="AE10" s="28"/>
      <c r="AF10" s="28"/>
      <c r="AG10" s="28"/>
      <c r="AH10" s="28"/>
      <c r="AI10" s="28"/>
      <c r="AJ10" s="28"/>
      <c r="AK10" s="28"/>
      <c r="AL10" s="29"/>
    </row>
    <row r="11" spans="1:41" x14ac:dyDescent="0.2">
      <c r="A11" s="27"/>
      <c r="B11" s="28"/>
      <c r="C11" s="28"/>
      <c r="D11" s="28"/>
      <c r="E11" s="28"/>
      <c r="F11" s="28"/>
      <c r="G11" s="33" t="s">
        <v>101</v>
      </c>
      <c r="H11" s="28"/>
      <c r="I11" s="28"/>
      <c r="J11" s="28"/>
      <c r="K11" s="28"/>
      <c r="L11" s="28"/>
      <c r="M11" s="28"/>
      <c r="N11" s="28"/>
      <c r="O11" s="28"/>
      <c r="P11" s="28"/>
      <c r="Q11" s="28"/>
      <c r="R11" s="28"/>
      <c r="S11" s="29"/>
      <c r="T11" s="27"/>
      <c r="U11" s="28"/>
      <c r="V11" s="28"/>
      <c r="W11" s="28"/>
      <c r="X11" s="28"/>
      <c r="Y11" s="28"/>
      <c r="Z11" s="33" t="s">
        <v>101</v>
      </c>
      <c r="AA11" s="28"/>
      <c r="AB11" s="28"/>
      <c r="AC11" s="28"/>
      <c r="AD11" s="28"/>
      <c r="AE11" s="28"/>
      <c r="AF11" s="28"/>
      <c r="AG11" s="28"/>
      <c r="AH11" s="28"/>
      <c r="AI11" s="28"/>
      <c r="AJ11" s="28"/>
      <c r="AK11" s="28"/>
      <c r="AL11" s="29"/>
    </row>
    <row r="12" spans="1:41" x14ac:dyDescent="0.2">
      <c r="A12" s="27"/>
      <c r="B12" s="28"/>
      <c r="C12" s="28"/>
      <c r="D12" s="28"/>
      <c r="E12" s="28"/>
      <c r="F12" s="28"/>
      <c r="G12" s="28"/>
      <c r="H12" s="28"/>
      <c r="I12" s="28"/>
      <c r="J12" s="28"/>
      <c r="K12" s="28"/>
      <c r="L12" s="28"/>
      <c r="M12" s="28"/>
      <c r="N12" s="28"/>
      <c r="O12" s="28"/>
      <c r="P12" s="28"/>
      <c r="Q12" s="28"/>
      <c r="R12" s="28"/>
      <c r="S12" s="29"/>
      <c r="T12" s="27"/>
      <c r="U12" s="28"/>
      <c r="V12" s="28"/>
      <c r="W12" s="28"/>
      <c r="X12" s="28"/>
      <c r="Y12" s="28"/>
      <c r="Z12" s="28"/>
      <c r="AA12" s="28"/>
      <c r="AB12" s="28"/>
      <c r="AC12" s="28"/>
      <c r="AD12" s="28"/>
      <c r="AE12" s="28"/>
      <c r="AF12" s="28"/>
      <c r="AG12" s="28"/>
      <c r="AH12" s="28"/>
      <c r="AI12" s="28"/>
      <c r="AJ12" s="28"/>
      <c r="AK12" s="28"/>
      <c r="AL12" s="29"/>
    </row>
    <row r="13" spans="1:41" x14ac:dyDescent="0.2">
      <c r="A13" s="27"/>
      <c r="B13" s="28"/>
      <c r="C13" s="28"/>
      <c r="D13" s="28"/>
      <c r="E13" s="28"/>
      <c r="F13" s="28"/>
      <c r="G13" s="33" t="s">
        <v>282</v>
      </c>
      <c r="H13" s="28"/>
      <c r="I13" s="28"/>
      <c r="J13" s="28"/>
      <c r="K13" s="28"/>
      <c r="L13" s="28"/>
      <c r="M13" s="28"/>
      <c r="N13" s="28"/>
      <c r="O13" s="28"/>
      <c r="P13" s="28"/>
      <c r="Q13" s="28"/>
      <c r="R13" s="28"/>
      <c r="S13" s="29"/>
      <c r="T13" s="27"/>
      <c r="U13" s="28"/>
      <c r="V13" s="28"/>
      <c r="W13" s="28"/>
      <c r="X13" s="28"/>
      <c r="Y13" s="28"/>
      <c r="Z13" s="33" t="s">
        <v>282</v>
      </c>
      <c r="AA13" s="28"/>
      <c r="AB13" s="28"/>
      <c r="AC13" s="28"/>
      <c r="AD13" s="28"/>
      <c r="AE13" s="28"/>
      <c r="AF13" s="28"/>
      <c r="AG13" s="28"/>
      <c r="AH13" s="28"/>
      <c r="AI13" s="28"/>
      <c r="AJ13" s="28"/>
      <c r="AK13" s="28"/>
      <c r="AL13" s="29"/>
    </row>
    <row r="14" spans="1:41" x14ac:dyDescent="0.2">
      <c r="A14" s="27"/>
      <c r="B14" s="28"/>
      <c r="C14" s="28"/>
      <c r="D14" s="28"/>
      <c r="E14" s="28"/>
      <c r="F14" s="28"/>
      <c r="G14" s="28"/>
      <c r="H14" s="28"/>
      <c r="I14" s="28"/>
      <c r="J14" s="28"/>
      <c r="K14" s="28"/>
      <c r="L14" s="28"/>
      <c r="M14" s="28"/>
      <c r="N14" s="28"/>
      <c r="O14" s="28"/>
      <c r="P14" s="28"/>
      <c r="Q14" s="28"/>
      <c r="R14" s="28"/>
      <c r="S14" s="29"/>
      <c r="T14" s="27"/>
      <c r="U14" s="28"/>
      <c r="V14" s="28"/>
      <c r="W14" s="28"/>
      <c r="X14" s="28"/>
      <c r="Y14" s="28"/>
      <c r="Z14" s="28"/>
      <c r="AA14" s="28"/>
      <c r="AB14" s="28"/>
      <c r="AC14" s="28"/>
      <c r="AD14" s="28"/>
      <c r="AE14" s="28"/>
      <c r="AF14" s="28"/>
      <c r="AG14" s="28"/>
      <c r="AH14" s="28"/>
      <c r="AI14" s="28"/>
      <c r="AJ14" s="28"/>
      <c r="AK14" s="28"/>
      <c r="AL14" s="29"/>
    </row>
    <row r="15" spans="1:41" x14ac:dyDescent="0.2">
      <c r="A15" s="27"/>
      <c r="B15" s="28"/>
      <c r="C15" s="28"/>
      <c r="D15" s="28"/>
      <c r="E15" s="28"/>
      <c r="F15" s="28"/>
      <c r="G15" s="517" t="s">
        <v>566</v>
      </c>
      <c r="H15" s="518"/>
      <c r="I15" s="518"/>
      <c r="J15" s="518"/>
      <c r="K15" s="518"/>
      <c r="L15" s="518"/>
      <c r="M15" s="518"/>
      <c r="N15" s="28"/>
      <c r="O15" s="28"/>
      <c r="P15" s="28"/>
      <c r="Q15" s="28"/>
      <c r="R15" s="28"/>
      <c r="S15" s="29"/>
      <c r="T15" s="27"/>
      <c r="U15" s="28"/>
      <c r="V15" s="28"/>
      <c r="W15" s="28"/>
      <c r="X15" s="28"/>
      <c r="Y15" s="28"/>
      <c r="Z15" s="517" t="s">
        <v>567</v>
      </c>
      <c r="AA15" s="518"/>
      <c r="AB15" s="518"/>
      <c r="AC15" s="518"/>
      <c r="AD15" s="518"/>
      <c r="AE15" s="518"/>
      <c r="AF15" s="518"/>
      <c r="AG15" s="28"/>
      <c r="AH15" s="28"/>
      <c r="AI15" s="28"/>
      <c r="AJ15" s="28"/>
      <c r="AK15" s="28"/>
      <c r="AL15" s="29"/>
    </row>
    <row r="16" spans="1:41" x14ac:dyDescent="0.2">
      <c r="A16" s="27"/>
      <c r="B16" s="28"/>
      <c r="C16" s="28"/>
      <c r="D16" s="28"/>
      <c r="E16" s="28"/>
      <c r="F16" s="28"/>
      <c r="G16" s="68"/>
      <c r="H16" s="28"/>
      <c r="I16" s="28"/>
      <c r="J16" s="28"/>
      <c r="K16" s="28"/>
      <c r="L16" s="28"/>
      <c r="M16" s="28"/>
      <c r="N16" s="28"/>
      <c r="O16" s="28"/>
      <c r="P16" s="28"/>
      <c r="Q16" s="28"/>
      <c r="R16" s="28"/>
      <c r="S16" s="29"/>
      <c r="T16" s="27"/>
      <c r="U16" s="28"/>
      <c r="V16" s="28"/>
      <c r="W16" s="28"/>
      <c r="X16" s="28"/>
      <c r="Y16" s="28"/>
      <c r="Z16" s="28"/>
      <c r="AA16" s="28"/>
      <c r="AB16" s="28"/>
      <c r="AC16" s="28"/>
      <c r="AD16" s="28"/>
      <c r="AE16" s="28"/>
      <c r="AF16" s="28"/>
      <c r="AG16" s="28"/>
      <c r="AH16" s="28"/>
      <c r="AI16" s="28"/>
      <c r="AJ16" s="28"/>
      <c r="AK16" s="28"/>
      <c r="AL16" s="29"/>
    </row>
    <row r="17" spans="1:38" x14ac:dyDescent="0.2">
      <c r="A17" s="27"/>
      <c r="B17" s="28"/>
      <c r="C17" s="28"/>
      <c r="D17" s="28"/>
      <c r="E17" s="28"/>
      <c r="F17" s="28"/>
      <c r="G17" s="28"/>
      <c r="H17" s="28"/>
      <c r="I17" s="28"/>
      <c r="J17" s="28"/>
      <c r="K17" s="28"/>
      <c r="L17" s="28"/>
      <c r="M17" s="28"/>
      <c r="N17" s="28"/>
      <c r="O17" s="28"/>
      <c r="P17" s="28"/>
      <c r="Q17" s="28"/>
      <c r="R17" s="28"/>
      <c r="S17" s="29"/>
      <c r="T17" s="27"/>
      <c r="U17" s="28"/>
      <c r="V17" s="28"/>
      <c r="W17" s="28"/>
      <c r="X17" s="28"/>
      <c r="Y17" s="28"/>
      <c r="Z17" s="28"/>
      <c r="AA17" s="28"/>
      <c r="AB17" s="28"/>
      <c r="AC17" s="28"/>
      <c r="AD17" s="28"/>
      <c r="AE17" s="28"/>
      <c r="AF17" s="28"/>
      <c r="AG17" s="28"/>
      <c r="AH17" s="28"/>
      <c r="AI17" s="28"/>
      <c r="AJ17" s="28"/>
      <c r="AK17" s="28"/>
      <c r="AL17" s="29"/>
    </row>
    <row r="18" spans="1:38" x14ac:dyDescent="0.2">
      <c r="A18" s="34"/>
      <c r="B18" s="35"/>
      <c r="C18" s="35"/>
      <c r="D18" s="35"/>
      <c r="E18" s="36"/>
      <c r="F18" s="36"/>
      <c r="G18" s="35"/>
      <c r="H18" s="36"/>
      <c r="I18" s="35"/>
      <c r="J18" s="35"/>
      <c r="K18" s="35"/>
      <c r="L18" s="35"/>
      <c r="M18" s="35"/>
      <c r="N18" s="35"/>
      <c r="O18" s="35"/>
      <c r="P18" s="35"/>
      <c r="Q18" s="35"/>
      <c r="R18" s="35"/>
      <c r="S18" s="37"/>
      <c r="T18" s="34"/>
      <c r="U18" s="35"/>
      <c r="V18" s="35"/>
      <c r="W18" s="35"/>
      <c r="X18" s="36"/>
      <c r="Y18" s="36"/>
      <c r="Z18" s="35"/>
      <c r="AA18" s="36"/>
      <c r="AB18" s="35"/>
      <c r="AC18" s="35"/>
      <c r="AD18" s="35"/>
      <c r="AE18" s="35"/>
      <c r="AF18" s="35"/>
      <c r="AG18" s="35"/>
      <c r="AH18" s="35"/>
      <c r="AI18" s="35"/>
      <c r="AJ18" s="35"/>
      <c r="AK18" s="35"/>
      <c r="AL18" s="37"/>
    </row>
    <row r="19" spans="1:38" x14ac:dyDescent="0.2">
      <c r="A19" s="13" t="s">
        <v>102</v>
      </c>
      <c r="B19" s="10"/>
      <c r="C19" s="10"/>
      <c r="D19" s="10"/>
      <c r="E19" s="10"/>
      <c r="F19" s="10"/>
      <c r="G19" s="10"/>
      <c r="H19" s="10"/>
      <c r="I19" s="10"/>
      <c r="J19" s="10"/>
      <c r="K19" s="10"/>
      <c r="L19" s="10"/>
      <c r="M19" s="10"/>
      <c r="N19" s="10"/>
      <c r="O19" s="10"/>
      <c r="P19" s="10"/>
      <c r="Q19" s="10"/>
      <c r="R19" s="10"/>
      <c r="S19" s="11"/>
      <c r="T19" s="13" t="s">
        <v>102</v>
      </c>
      <c r="U19" s="10"/>
      <c r="V19" s="10"/>
      <c r="W19" s="10"/>
      <c r="X19" s="10"/>
      <c r="Y19" s="10"/>
      <c r="Z19" s="10"/>
      <c r="AA19" s="10"/>
      <c r="AB19" s="10"/>
      <c r="AC19" s="10"/>
      <c r="AD19" s="10"/>
      <c r="AE19" s="10"/>
      <c r="AF19" s="10"/>
      <c r="AG19" s="10"/>
      <c r="AH19" s="10"/>
      <c r="AI19" s="10"/>
      <c r="AJ19" s="10"/>
      <c r="AK19" s="10"/>
      <c r="AL19" s="11"/>
    </row>
    <row r="20" spans="1:38" x14ac:dyDescent="0.2">
      <c r="A20" s="9"/>
      <c r="B20" s="10"/>
      <c r="C20" s="10"/>
      <c r="D20" s="10"/>
      <c r="E20" s="10"/>
      <c r="F20" s="10"/>
      <c r="G20" s="10"/>
      <c r="H20" s="10"/>
      <c r="I20" s="10"/>
      <c r="J20" s="10"/>
      <c r="K20" s="10"/>
      <c r="L20" s="10"/>
      <c r="M20" s="10"/>
      <c r="N20" s="10"/>
      <c r="O20" s="10"/>
      <c r="P20" s="10"/>
      <c r="Q20" s="10"/>
      <c r="R20" s="10"/>
      <c r="S20" s="11"/>
      <c r="T20" s="9"/>
      <c r="U20" s="10"/>
      <c r="V20" s="10"/>
      <c r="W20" s="10"/>
      <c r="X20" s="10"/>
      <c r="Y20" s="10"/>
      <c r="Z20" s="10"/>
      <c r="AA20" s="10"/>
      <c r="AB20" s="10"/>
      <c r="AC20" s="10"/>
      <c r="AD20" s="10"/>
      <c r="AE20" s="10"/>
      <c r="AF20" s="10"/>
      <c r="AG20" s="10"/>
      <c r="AH20" s="10"/>
      <c r="AI20" s="10"/>
      <c r="AJ20" s="10"/>
      <c r="AK20" s="10"/>
      <c r="AL20" s="11"/>
    </row>
    <row r="21" spans="1:38" x14ac:dyDescent="0.2">
      <c r="A21" s="40"/>
      <c r="B21" s="41"/>
      <c r="C21" s="41"/>
      <c r="D21" s="41"/>
      <c r="E21" s="41"/>
      <c r="F21" s="41"/>
      <c r="G21" s="41"/>
      <c r="H21" s="41"/>
      <c r="I21" s="41"/>
      <c r="J21" s="41"/>
      <c r="K21" s="41"/>
      <c r="L21" s="41"/>
      <c r="M21" s="41"/>
      <c r="N21" s="41"/>
      <c r="O21" s="41"/>
      <c r="P21" s="41"/>
      <c r="Q21" s="41"/>
      <c r="R21" s="41"/>
      <c r="S21" s="42"/>
      <c r="T21" s="40"/>
      <c r="U21" s="41"/>
      <c r="V21" s="41"/>
      <c r="W21" s="41"/>
      <c r="X21" s="41"/>
      <c r="Y21" s="41"/>
      <c r="Z21" s="41"/>
      <c r="AA21" s="41"/>
      <c r="AB21" s="41"/>
      <c r="AC21" s="41"/>
      <c r="AD21" s="41"/>
      <c r="AE21" s="41"/>
      <c r="AF21" s="41"/>
      <c r="AG21" s="41"/>
      <c r="AH21" s="41"/>
      <c r="AI21" s="41"/>
      <c r="AJ21" s="41"/>
      <c r="AK21" s="41"/>
      <c r="AL21" s="42"/>
    </row>
    <row r="22" spans="1:38" x14ac:dyDescent="0.2">
      <c r="A22" s="27"/>
      <c r="B22" s="28"/>
      <c r="C22" s="28"/>
      <c r="D22" s="28"/>
      <c r="E22" s="28"/>
      <c r="F22" s="28"/>
      <c r="G22" s="28"/>
      <c r="H22" s="28"/>
      <c r="I22" s="28"/>
      <c r="J22" s="28"/>
      <c r="K22" s="28"/>
      <c r="L22" s="28"/>
      <c r="M22" s="28"/>
      <c r="N22" s="28"/>
      <c r="O22" s="28"/>
      <c r="P22" s="28"/>
      <c r="Q22" s="28"/>
      <c r="R22" s="28"/>
      <c r="S22" s="29"/>
      <c r="T22" s="27"/>
      <c r="U22" s="28"/>
      <c r="V22" s="28"/>
      <c r="W22" s="28"/>
      <c r="X22" s="28"/>
      <c r="Y22" s="28"/>
      <c r="Z22" s="28"/>
      <c r="AA22" s="28"/>
      <c r="AB22" s="28"/>
      <c r="AC22" s="28"/>
      <c r="AD22" s="28"/>
      <c r="AE22" s="28"/>
      <c r="AF22" s="28"/>
      <c r="AG22" s="28"/>
      <c r="AH22" s="28"/>
      <c r="AI22" s="28"/>
      <c r="AJ22" s="28"/>
      <c r="AK22" s="28"/>
      <c r="AL22" s="29"/>
    </row>
    <row r="23" spans="1:38" x14ac:dyDescent="0.2">
      <c r="A23" s="27"/>
      <c r="B23" s="28"/>
      <c r="C23" s="28"/>
      <c r="D23" s="28"/>
      <c r="E23" s="28"/>
      <c r="F23" s="28"/>
      <c r="G23" s="28"/>
      <c r="H23" s="28"/>
      <c r="I23" s="28"/>
      <c r="J23" s="28"/>
      <c r="K23" s="28"/>
      <c r="L23" s="28"/>
      <c r="M23" s="28"/>
      <c r="N23" s="28"/>
      <c r="O23" s="28"/>
      <c r="P23" s="28"/>
      <c r="Q23" s="28"/>
      <c r="R23" s="28"/>
      <c r="S23" s="29"/>
      <c r="T23" s="27"/>
      <c r="U23" s="28"/>
      <c r="V23" s="28"/>
      <c r="W23" s="28"/>
      <c r="X23" s="28"/>
      <c r="Y23" s="28"/>
      <c r="Z23" s="28"/>
      <c r="AA23" s="28"/>
      <c r="AB23" s="28"/>
      <c r="AC23" s="28"/>
      <c r="AD23" s="28"/>
      <c r="AE23" s="28"/>
      <c r="AF23" s="28"/>
      <c r="AG23" s="28"/>
      <c r="AH23" s="28"/>
      <c r="AI23" s="28"/>
      <c r="AJ23" s="28"/>
      <c r="AK23" s="28"/>
      <c r="AL23" s="29"/>
    </row>
    <row r="24" spans="1:38" x14ac:dyDescent="0.2">
      <c r="A24" s="27"/>
      <c r="B24" s="28"/>
      <c r="C24" s="28"/>
      <c r="D24" s="28"/>
      <c r="E24" s="28"/>
      <c r="F24" s="28"/>
      <c r="G24" s="28"/>
      <c r="H24" s="28"/>
      <c r="I24" s="28"/>
      <c r="J24" s="28"/>
      <c r="K24" s="28"/>
      <c r="L24" s="28"/>
      <c r="M24" s="28"/>
      <c r="N24" s="28"/>
      <c r="O24" s="28"/>
      <c r="P24" s="28"/>
      <c r="Q24" s="28"/>
      <c r="R24" s="28"/>
      <c r="S24" s="29"/>
      <c r="T24" s="27"/>
      <c r="U24" s="28"/>
      <c r="V24" s="28"/>
      <c r="W24" s="28"/>
      <c r="X24" s="28"/>
      <c r="Y24" s="28"/>
      <c r="Z24" s="28"/>
      <c r="AA24" s="28"/>
      <c r="AB24" s="28"/>
      <c r="AC24" s="28"/>
      <c r="AD24" s="28"/>
      <c r="AE24" s="28"/>
      <c r="AF24" s="28"/>
      <c r="AG24" s="28"/>
      <c r="AH24" s="28"/>
      <c r="AI24" s="28"/>
      <c r="AJ24" s="28"/>
      <c r="AK24" s="28"/>
      <c r="AL24" s="29"/>
    </row>
    <row r="25" spans="1:38" x14ac:dyDescent="0.2">
      <c r="A25" s="27"/>
      <c r="B25" s="28"/>
      <c r="C25" s="28"/>
      <c r="D25" s="28"/>
      <c r="E25" s="28"/>
      <c r="F25" s="28"/>
      <c r="G25" s="28"/>
      <c r="H25" s="28"/>
      <c r="I25" s="28"/>
      <c r="J25" s="28"/>
      <c r="K25" s="28"/>
      <c r="L25" s="28"/>
      <c r="M25" s="28"/>
      <c r="N25" s="28"/>
      <c r="O25" s="28"/>
      <c r="P25" s="28"/>
      <c r="Q25" s="28"/>
      <c r="R25" s="28"/>
      <c r="S25" s="29"/>
      <c r="T25" s="27"/>
      <c r="U25" s="28"/>
      <c r="V25" s="28"/>
      <c r="W25" s="28"/>
      <c r="X25" s="28"/>
      <c r="Y25" s="28"/>
      <c r="Z25" s="28"/>
      <c r="AA25" s="28"/>
      <c r="AB25" s="28"/>
      <c r="AC25" s="28"/>
      <c r="AD25" s="28"/>
      <c r="AE25" s="28"/>
      <c r="AF25" s="28"/>
      <c r="AG25" s="28"/>
      <c r="AH25" s="28"/>
      <c r="AI25" s="28"/>
      <c r="AJ25" s="28"/>
      <c r="AK25" s="28"/>
      <c r="AL25" s="29"/>
    </row>
    <row r="26" spans="1:38" x14ac:dyDescent="0.2">
      <c r="A26" s="27"/>
      <c r="B26" s="28"/>
      <c r="C26" s="28"/>
      <c r="D26" s="28"/>
      <c r="E26" s="28"/>
      <c r="F26" s="28"/>
      <c r="G26" s="28"/>
      <c r="H26" s="28"/>
      <c r="I26" s="28"/>
      <c r="J26" s="28"/>
      <c r="K26" s="28"/>
      <c r="L26" s="28"/>
      <c r="M26" s="28"/>
      <c r="N26" s="28"/>
      <c r="O26" s="28"/>
      <c r="P26" s="28"/>
      <c r="Q26" s="28"/>
      <c r="R26" s="28"/>
      <c r="S26" s="29"/>
      <c r="T26" s="27"/>
      <c r="U26" s="28"/>
      <c r="V26" s="28"/>
      <c r="W26" s="28"/>
      <c r="X26" s="28"/>
      <c r="Y26" s="28"/>
      <c r="Z26" s="28"/>
      <c r="AA26" s="28"/>
      <c r="AB26" s="28"/>
      <c r="AC26" s="28"/>
      <c r="AD26" s="28"/>
      <c r="AE26" s="28"/>
      <c r="AF26" s="28"/>
      <c r="AG26" s="28"/>
      <c r="AH26" s="28"/>
      <c r="AI26" s="28"/>
      <c r="AJ26" s="28"/>
      <c r="AK26" s="28"/>
      <c r="AL26" s="29"/>
    </row>
    <row r="27" spans="1:38" x14ac:dyDescent="0.2">
      <c r="A27" s="27"/>
      <c r="B27" s="28"/>
      <c r="C27" s="28"/>
      <c r="D27" s="28"/>
      <c r="E27" s="28"/>
      <c r="F27" s="28"/>
      <c r="G27" s="28"/>
      <c r="H27" s="28"/>
      <c r="I27" s="28"/>
      <c r="J27" s="28"/>
      <c r="K27" s="28"/>
      <c r="L27" s="28"/>
      <c r="M27" s="28"/>
      <c r="N27" s="28"/>
      <c r="O27" s="28"/>
      <c r="P27" s="28"/>
      <c r="Q27" s="28"/>
      <c r="R27" s="28"/>
      <c r="S27" s="29"/>
      <c r="T27" s="27"/>
      <c r="U27" s="28"/>
      <c r="V27" s="28"/>
      <c r="W27" s="28"/>
      <c r="X27" s="28"/>
      <c r="Y27" s="28"/>
      <c r="Z27" s="28"/>
      <c r="AA27" s="28"/>
      <c r="AB27" s="28"/>
      <c r="AC27" s="28"/>
      <c r="AD27" s="28"/>
      <c r="AE27" s="28"/>
      <c r="AF27" s="28"/>
      <c r="AG27" s="28"/>
      <c r="AH27" s="28"/>
      <c r="AI27" s="28"/>
      <c r="AJ27" s="28"/>
      <c r="AK27" s="28"/>
      <c r="AL27" s="29"/>
    </row>
    <row r="28" spans="1:38" x14ac:dyDescent="0.2">
      <c r="A28" s="27"/>
      <c r="B28" s="28"/>
      <c r="C28" s="28"/>
      <c r="D28" s="28"/>
      <c r="E28" s="28"/>
      <c r="F28" s="28"/>
      <c r="G28" s="28"/>
      <c r="H28" s="28"/>
      <c r="I28" s="28"/>
      <c r="J28" s="28"/>
      <c r="K28" s="28"/>
      <c r="L28" s="28"/>
      <c r="M28" s="28"/>
      <c r="N28" s="28"/>
      <c r="O28" s="28"/>
      <c r="P28" s="28"/>
      <c r="Q28" s="28"/>
      <c r="R28" s="28"/>
      <c r="S28" s="29"/>
      <c r="T28" s="27"/>
      <c r="U28" s="28"/>
      <c r="V28" s="28"/>
      <c r="W28" s="28"/>
      <c r="X28" s="28"/>
      <c r="Y28" s="28"/>
      <c r="Z28" s="28"/>
      <c r="AA28" s="28"/>
      <c r="AB28" s="28"/>
      <c r="AC28" s="28"/>
      <c r="AD28" s="28"/>
      <c r="AE28" s="28"/>
      <c r="AF28" s="28"/>
      <c r="AG28" s="28"/>
      <c r="AH28" s="28"/>
      <c r="AI28" s="28"/>
      <c r="AJ28" s="28"/>
      <c r="AK28" s="28"/>
      <c r="AL28" s="29"/>
    </row>
    <row r="29" spans="1:38" x14ac:dyDescent="0.2">
      <c r="A29" s="27"/>
      <c r="B29" s="28"/>
      <c r="C29" s="28"/>
      <c r="D29" s="28"/>
      <c r="E29" s="28"/>
      <c r="F29" s="28"/>
      <c r="G29" s="28"/>
      <c r="H29" s="28"/>
      <c r="I29" s="28"/>
      <c r="J29" s="28"/>
      <c r="K29" s="28"/>
      <c r="L29" s="28"/>
      <c r="M29" s="28"/>
      <c r="N29" s="28"/>
      <c r="O29" s="28"/>
      <c r="P29" s="28"/>
      <c r="Q29" s="28"/>
      <c r="R29" s="28"/>
      <c r="S29" s="29"/>
      <c r="T29" s="27"/>
      <c r="U29" s="28"/>
      <c r="V29" s="28"/>
      <c r="W29" s="28"/>
      <c r="X29" s="28"/>
      <c r="Y29" s="28"/>
      <c r="Z29" s="28"/>
      <c r="AA29" s="28"/>
      <c r="AB29" s="28"/>
      <c r="AC29" s="28"/>
      <c r="AD29" s="28"/>
      <c r="AE29" s="28"/>
      <c r="AF29" s="28"/>
      <c r="AG29" s="28"/>
      <c r="AH29" s="28"/>
      <c r="AI29" s="28"/>
      <c r="AJ29" s="28"/>
      <c r="AK29" s="28"/>
      <c r="AL29" s="29"/>
    </row>
    <row r="30" spans="1:38" x14ac:dyDescent="0.2">
      <c r="A30" s="27"/>
      <c r="B30" s="28"/>
      <c r="C30" s="28"/>
      <c r="D30" s="28"/>
      <c r="E30" s="28"/>
      <c r="F30" s="28"/>
      <c r="G30" s="28"/>
      <c r="H30" s="28"/>
      <c r="I30" s="28"/>
      <c r="J30" s="28"/>
      <c r="K30" s="28"/>
      <c r="L30" s="28"/>
      <c r="M30" s="28"/>
      <c r="N30" s="28"/>
      <c r="O30" s="28"/>
      <c r="P30" s="28"/>
      <c r="Q30" s="28"/>
      <c r="R30" s="28"/>
      <c r="S30" s="29"/>
      <c r="T30" s="27"/>
      <c r="U30" s="28"/>
      <c r="V30" s="28"/>
      <c r="W30" s="28"/>
      <c r="X30" s="28"/>
      <c r="Y30" s="28"/>
      <c r="Z30" s="28"/>
      <c r="AA30" s="28"/>
      <c r="AB30" s="28"/>
      <c r="AC30" s="28"/>
      <c r="AD30" s="28"/>
      <c r="AE30" s="28"/>
      <c r="AF30" s="28"/>
      <c r="AG30" s="28"/>
      <c r="AH30" s="28"/>
      <c r="AI30" s="28"/>
      <c r="AJ30" s="28"/>
      <c r="AK30" s="28"/>
      <c r="AL30" s="29"/>
    </row>
    <row r="31" spans="1:38" x14ac:dyDescent="0.2">
      <c r="A31" s="27"/>
      <c r="B31" s="28"/>
      <c r="C31" s="28"/>
      <c r="D31" s="28"/>
      <c r="E31" s="28"/>
      <c r="F31" s="28"/>
      <c r="G31" s="28"/>
      <c r="H31" s="28"/>
      <c r="I31" s="28"/>
      <c r="J31" s="28"/>
      <c r="K31" s="28"/>
      <c r="L31" s="28"/>
      <c r="M31" s="28"/>
      <c r="N31" s="28"/>
      <c r="O31" s="28"/>
      <c r="P31" s="28"/>
      <c r="Q31" s="28"/>
      <c r="R31" s="28"/>
      <c r="S31" s="29"/>
      <c r="T31" s="27"/>
      <c r="U31" s="28"/>
      <c r="V31" s="28"/>
      <c r="W31" s="28"/>
      <c r="X31" s="28"/>
      <c r="Y31" s="28"/>
      <c r="Z31" s="28"/>
      <c r="AA31" s="28"/>
      <c r="AB31" s="28"/>
      <c r="AC31" s="28"/>
      <c r="AD31" s="28"/>
      <c r="AE31" s="28"/>
      <c r="AF31" s="28"/>
      <c r="AG31" s="28"/>
      <c r="AH31" s="28"/>
      <c r="AI31" s="28"/>
      <c r="AJ31" s="28"/>
      <c r="AK31" s="28"/>
      <c r="AL31" s="29"/>
    </row>
    <row r="32" spans="1:38" x14ac:dyDescent="0.2">
      <c r="A32" s="27"/>
      <c r="B32" s="28"/>
      <c r="C32" s="28"/>
      <c r="D32" s="28"/>
      <c r="E32" s="43"/>
      <c r="F32" s="31"/>
      <c r="G32" s="33" t="s">
        <v>103</v>
      </c>
      <c r="H32" s="28"/>
      <c r="I32" s="28"/>
      <c r="J32" s="28"/>
      <c r="K32" s="28"/>
      <c r="L32" s="28"/>
      <c r="M32" s="28"/>
      <c r="N32" s="28"/>
      <c r="O32" s="28"/>
      <c r="P32" s="28"/>
      <c r="Q32" s="28"/>
      <c r="R32" s="28"/>
      <c r="S32" s="29"/>
      <c r="T32" s="27"/>
      <c r="U32" s="28"/>
      <c r="V32" s="28"/>
      <c r="W32" s="28"/>
      <c r="X32" s="43"/>
      <c r="Y32" s="31"/>
      <c r="Z32" s="33" t="s">
        <v>103</v>
      </c>
      <c r="AA32" s="28"/>
      <c r="AB32" s="28"/>
      <c r="AC32" s="28"/>
      <c r="AD32" s="28"/>
      <c r="AE32" s="28"/>
      <c r="AF32" s="28"/>
      <c r="AG32" s="28"/>
      <c r="AH32" s="28"/>
      <c r="AI32" s="28"/>
      <c r="AJ32" s="28"/>
      <c r="AK32" s="28"/>
      <c r="AL32" s="29"/>
    </row>
    <row r="33" spans="1:38" x14ac:dyDescent="0.2">
      <c r="A33" s="27"/>
      <c r="B33" s="28"/>
      <c r="C33" s="28"/>
      <c r="D33" s="33"/>
      <c r="E33" s="43"/>
      <c r="F33" s="28"/>
      <c r="G33" s="43"/>
      <c r="H33" s="28"/>
      <c r="I33" s="28"/>
      <c r="J33" s="28"/>
      <c r="K33" s="28"/>
      <c r="L33" s="28"/>
      <c r="M33" s="28"/>
      <c r="N33" s="28"/>
      <c r="O33" s="28"/>
      <c r="P33" s="28"/>
      <c r="Q33" s="28"/>
      <c r="R33" s="28"/>
      <c r="S33" s="29"/>
      <c r="T33" s="27"/>
      <c r="U33" s="28"/>
      <c r="V33" s="28"/>
      <c r="W33" s="33"/>
      <c r="X33" s="43"/>
      <c r="Y33" s="28"/>
      <c r="Z33" s="43"/>
      <c r="AA33" s="28"/>
      <c r="AB33" s="28"/>
      <c r="AC33" s="28"/>
      <c r="AD33" s="28"/>
      <c r="AE33" s="28"/>
      <c r="AF33" s="28"/>
      <c r="AG33" s="28"/>
      <c r="AH33" s="28"/>
      <c r="AI33" s="28"/>
      <c r="AJ33" s="28"/>
      <c r="AK33" s="28"/>
      <c r="AL33" s="29"/>
    </row>
    <row r="34" spans="1:38" x14ac:dyDescent="0.2">
      <c r="A34" s="27"/>
      <c r="B34" s="28"/>
      <c r="C34" s="28"/>
      <c r="D34" s="28"/>
      <c r="E34" s="28"/>
      <c r="F34" s="28"/>
      <c r="G34" s="33" t="s">
        <v>380</v>
      </c>
      <c r="H34" s="33"/>
      <c r="I34" s="28"/>
      <c r="J34" s="28"/>
      <c r="K34" s="28"/>
      <c r="L34" s="28"/>
      <c r="M34" s="28"/>
      <c r="N34" s="28"/>
      <c r="O34" s="28"/>
      <c r="P34" s="28"/>
      <c r="Q34" s="28"/>
      <c r="R34" s="28"/>
      <c r="S34" s="29"/>
      <c r="T34" s="27"/>
      <c r="U34" s="28"/>
      <c r="V34" s="28"/>
      <c r="W34" s="28"/>
      <c r="X34" s="28"/>
      <c r="Y34" s="28"/>
      <c r="Z34" s="33" t="s">
        <v>380</v>
      </c>
      <c r="AA34" s="28"/>
      <c r="AB34" s="28"/>
      <c r="AC34" s="28"/>
      <c r="AD34" s="28"/>
      <c r="AE34" s="28"/>
      <c r="AF34" s="28"/>
      <c r="AG34" s="28"/>
      <c r="AH34" s="28"/>
      <c r="AI34" s="28"/>
      <c r="AJ34" s="28"/>
      <c r="AK34" s="28"/>
      <c r="AL34" s="29"/>
    </row>
    <row r="35" spans="1:38" x14ac:dyDescent="0.2">
      <c r="A35" s="30"/>
      <c r="B35" s="28"/>
      <c r="C35" s="28"/>
      <c r="D35" s="28"/>
      <c r="E35" s="28"/>
      <c r="F35" s="28"/>
      <c r="G35" s="28"/>
      <c r="H35" s="28"/>
      <c r="I35" s="28"/>
      <c r="J35" s="28"/>
      <c r="K35" s="28"/>
      <c r="L35" s="28"/>
      <c r="M35" s="28"/>
      <c r="N35" s="28"/>
      <c r="O35" s="28"/>
      <c r="P35" s="28"/>
      <c r="Q35" s="28"/>
      <c r="R35" s="28"/>
      <c r="S35" s="29"/>
      <c r="T35" s="30"/>
      <c r="U35" s="28"/>
      <c r="V35" s="28"/>
      <c r="W35" s="28"/>
      <c r="X35" s="28"/>
      <c r="Y35" s="28"/>
      <c r="Z35" s="28"/>
      <c r="AA35" s="28"/>
      <c r="AB35" s="28"/>
      <c r="AC35" s="28"/>
      <c r="AD35" s="28"/>
      <c r="AE35" s="28"/>
      <c r="AF35" s="28"/>
      <c r="AG35" s="28"/>
      <c r="AH35" s="28"/>
      <c r="AI35" s="28"/>
      <c r="AJ35" s="28"/>
      <c r="AK35" s="28"/>
      <c r="AL35" s="29"/>
    </row>
    <row r="36" spans="1:38" x14ac:dyDescent="0.2">
      <c r="A36" s="30"/>
      <c r="B36" s="28"/>
      <c r="C36" s="28"/>
      <c r="D36" s="28"/>
      <c r="E36" s="28"/>
      <c r="F36" s="28"/>
      <c r="G36" s="28"/>
      <c r="H36" s="28"/>
      <c r="I36" s="28"/>
      <c r="J36" s="28"/>
      <c r="K36" s="28"/>
      <c r="L36" s="28"/>
      <c r="M36" s="28"/>
      <c r="N36" s="28"/>
      <c r="O36" s="28"/>
      <c r="P36" s="28"/>
      <c r="Q36" s="28"/>
      <c r="R36" s="28"/>
      <c r="S36" s="29"/>
      <c r="T36" s="30"/>
      <c r="U36" s="28"/>
      <c r="V36" s="28"/>
      <c r="W36" s="28"/>
      <c r="X36" s="28"/>
      <c r="Y36" s="28"/>
      <c r="Z36" s="28"/>
      <c r="AA36" s="28"/>
      <c r="AB36" s="28"/>
      <c r="AC36" s="28"/>
      <c r="AD36" s="28"/>
      <c r="AE36" s="28"/>
      <c r="AF36" s="28"/>
      <c r="AG36" s="28"/>
      <c r="AH36" s="28"/>
      <c r="AI36" s="28"/>
      <c r="AJ36" s="28"/>
      <c r="AK36" s="28"/>
      <c r="AL36" s="29"/>
    </row>
    <row r="37" spans="1:38" x14ac:dyDescent="0.2">
      <c r="A37" s="30"/>
      <c r="B37" s="28"/>
      <c r="C37" s="28"/>
      <c r="D37" s="28"/>
      <c r="E37" s="28"/>
      <c r="F37" s="28"/>
      <c r="G37" s="28"/>
      <c r="H37" s="28"/>
      <c r="I37" s="28"/>
      <c r="J37" s="28"/>
      <c r="K37" s="28"/>
      <c r="L37" s="28"/>
      <c r="M37" s="28"/>
      <c r="N37" s="28"/>
      <c r="O37" s="28"/>
      <c r="P37" s="28"/>
      <c r="Q37" s="28"/>
      <c r="R37" s="28"/>
      <c r="S37" s="29"/>
      <c r="T37" s="30"/>
      <c r="U37" s="28"/>
      <c r="V37" s="28"/>
      <c r="W37" s="28"/>
      <c r="X37" s="28"/>
      <c r="Y37" s="28"/>
      <c r="Z37" s="28"/>
      <c r="AA37" s="28"/>
      <c r="AB37" s="28"/>
      <c r="AC37" s="28"/>
      <c r="AD37" s="28"/>
      <c r="AE37" s="28"/>
      <c r="AF37" s="28"/>
      <c r="AG37" s="28"/>
      <c r="AH37" s="28"/>
      <c r="AI37" s="28"/>
      <c r="AJ37" s="28"/>
      <c r="AK37" s="28"/>
      <c r="AL37" s="29"/>
    </row>
    <row r="38" spans="1:38" x14ac:dyDescent="0.2">
      <c r="A38" s="30"/>
      <c r="B38" s="28"/>
      <c r="C38" s="28"/>
      <c r="D38" s="28"/>
      <c r="E38" s="28"/>
      <c r="F38" s="28"/>
      <c r="G38" s="28"/>
      <c r="H38" s="28"/>
      <c r="I38" s="28"/>
      <c r="J38" s="28"/>
      <c r="K38" s="28"/>
      <c r="L38" s="28"/>
      <c r="M38" s="28"/>
      <c r="N38" s="28"/>
      <c r="O38" s="28"/>
      <c r="P38" s="28"/>
      <c r="Q38" s="28"/>
      <c r="R38" s="28"/>
      <c r="S38" s="29"/>
      <c r="T38" s="30"/>
      <c r="U38" s="28"/>
      <c r="V38" s="28"/>
      <c r="W38" s="28"/>
      <c r="X38" s="28"/>
      <c r="Y38" s="28"/>
      <c r="Z38" s="28"/>
      <c r="AA38" s="28"/>
      <c r="AB38" s="28"/>
      <c r="AC38" s="28"/>
      <c r="AD38" s="28"/>
      <c r="AE38" s="28"/>
      <c r="AF38" s="28"/>
      <c r="AG38" s="28"/>
      <c r="AH38" s="28"/>
      <c r="AI38" s="28"/>
      <c r="AJ38" s="28"/>
      <c r="AK38" s="28"/>
      <c r="AL38" s="29"/>
    </row>
    <row r="39" spans="1:38" x14ac:dyDescent="0.2">
      <c r="A39" s="30"/>
      <c r="B39" s="28"/>
      <c r="C39" s="28"/>
      <c r="D39" s="28"/>
      <c r="E39" s="28"/>
      <c r="F39" s="28"/>
      <c r="G39" s="28"/>
      <c r="H39" s="28"/>
      <c r="I39" s="28"/>
      <c r="J39" s="28"/>
      <c r="K39" s="28"/>
      <c r="L39" s="28"/>
      <c r="M39" s="28"/>
      <c r="N39" s="28"/>
      <c r="O39" s="28"/>
      <c r="P39" s="28"/>
      <c r="Q39" s="28"/>
      <c r="R39" s="28"/>
      <c r="S39" s="29"/>
      <c r="T39" s="30"/>
      <c r="U39" s="28"/>
      <c r="V39" s="28"/>
      <c r="W39" s="28"/>
      <c r="X39" s="28"/>
      <c r="Y39" s="28"/>
      <c r="Z39" s="28"/>
      <c r="AA39" s="28"/>
      <c r="AB39" s="28"/>
      <c r="AC39" s="28"/>
      <c r="AD39" s="28"/>
      <c r="AE39" s="28"/>
      <c r="AF39" s="28"/>
      <c r="AG39" s="28"/>
      <c r="AH39" s="28"/>
      <c r="AI39" s="28"/>
      <c r="AJ39" s="28"/>
      <c r="AK39" s="28"/>
      <c r="AL39" s="29"/>
    </row>
    <row r="40" spans="1:38" x14ac:dyDescent="0.2">
      <c r="A40" s="30"/>
      <c r="B40" s="28"/>
      <c r="C40" s="28"/>
      <c r="D40" s="28"/>
      <c r="E40" s="28"/>
      <c r="F40" s="28"/>
      <c r="G40" s="28"/>
      <c r="H40" s="28"/>
      <c r="I40" s="28"/>
      <c r="J40" s="28"/>
      <c r="K40" s="28"/>
      <c r="L40" s="28"/>
      <c r="M40" s="28"/>
      <c r="N40" s="28"/>
      <c r="O40" s="28"/>
      <c r="P40" s="28"/>
      <c r="Q40" s="28"/>
      <c r="R40" s="28"/>
      <c r="S40" s="29"/>
      <c r="T40" s="30"/>
      <c r="U40" s="28"/>
      <c r="V40" s="28"/>
      <c r="W40" s="28"/>
      <c r="X40" s="28"/>
      <c r="Y40" s="28"/>
      <c r="Z40" s="28"/>
      <c r="AA40" s="28"/>
      <c r="AB40" s="28"/>
      <c r="AC40" s="28"/>
      <c r="AD40" s="28"/>
      <c r="AE40" s="28"/>
      <c r="AF40" s="28"/>
      <c r="AG40" s="28"/>
      <c r="AH40" s="28"/>
      <c r="AI40" s="28"/>
      <c r="AJ40" s="28"/>
      <c r="AK40" s="28"/>
      <c r="AL40" s="29"/>
    </row>
    <row r="41" spans="1:38" x14ac:dyDescent="0.2">
      <c r="A41" s="30"/>
      <c r="B41" s="28"/>
      <c r="C41" s="28"/>
      <c r="D41" s="28"/>
      <c r="E41" s="28"/>
      <c r="F41" s="28"/>
      <c r="G41" s="28"/>
      <c r="H41" s="28"/>
      <c r="I41" s="28"/>
      <c r="J41" s="28"/>
      <c r="K41" s="28"/>
      <c r="L41" s="28"/>
      <c r="M41" s="28"/>
      <c r="N41" s="28"/>
      <c r="O41" s="28"/>
      <c r="P41" s="28"/>
      <c r="Q41" s="28"/>
      <c r="R41" s="28"/>
      <c r="S41" s="29"/>
      <c r="T41" s="30"/>
      <c r="U41" s="28"/>
      <c r="V41" s="28"/>
      <c r="W41" s="28"/>
      <c r="X41" s="28"/>
      <c r="Y41" s="28"/>
      <c r="Z41" s="28"/>
      <c r="AA41" s="28"/>
      <c r="AB41" s="28"/>
      <c r="AC41" s="28"/>
      <c r="AD41" s="28"/>
      <c r="AE41" s="28"/>
      <c r="AF41" s="28"/>
      <c r="AG41" s="28"/>
      <c r="AH41" s="28"/>
      <c r="AI41" s="28"/>
      <c r="AJ41" s="28"/>
      <c r="AK41" s="28"/>
      <c r="AL41" s="29"/>
    </row>
    <row r="42" spans="1:38" x14ac:dyDescent="0.2">
      <c r="A42" s="30"/>
      <c r="B42" s="28"/>
      <c r="C42" s="28"/>
      <c r="D42" s="28"/>
      <c r="E42" s="28"/>
      <c r="F42" s="28"/>
      <c r="G42" s="28"/>
      <c r="H42" s="28"/>
      <c r="I42" s="28"/>
      <c r="J42" s="28"/>
      <c r="K42" s="28"/>
      <c r="L42" s="28"/>
      <c r="M42" s="28"/>
      <c r="N42" s="28"/>
      <c r="O42" s="28"/>
      <c r="P42" s="28"/>
      <c r="Q42" s="28"/>
      <c r="R42" s="28"/>
      <c r="S42" s="29"/>
      <c r="T42" s="30"/>
      <c r="U42" s="28"/>
      <c r="V42" s="28"/>
      <c r="W42" s="28"/>
      <c r="X42" s="28"/>
      <c r="Y42" s="28"/>
      <c r="Z42" s="28"/>
      <c r="AA42" s="28"/>
      <c r="AB42" s="28"/>
      <c r="AC42" s="28"/>
      <c r="AD42" s="28"/>
      <c r="AE42" s="28"/>
      <c r="AF42" s="28"/>
      <c r="AG42" s="28"/>
      <c r="AH42" s="28"/>
      <c r="AI42" s="28"/>
      <c r="AJ42" s="28"/>
      <c r="AK42" s="28"/>
      <c r="AL42" s="29"/>
    </row>
    <row r="43" spans="1:38" x14ac:dyDescent="0.2">
      <c r="A43" s="30"/>
      <c r="B43" s="28"/>
      <c r="C43" s="28"/>
      <c r="D43" s="28"/>
      <c r="E43" s="28"/>
      <c r="F43" s="28"/>
      <c r="G43" s="28"/>
      <c r="H43" s="28"/>
      <c r="I43" s="28"/>
      <c r="J43" s="28"/>
      <c r="K43" s="28"/>
      <c r="L43" s="28"/>
      <c r="M43" s="28"/>
      <c r="N43" s="28"/>
      <c r="O43" s="28"/>
      <c r="P43" s="28"/>
      <c r="Q43" s="28"/>
      <c r="R43" s="28"/>
      <c r="S43" s="29"/>
      <c r="T43" s="30"/>
      <c r="U43" s="28"/>
      <c r="V43" s="28"/>
      <c r="W43" s="28"/>
      <c r="X43" s="28"/>
      <c r="Y43" s="28"/>
      <c r="Z43" s="28"/>
      <c r="AA43" s="28"/>
      <c r="AB43" s="28"/>
      <c r="AC43" s="28"/>
      <c r="AD43" s="28"/>
      <c r="AE43" s="28"/>
      <c r="AF43" s="28"/>
      <c r="AG43" s="28"/>
      <c r="AH43" s="28"/>
      <c r="AI43" s="28"/>
      <c r="AJ43" s="28"/>
      <c r="AK43" s="28"/>
      <c r="AL43" s="29"/>
    </row>
    <row r="44" spans="1:38" x14ac:dyDescent="0.2">
      <c r="A44" s="38"/>
      <c r="B44" s="35"/>
      <c r="C44" s="35"/>
      <c r="D44" s="35"/>
      <c r="E44" s="35"/>
      <c r="F44" s="35"/>
      <c r="G44" s="35"/>
      <c r="H44" s="35"/>
      <c r="I44" s="35"/>
      <c r="J44" s="35"/>
      <c r="K44" s="35"/>
      <c r="L44" s="35"/>
      <c r="M44" s="35"/>
      <c r="N44" s="35"/>
      <c r="O44" s="35"/>
      <c r="P44" s="35"/>
      <c r="Q44" s="35"/>
      <c r="R44" s="35"/>
      <c r="S44" s="37"/>
      <c r="T44" s="38"/>
      <c r="U44" s="35"/>
      <c r="V44" s="35"/>
      <c r="W44" s="35"/>
      <c r="X44" s="35"/>
      <c r="Y44" s="35"/>
      <c r="Z44" s="35"/>
      <c r="AA44" s="35"/>
      <c r="AB44" s="35"/>
      <c r="AC44" s="35"/>
      <c r="AD44" s="35"/>
      <c r="AE44" s="35"/>
      <c r="AF44" s="35"/>
      <c r="AG44" s="35"/>
      <c r="AH44" s="35"/>
      <c r="AI44" s="35"/>
      <c r="AJ44" s="35"/>
      <c r="AK44" s="35"/>
      <c r="AL44" s="37"/>
    </row>
    <row r="45" spans="1:38" x14ac:dyDescent="0.2">
      <c r="A45" s="130" t="s">
        <v>104</v>
      </c>
      <c r="B45" s="131"/>
      <c r="C45" s="131"/>
      <c r="D45" s="131"/>
      <c r="E45" s="131"/>
      <c r="F45" s="131"/>
      <c r="G45" s="131"/>
      <c r="H45" s="131"/>
      <c r="I45" s="131"/>
      <c r="J45" s="131"/>
      <c r="K45" s="131"/>
      <c r="L45" s="131"/>
      <c r="M45" s="131"/>
      <c r="N45" s="131"/>
      <c r="O45" s="131"/>
      <c r="P45" s="131"/>
      <c r="Q45" s="131"/>
      <c r="R45" s="131"/>
      <c r="S45" s="132"/>
      <c r="T45" s="130" t="s">
        <v>104</v>
      </c>
      <c r="U45" s="131"/>
      <c r="V45" s="131"/>
      <c r="W45" s="131"/>
      <c r="X45" s="131"/>
      <c r="Y45" s="131"/>
      <c r="Z45" s="131"/>
      <c r="AA45" s="131"/>
      <c r="AB45" s="131"/>
      <c r="AC45" s="131"/>
      <c r="AD45" s="131"/>
      <c r="AE45" s="131"/>
      <c r="AF45" s="131"/>
      <c r="AG45" s="131"/>
      <c r="AH45" s="131"/>
      <c r="AI45" s="131"/>
      <c r="AJ45" s="131"/>
      <c r="AK45" s="131"/>
      <c r="AL45" s="132"/>
    </row>
    <row r="46" spans="1:38" x14ac:dyDescent="0.2">
      <c r="A46" s="156"/>
      <c r="B46" s="131"/>
      <c r="C46" s="131"/>
      <c r="D46" s="131"/>
      <c r="E46" s="131"/>
      <c r="F46" s="131"/>
      <c r="G46" s="131"/>
      <c r="H46" s="131"/>
      <c r="I46" s="131"/>
      <c r="J46" s="131"/>
      <c r="K46" s="131"/>
      <c r="L46" s="131"/>
      <c r="M46" s="131"/>
      <c r="N46" s="131"/>
      <c r="O46" s="131"/>
      <c r="P46" s="131"/>
      <c r="Q46" s="131"/>
      <c r="R46" s="131"/>
      <c r="S46" s="132"/>
      <c r="T46" s="156"/>
      <c r="U46" s="131"/>
      <c r="V46" s="131"/>
      <c r="W46" s="131"/>
      <c r="X46" s="131"/>
      <c r="Y46" s="131"/>
      <c r="Z46" s="131"/>
      <c r="AA46" s="131"/>
      <c r="AB46" s="131"/>
      <c r="AC46" s="131"/>
      <c r="AD46" s="131"/>
      <c r="AE46" s="131"/>
      <c r="AF46" s="131"/>
      <c r="AG46" s="131"/>
      <c r="AH46" s="131"/>
      <c r="AI46" s="131"/>
      <c r="AJ46" s="131"/>
      <c r="AK46" s="131"/>
      <c r="AL46" s="132"/>
    </row>
    <row r="47" spans="1:38" x14ac:dyDescent="0.2">
      <c r="A47" s="130" t="s">
        <v>382</v>
      </c>
      <c r="B47" s="136"/>
      <c r="C47" s="136"/>
      <c r="D47" s="136"/>
      <c r="E47" s="136"/>
      <c r="F47" s="136"/>
      <c r="G47" s="136"/>
      <c r="H47" s="136"/>
      <c r="I47" s="136"/>
      <c r="J47" s="136"/>
      <c r="K47" s="136"/>
      <c r="L47" s="136"/>
      <c r="M47" s="136"/>
      <c r="N47" s="136"/>
      <c r="O47" s="136"/>
      <c r="P47" s="136"/>
      <c r="Q47" s="136"/>
      <c r="R47" s="136"/>
      <c r="S47" s="137"/>
      <c r="T47" s="130" t="s">
        <v>382</v>
      </c>
      <c r="U47" s="136"/>
      <c r="V47" s="136"/>
      <c r="W47" s="136"/>
      <c r="X47" s="136"/>
      <c r="Y47" s="136"/>
      <c r="Z47" s="136"/>
      <c r="AA47" s="136"/>
      <c r="AB47" s="136"/>
      <c r="AC47" s="136"/>
      <c r="AD47" s="136"/>
      <c r="AE47" s="136"/>
      <c r="AF47" s="136"/>
      <c r="AG47" s="136"/>
      <c r="AH47" s="136"/>
      <c r="AI47" s="136"/>
      <c r="AJ47" s="136"/>
      <c r="AK47" s="136"/>
      <c r="AL47" s="137"/>
    </row>
    <row r="48" spans="1:38" ht="12.75" customHeight="1" x14ac:dyDescent="0.2">
      <c r="A48" s="683" t="s">
        <v>115</v>
      </c>
      <c r="B48" s="684"/>
      <c r="C48" s="708"/>
      <c r="D48" s="689">
        <v>0</v>
      </c>
      <c r="E48" s="690"/>
      <c r="F48" s="482" t="s">
        <v>607</v>
      </c>
      <c r="G48" s="263"/>
      <c r="H48" s="138"/>
      <c r="I48" s="136"/>
      <c r="J48" s="136"/>
      <c r="K48" s="136"/>
      <c r="L48" s="136"/>
      <c r="M48" s="136"/>
      <c r="N48" s="136"/>
      <c r="O48" s="136"/>
      <c r="P48" s="136"/>
      <c r="Q48" s="136"/>
      <c r="R48" s="136"/>
      <c r="S48" s="137"/>
      <c r="T48" s="683" t="s">
        <v>115</v>
      </c>
      <c r="U48" s="684"/>
      <c r="V48" s="708"/>
      <c r="W48" s="722">
        <v>0</v>
      </c>
      <c r="X48" s="723"/>
      <c r="Y48" s="482" t="s">
        <v>606</v>
      </c>
      <c r="Z48" s="263"/>
      <c r="AA48" s="138"/>
      <c r="AB48" s="136"/>
      <c r="AC48" s="136"/>
      <c r="AD48" s="136"/>
      <c r="AE48" s="136"/>
      <c r="AF48" s="136"/>
      <c r="AG48" s="136"/>
      <c r="AH48" s="136"/>
      <c r="AI48" s="136"/>
      <c r="AJ48" s="136"/>
      <c r="AK48" s="136"/>
      <c r="AL48" s="137"/>
    </row>
    <row r="49" spans="1:38" ht="12.75" customHeight="1" x14ac:dyDescent="0.2">
      <c r="A49" s="683" t="s">
        <v>285</v>
      </c>
      <c r="B49" s="684"/>
      <c r="C49" s="684"/>
      <c r="D49" s="689">
        <v>0</v>
      </c>
      <c r="E49" s="690"/>
      <c r="F49" s="724" t="str">
        <f>IF(D49&gt;=4000,"PASS","FAIL")</f>
        <v>FAIL</v>
      </c>
      <c r="G49" s="725"/>
      <c r="H49" s="138"/>
      <c r="I49" s="136"/>
      <c r="J49" s="136"/>
      <c r="K49" s="136"/>
      <c r="L49" s="136"/>
      <c r="M49" s="136"/>
      <c r="N49" s="136"/>
      <c r="O49" s="136"/>
      <c r="P49" s="136"/>
      <c r="Q49" s="136"/>
      <c r="R49" s="136"/>
      <c r="S49" s="137"/>
      <c r="T49" s="683" t="s">
        <v>285</v>
      </c>
      <c r="U49" s="684"/>
      <c r="V49" s="684"/>
      <c r="W49" s="722">
        <v>0</v>
      </c>
      <c r="X49" s="723"/>
      <c r="Y49" s="724" t="str">
        <f>IF(W49&gt;=7500,"PASS","FAIL")</f>
        <v>FAIL</v>
      </c>
      <c r="Z49" s="725"/>
      <c r="AA49" s="138"/>
      <c r="AB49" s="136"/>
      <c r="AC49" s="136"/>
      <c r="AD49" s="136"/>
      <c r="AE49" s="136"/>
      <c r="AF49" s="136"/>
      <c r="AG49" s="136"/>
      <c r="AH49" s="136"/>
      <c r="AI49" s="136"/>
      <c r="AJ49" s="136"/>
      <c r="AK49" s="136"/>
      <c r="AL49" s="137"/>
    </row>
    <row r="50" spans="1:38" x14ac:dyDescent="0.2">
      <c r="A50" s="140"/>
      <c r="B50" s="136"/>
      <c r="C50" s="136"/>
      <c r="D50" s="136"/>
      <c r="E50" s="136"/>
      <c r="F50" s="136"/>
      <c r="G50" s="136"/>
      <c r="H50" s="136"/>
      <c r="I50" s="136"/>
      <c r="J50" s="136"/>
      <c r="K50" s="136"/>
      <c r="L50" s="136"/>
      <c r="M50" s="136"/>
      <c r="N50" s="136"/>
      <c r="O50" s="136"/>
      <c r="P50" s="136"/>
      <c r="Q50" s="136"/>
      <c r="R50" s="136"/>
      <c r="S50" s="137"/>
      <c r="T50" s="140"/>
      <c r="U50" s="136"/>
      <c r="V50" s="136"/>
      <c r="W50" s="136"/>
      <c r="X50" s="136"/>
      <c r="Y50" s="136"/>
      <c r="Z50" s="136"/>
      <c r="AA50" s="136"/>
      <c r="AB50" s="136"/>
      <c r="AC50" s="136"/>
      <c r="AD50" s="136"/>
      <c r="AE50" s="136"/>
      <c r="AF50" s="136"/>
      <c r="AG50" s="136"/>
      <c r="AH50" s="136"/>
      <c r="AI50" s="136"/>
      <c r="AJ50" s="136"/>
      <c r="AK50" s="136"/>
      <c r="AL50" s="137"/>
    </row>
    <row r="51" spans="1:38" x14ac:dyDescent="0.2">
      <c r="A51" s="135" t="s">
        <v>119</v>
      </c>
      <c r="B51" s="136"/>
      <c r="C51" s="136"/>
      <c r="D51" s="136"/>
      <c r="E51" s="136"/>
      <c r="F51" s="136"/>
      <c r="G51" s="136"/>
      <c r="H51" s="136"/>
      <c r="I51" s="136"/>
      <c r="J51" s="136"/>
      <c r="K51" s="136"/>
      <c r="L51" s="136"/>
      <c r="M51" s="136"/>
      <c r="N51" s="136"/>
      <c r="O51" s="136"/>
      <c r="P51" s="136"/>
      <c r="Q51" s="136"/>
      <c r="R51" s="136"/>
      <c r="S51" s="137"/>
      <c r="T51" s="135" t="s">
        <v>119</v>
      </c>
      <c r="U51" s="136"/>
      <c r="V51" s="136"/>
      <c r="W51" s="136"/>
      <c r="X51" s="136"/>
      <c r="Y51" s="136"/>
      <c r="Z51" s="136"/>
      <c r="AA51" s="136"/>
      <c r="AB51" s="136"/>
      <c r="AC51" s="136"/>
      <c r="AD51" s="136"/>
      <c r="AE51" s="136"/>
      <c r="AF51" s="136"/>
      <c r="AG51" s="136"/>
      <c r="AH51" s="136"/>
      <c r="AI51" s="136"/>
      <c r="AJ51" s="136"/>
      <c r="AK51" s="136"/>
      <c r="AL51" s="137"/>
    </row>
    <row r="52" spans="1:38" ht="15.75" customHeight="1" x14ac:dyDescent="0.2">
      <c r="A52" s="56"/>
      <c r="B52" s="669" t="s">
        <v>120</v>
      </c>
      <c r="C52" s="709"/>
      <c r="D52" s="710">
        <v>0</v>
      </c>
      <c r="E52" s="711"/>
      <c r="F52" s="133"/>
      <c r="G52" s="133"/>
      <c r="H52" s="133"/>
      <c r="I52" s="133"/>
      <c r="J52" s="133"/>
      <c r="K52" s="133"/>
      <c r="L52" s="133"/>
      <c r="M52" s="133"/>
      <c r="N52" s="133"/>
      <c r="O52" s="136"/>
      <c r="P52" s="136"/>
      <c r="Q52" s="136"/>
      <c r="R52" s="136"/>
      <c r="S52" s="137"/>
      <c r="T52" s="56"/>
      <c r="U52" s="669" t="s">
        <v>120</v>
      </c>
      <c r="V52" s="709"/>
      <c r="W52" s="710">
        <v>0</v>
      </c>
      <c r="X52" s="711"/>
      <c r="Y52" s="133"/>
      <c r="Z52" s="133"/>
      <c r="AA52" s="133"/>
      <c r="AB52" s="133"/>
      <c r="AC52" s="133"/>
      <c r="AD52" s="133"/>
      <c r="AE52" s="133"/>
      <c r="AF52" s="133"/>
      <c r="AG52" s="133"/>
      <c r="AH52" s="136"/>
      <c r="AI52" s="136"/>
      <c r="AJ52" s="136"/>
      <c r="AK52" s="136"/>
      <c r="AL52" s="137"/>
    </row>
    <row r="53" spans="1:38" ht="15.75" customHeight="1" x14ac:dyDescent="0.2">
      <c r="A53" s="145"/>
      <c r="B53" s="139"/>
      <c r="C53" s="157"/>
      <c r="D53" s="158"/>
      <c r="E53" s="133"/>
      <c r="F53" s="133"/>
      <c r="G53" s="133"/>
      <c r="H53" s="133"/>
      <c r="I53" s="133"/>
      <c r="J53" s="133"/>
      <c r="K53" s="133"/>
      <c r="L53" s="133"/>
      <c r="M53" s="133"/>
      <c r="N53" s="133"/>
      <c r="O53" s="136"/>
      <c r="P53" s="136"/>
      <c r="Q53" s="136"/>
      <c r="R53" s="136"/>
      <c r="S53" s="137"/>
      <c r="T53" s="145"/>
      <c r="U53" s="139"/>
      <c r="V53" s="157"/>
      <c r="W53" s="158"/>
      <c r="X53" s="133"/>
      <c r="Y53" s="133"/>
      <c r="Z53" s="133"/>
      <c r="AA53" s="133"/>
      <c r="AB53" s="133"/>
      <c r="AC53" s="133"/>
      <c r="AD53" s="133"/>
      <c r="AE53" s="133"/>
      <c r="AF53" s="133"/>
      <c r="AG53" s="133"/>
      <c r="AH53" s="136"/>
      <c r="AI53" s="136"/>
      <c r="AJ53" s="136"/>
      <c r="AK53" s="136"/>
      <c r="AL53" s="137"/>
    </row>
    <row r="54" spans="1:38" ht="15.75" customHeight="1" x14ac:dyDescent="0.25">
      <c r="A54" s="703" t="s">
        <v>121</v>
      </c>
      <c r="B54" s="704"/>
      <c r="C54" s="705"/>
      <c r="D54" s="706">
        <f>IF(D52&gt;0,D48/(PI()*25*D52),0)</f>
        <v>0</v>
      </c>
      <c r="E54" s="707"/>
      <c r="F54" s="133" t="s">
        <v>189</v>
      </c>
      <c r="G54" s="133"/>
      <c r="H54" s="133"/>
      <c r="I54" s="133"/>
      <c r="J54" s="133"/>
      <c r="K54" s="133"/>
      <c r="L54" s="133"/>
      <c r="M54" s="133"/>
      <c r="N54" s="133"/>
      <c r="O54" s="133"/>
      <c r="P54" s="136"/>
      <c r="Q54" s="136"/>
      <c r="R54" s="136"/>
      <c r="S54" s="137"/>
      <c r="T54" s="703" t="s">
        <v>121</v>
      </c>
      <c r="U54" s="704"/>
      <c r="V54" s="705"/>
      <c r="W54" s="706">
        <f>IF(W52&gt;0,W48/(PI()*25*W52),0)</f>
        <v>0</v>
      </c>
      <c r="X54" s="707"/>
      <c r="Y54" s="133" t="s">
        <v>189</v>
      </c>
      <c r="Z54" s="133"/>
      <c r="AA54" s="133"/>
      <c r="AB54" s="133"/>
      <c r="AC54" s="133"/>
      <c r="AD54" s="133"/>
      <c r="AE54" s="133"/>
      <c r="AF54" s="133"/>
      <c r="AG54" s="133"/>
      <c r="AH54" s="133"/>
      <c r="AI54" s="136"/>
      <c r="AJ54" s="136"/>
      <c r="AK54" s="136"/>
      <c r="AL54" s="137"/>
    </row>
    <row r="55" spans="1:38" x14ac:dyDescent="0.2">
      <c r="A55" s="148"/>
      <c r="B55" s="151"/>
      <c r="C55" s="151"/>
      <c r="D55" s="151"/>
      <c r="E55" s="151"/>
      <c r="F55" s="151"/>
      <c r="G55" s="151"/>
      <c r="H55" s="151"/>
      <c r="I55" s="151"/>
      <c r="J55" s="151"/>
      <c r="K55" s="151"/>
      <c r="L55" s="151"/>
      <c r="M55" s="151"/>
      <c r="N55" s="151"/>
      <c r="O55" s="151"/>
      <c r="P55" s="151"/>
      <c r="Q55" s="151"/>
      <c r="R55" s="151"/>
      <c r="S55" s="152"/>
      <c r="T55" s="148"/>
      <c r="U55" s="151"/>
      <c r="V55" s="151"/>
      <c r="W55" s="151"/>
      <c r="X55" s="151"/>
      <c r="Y55" s="151"/>
      <c r="Z55" s="151"/>
      <c r="AA55" s="151"/>
      <c r="AB55" s="151"/>
      <c r="AC55" s="151"/>
      <c r="AD55" s="151"/>
      <c r="AE55" s="151"/>
      <c r="AF55" s="151"/>
      <c r="AG55" s="151"/>
      <c r="AH55" s="151"/>
      <c r="AI55" s="151"/>
      <c r="AJ55" s="151"/>
      <c r="AK55" s="151"/>
      <c r="AL55" s="152"/>
    </row>
    <row r="56" spans="1:38" x14ac:dyDescent="0.2">
      <c r="A56" s="24"/>
      <c r="B56" s="25"/>
      <c r="C56" s="25"/>
      <c r="D56" s="25"/>
      <c r="E56" s="25"/>
      <c r="F56" s="25"/>
      <c r="G56" s="25"/>
      <c r="H56" s="25"/>
      <c r="I56" s="25"/>
      <c r="J56" s="25"/>
      <c r="K56" s="25"/>
      <c r="L56" s="25"/>
      <c r="M56" s="25"/>
      <c r="N56" s="25"/>
      <c r="O56" s="25"/>
      <c r="P56" s="25"/>
      <c r="Q56" s="25"/>
      <c r="R56" s="25"/>
      <c r="S56" s="26"/>
      <c r="T56" s="25"/>
      <c r="U56" s="25"/>
      <c r="V56" s="25"/>
      <c r="W56" s="25"/>
      <c r="X56" s="25"/>
      <c r="Y56" s="25"/>
      <c r="Z56" s="25"/>
      <c r="AA56" s="25"/>
      <c r="AB56" s="25"/>
      <c r="AC56" s="25"/>
      <c r="AD56" s="25"/>
      <c r="AE56" s="25"/>
      <c r="AF56" s="25"/>
      <c r="AG56" s="25"/>
      <c r="AH56" s="25"/>
      <c r="AI56" s="25"/>
      <c r="AJ56" s="25"/>
      <c r="AK56" s="25"/>
      <c r="AL56" s="26"/>
    </row>
    <row r="57" spans="1:38" x14ac:dyDescent="0.2">
      <c r="A57" s="309" t="s">
        <v>381</v>
      </c>
      <c r="B57" s="31"/>
      <c r="C57" s="31"/>
      <c r="D57" s="31"/>
      <c r="E57" s="31"/>
      <c r="F57" s="31"/>
      <c r="G57" s="31"/>
      <c r="H57" s="31"/>
      <c r="I57" s="31"/>
      <c r="J57" s="31"/>
      <c r="K57" s="31"/>
      <c r="L57" s="31"/>
      <c r="M57" s="31"/>
      <c r="N57" s="31"/>
      <c r="O57" s="31"/>
      <c r="P57" s="31"/>
      <c r="Q57" s="31"/>
      <c r="R57" s="31"/>
      <c r="S57" s="32"/>
      <c r="T57" s="309" t="s">
        <v>381</v>
      </c>
      <c r="U57" s="31"/>
      <c r="V57" s="31"/>
      <c r="W57" s="31"/>
      <c r="X57" s="31"/>
      <c r="Y57" s="31"/>
      <c r="Z57" s="31"/>
      <c r="AA57" s="31"/>
      <c r="AB57" s="31"/>
      <c r="AC57" s="31"/>
      <c r="AD57" s="31"/>
      <c r="AE57" s="31"/>
      <c r="AF57" s="31"/>
      <c r="AG57" s="31"/>
      <c r="AH57" s="31"/>
      <c r="AI57" s="31"/>
      <c r="AJ57" s="31"/>
      <c r="AK57" s="31"/>
      <c r="AL57" s="32"/>
    </row>
    <row r="58" spans="1:38" x14ac:dyDescent="0.2">
      <c r="A58" s="262" t="s">
        <v>525</v>
      </c>
      <c r="B58" s="31"/>
      <c r="C58" s="31"/>
      <c r="D58" s="31"/>
      <c r="E58" s="31"/>
      <c r="F58" s="31"/>
      <c r="G58" s="31"/>
      <c r="H58" s="31"/>
      <c r="I58" s="31"/>
      <c r="J58" s="31"/>
      <c r="K58" s="31"/>
      <c r="L58" s="31"/>
      <c r="M58" s="31"/>
      <c r="N58" s="31"/>
      <c r="O58" s="31"/>
      <c r="P58" s="31"/>
      <c r="Q58" s="31"/>
      <c r="R58" s="31"/>
      <c r="S58" s="32"/>
      <c r="T58" s="262" t="s">
        <v>525</v>
      </c>
      <c r="U58" s="31"/>
      <c r="V58" s="31"/>
      <c r="W58" s="31"/>
      <c r="X58" s="31"/>
      <c r="Y58" s="31"/>
      <c r="Z58" s="31"/>
      <c r="AA58" s="31"/>
      <c r="AB58" s="31"/>
      <c r="AC58" s="31"/>
      <c r="AD58" s="31"/>
      <c r="AE58" s="31"/>
      <c r="AF58" s="31"/>
      <c r="AG58" s="31"/>
      <c r="AH58" s="31"/>
      <c r="AI58" s="31"/>
      <c r="AJ58" s="31"/>
      <c r="AK58" s="31"/>
      <c r="AL58" s="32"/>
    </row>
    <row r="59" spans="1:38" x14ac:dyDescent="0.2">
      <c r="A59" s="30"/>
      <c r="B59" s="31"/>
      <c r="C59" s="31"/>
      <c r="D59" s="31"/>
      <c r="E59" s="31"/>
      <c r="F59" s="31"/>
      <c r="G59" s="31"/>
      <c r="H59" s="31"/>
      <c r="I59" s="31"/>
      <c r="J59" s="31"/>
      <c r="K59" s="31"/>
      <c r="L59" s="31"/>
      <c r="M59" s="31"/>
      <c r="N59" s="31"/>
      <c r="O59" s="31"/>
      <c r="P59" s="31"/>
      <c r="Q59" s="31"/>
      <c r="R59" s="31"/>
      <c r="S59" s="32"/>
      <c r="T59" s="31"/>
      <c r="U59" s="31"/>
      <c r="V59" s="31"/>
      <c r="W59" s="31"/>
      <c r="X59" s="31"/>
      <c r="Y59" s="31"/>
      <c r="Z59" s="31"/>
      <c r="AA59" s="31"/>
      <c r="AB59" s="31"/>
      <c r="AC59" s="31"/>
      <c r="AD59" s="31"/>
      <c r="AE59" s="31"/>
      <c r="AF59" s="31"/>
      <c r="AG59" s="31"/>
      <c r="AH59" s="31"/>
      <c r="AI59" s="31"/>
      <c r="AJ59" s="31"/>
      <c r="AK59" s="31"/>
      <c r="AL59" s="32"/>
    </row>
    <row r="60" spans="1:38" x14ac:dyDescent="0.2">
      <c r="A60" s="30"/>
      <c r="B60" s="31"/>
      <c r="C60" s="31"/>
      <c r="D60" s="31"/>
      <c r="E60" s="31"/>
      <c r="F60" s="31"/>
      <c r="G60" s="31"/>
      <c r="H60" s="31"/>
      <c r="I60" s="31"/>
      <c r="J60" s="31"/>
      <c r="K60" s="31"/>
      <c r="L60" s="31"/>
      <c r="M60" s="31"/>
      <c r="N60" s="31"/>
      <c r="O60" s="31"/>
      <c r="P60" s="31"/>
      <c r="Q60" s="31"/>
      <c r="R60" s="31"/>
      <c r="S60" s="32"/>
      <c r="T60" s="31"/>
      <c r="U60" s="31"/>
      <c r="V60" s="31"/>
      <c r="W60" s="31"/>
      <c r="X60" s="31"/>
      <c r="Y60" s="31"/>
      <c r="Z60" s="31"/>
      <c r="AA60" s="31"/>
      <c r="AB60" s="31"/>
      <c r="AC60" s="31"/>
      <c r="AD60" s="31"/>
      <c r="AE60" s="31"/>
      <c r="AF60" s="31"/>
      <c r="AG60" s="31"/>
      <c r="AH60" s="31"/>
      <c r="AI60" s="31"/>
      <c r="AJ60" s="31"/>
      <c r="AK60" s="31"/>
      <c r="AL60" s="32"/>
    </row>
    <row r="61" spans="1:38" x14ac:dyDescent="0.2">
      <c r="A61" s="30"/>
      <c r="B61" s="31"/>
      <c r="C61" s="31"/>
      <c r="D61" s="31"/>
      <c r="E61" s="31"/>
      <c r="F61" s="31"/>
      <c r="G61" s="31"/>
      <c r="H61" s="31"/>
      <c r="I61" s="31"/>
      <c r="J61" s="31"/>
      <c r="K61" s="31"/>
      <c r="L61" s="31"/>
      <c r="M61" s="31"/>
      <c r="N61" s="31"/>
      <c r="O61" s="31"/>
      <c r="P61" s="31"/>
      <c r="Q61" s="31"/>
      <c r="R61" s="31"/>
      <c r="S61" s="32"/>
      <c r="T61" s="31"/>
      <c r="U61" s="31"/>
      <c r="V61" s="31"/>
      <c r="W61" s="31"/>
      <c r="X61" s="31"/>
      <c r="Y61" s="31"/>
      <c r="Z61" s="31"/>
      <c r="AA61" s="31"/>
      <c r="AB61" s="31"/>
      <c r="AC61" s="31"/>
      <c r="AD61" s="31"/>
      <c r="AE61" s="31"/>
      <c r="AF61" s="31"/>
      <c r="AG61" s="31"/>
      <c r="AH61" s="31"/>
      <c r="AI61" s="31"/>
      <c r="AJ61" s="31"/>
      <c r="AK61" s="31"/>
      <c r="AL61" s="32"/>
    </row>
    <row r="62" spans="1:38" x14ac:dyDescent="0.2">
      <c r="A62" s="30"/>
      <c r="B62" s="31"/>
      <c r="C62" s="31"/>
      <c r="D62" s="31"/>
      <c r="E62" s="31"/>
      <c r="F62" s="31"/>
      <c r="G62" s="31"/>
      <c r="H62" s="31"/>
      <c r="I62" s="31"/>
      <c r="J62" s="31"/>
      <c r="K62" s="31"/>
      <c r="L62" s="31"/>
      <c r="M62" s="31"/>
      <c r="N62" s="31"/>
      <c r="O62" s="31"/>
      <c r="P62" s="31"/>
      <c r="Q62" s="31"/>
      <c r="R62" s="31"/>
      <c r="S62" s="32"/>
      <c r="T62" s="31"/>
      <c r="U62" s="31"/>
      <c r="V62" s="31"/>
      <c r="W62" s="31"/>
      <c r="X62" s="31"/>
      <c r="Y62" s="31"/>
      <c r="Z62" s="31"/>
      <c r="AA62" s="31"/>
      <c r="AB62" s="31"/>
      <c r="AC62" s="31"/>
      <c r="AD62" s="31"/>
      <c r="AE62" s="31"/>
      <c r="AF62" s="31"/>
      <c r="AG62" s="31"/>
      <c r="AH62" s="31"/>
      <c r="AI62" s="31"/>
      <c r="AJ62" s="31"/>
      <c r="AK62" s="31"/>
      <c r="AL62" s="32"/>
    </row>
    <row r="63" spans="1:38" x14ac:dyDescent="0.2">
      <c r="A63" s="30"/>
      <c r="B63" s="31"/>
      <c r="C63" s="31"/>
      <c r="D63" s="31"/>
      <c r="E63" s="31"/>
      <c r="F63" s="31"/>
      <c r="G63" s="31"/>
      <c r="H63" s="31"/>
      <c r="I63" s="31"/>
      <c r="J63" s="31"/>
      <c r="K63" s="31"/>
      <c r="L63" s="31"/>
      <c r="M63" s="31"/>
      <c r="N63" s="31"/>
      <c r="O63" s="31"/>
      <c r="P63" s="31"/>
      <c r="Q63" s="31"/>
      <c r="R63" s="31"/>
      <c r="S63" s="32"/>
      <c r="T63" s="31"/>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8"/>
      <c r="B181" s="36"/>
      <c r="C181" s="36"/>
      <c r="D181" s="36"/>
      <c r="E181" s="36"/>
      <c r="F181" s="36"/>
      <c r="G181" s="36"/>
      <c r="H181" s="36"/>
      <c r="I181" s="36"/>
      <c r="J181" s="36"/>
      <c r="K181" s="36"/>
      <c r="L181" s="36"/>
      <c r="M181" s="36"/>
      <c r="N181" s="36"/>
      <c r="O181" s="36"/>
      <c r="P181" s="36"/>
      <c r="Q181" s="36"/>
      <c r="R181" s="36"/>
      <c r="S181" s="39"/>
      <c r="T181" s="36"/>
      <c r="U181" s="36"/>
      <c r="V181" s="36"/>
      <c r="W181" s="36"/>
      <c r="X181" s="36"/>
      <c r="Y181" s="36"/>
      <c r="Z181" s="36"/>
      <c r="AA181" s="36"/>
      <c r="AB181" s="36"/>
      <c r="AC181" s="36"/>
      <c r="AD181" s="36"/>
      <c r="AE181" s="36"/>
      <c r="AF181" s="36"/>
      <c r="AG181" s="36"/>
      <c r="AH181" s="36"/>
      <c r="AI181" s="36"/>
      <c r="AJ181" s="36"/>
      <c r="AK181" s="36"/>
      <c r="AL181" s="39"/>
    </row>
  </sheetData>
  <sheetProtection password="E10F" sheet="1"/>
  <mergeCells count="26">
    <mergeCell ref="U52:V52"/>
    <mergeCell ref="T54:V54"/>
    <mergeCell ref="W54:X54"/>
    <mergeCell ref="W52:X52"/>
    <mergeCell ref="A54:C54"/>
    <mergeCell ref="B52:C52"/>
    <mergeCell ref="A48:C48"/>
    <mergeCell ref="D54:E54"/>
    <mergeCell ref="D52:E52"/>
    <mergeCell ref="A49:C49"/>
    <mergeCell ref="A1:S1"/>
    <mergeCell ref="D3:J3"/>
    <mergeCell ref="O3:S3"/>
    <mergeCell ref="F49:G49"/>
    <mergeCell ref="B6:F6"/>
    <mergeCell ref="D48:E48"/>
    <mergeCell ref="D49:E49"/>
    <mergeCell ref="T1:AL1"/>
    <mergeCell ref="W3:AC3"/>
    <mergeCell ref="T49:V49"/>
    <mergeCell ref="T5:AL5"/>
    <mergeCell ref="AH3:AL3"/>
    <mergeCell ref="T48:V48"/>
    <mergeCell ref="W48:X48"/>
    <mergeCell ref="Y49:Z49"/>
    <mergeCell ref="W49:X49"/>
  </mergeCells>
  <phoneticPr fontId="2" type="noConversion"/>
  <conditionalFormatting sqref="F49:G49">
    <cfRule type="expression" dxfId="149" priority="1" stopIfTrue="1">
      <formula>$D$49&lt;4000</formula>
    </cfRule>
    <cfRule type="expression" dxfId="148" priority="2" stopIfTrue="1">
      <formula>$D$49&gt;=4000</formula>
    </cfRule>
  </conditionalFormatting>
  <conditionalFormatting sqref="Y49:Z49">
    <cfRule type="expression" dxfId="147" priority="3" stopIfTrue="1">
      <formula>$W$49&lt;7500</formula>
    </cfRule>
    <cfRule type="expression" dxfId="146" priority="4" stopIfTrue="1">
      <formula>$W$49&gt;=7500</formula>
    </cfRule>
  </conditionalFormatting>
  <hyperlinks>
    <hyperlink ref="B6" location="'T3.33.3 T3.34.3 Guidance'!A1" display="Link to guidance notes" xr:uid="{00000000-0004-0000-1500-000000000000}"/>
    <hyperlink ref="B6:F6" location="'T2.6.9 Guidance Notes'!A1" display="Link to guidance notes" xr:uid="{00000000-0004-0000-1500-000001000000}"/>
    <hyperlink ref="AM2" location="'Cover Sheet'!A1" display="BACK to COVER SHEET" xr:uid="{00000000-0004-0000-1500-000002000000}"/>
    <hyperlink ref="AM2:AO2" location="'Cover Sheet'!A1" display="BACK to COVER SHEET" xr:uid="{00000000-0004-0000-1500-000003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8"/>
  <dimension ref="A1:V180"/>
  <sheetViews>
    <sheetView showGridLines="0" zoomScaleNormal="100" zoomScaleSheetLayoutView="100" workbookViewId="0">
      <selection sqref="A1:S1"/>
    </sheetView>
  </sheetViews>
  <sheetFormatPr baseColWidth="10" defaultColWidth="9.140625" defaultRowHeight="12.75" x14ac:dyDescent="0.2"/>
  <cols>
    <col min="1" max="19" width="5" style="350" customWidth="1"/>
    <col min="20" max="16384" width="9.140625" style="350"/>
  </cols>
  <sheetData>
    <row r="1" spans="1:22" x14ac:dyDescent="0.2">
      <c r="A1" s="732" t="s">
        <v>568</v>
      </c>
      <c r="B1" s="732"/>
      <c r="C1" s="732"/>
      <c r="D1" s="732"/>
      <c r="E1" s="732"/>
      <c r="F1" s="732"/>
      <c r="G1" s="732"/>
      <c r="H1" s="732"/>
      <c r="I1" s="732"/>
      <c r="J1" s="732"/>
      <c r="K1" s="732"/>
      <c r="L1" s="732"/>
      <c r="M1" s="732"/>
      <c r="N1" s="732"/>
      <c r="O1" s="732"/>
      <c r="P1" s="732"/>
      <c r="Q1" s="732"/>
      <c r="R1" s="732"/>
      <c r="S1" s="732"/>
    </row>
    <row r="2" spans="1:22" x14ac:dyDescent="0.2">
      <c r="T2" s="298" t="s">
        <v>565</v>
      </c>
      <c r="U2" s="298"/>
      <c r="V2" s="298"/>
    </row>
    <row r="3" spans="1:22" x14ac:dyDescent="0.2">
      <c r="A3" s="350" t="s">
        <v>47</v>
      </c>
      <c r="D3" s="733" t="str">
        <f>IF('Cover Sheet'!D14:J14&gt;0,'Cover Sheet'!D14:J14,"")</f>
        <v>EPSA</v>
      </c>
      <c r="E3" s="733"/>
      <c r="F3" s="733"/>
      <c r="G3" s="733"/>
      <c r="H3" s="733"/>
      <c r="I3" s="733"/>
      <c r="J3" s="733"/>
      <c r="K3" s="350" t="s">
        <v>48</v>
      </c>
      <c r="O3" s="733" t="str">
        <f>IF('Cover Sheet'!O14:S14&gt;0,'Cover Sheet'!O14:S14,"")</f>
        <v/>
      </c>
      <c r="P3" s="733"/>
      <c r="Q3" s="733"/>
      <c r="R3" s="733"/>
      <c r="S3" s="733"/>
    </row>
    <row r="5" spans="1:22" ht="12.75" customHeight="1" x14ac:dyDescent="0.2">
      <c r="A5" s="351"/>
      <c r="B5" s="352"/>
      <c r="C5" s="352"/>
      <c r="D5" s="352"/>
      <c r="E5" s="352"/>
      <c r="F5" s="352"/>
      <c r="G5" s="352"/>
      <c r="H5" s="352"/>
      <c r="I5" s="352"/>
      <c r="J5" s="352"/>
      <c r="K5" s="352"/>
      <c r="L5" s="352"/>
      <c r="M5" s="352"/>
      <c r="N5" s="352"/>
      <c r="O5" s="352"/>
      <c r="P5" s="352"/>
      <c r="Q5" s="352"/>
      <c r="R5" s="352"/>
      <c r="S5" s="353"/>
    </row>
    <row r="6" spans="1:22" x14ac:dyDescent="0.2">
      <c r="A6" s="354"/>
      <c r="B6" s="355"/>
      <c r="C6" s="355"/>
      <c r="D6" s="355"/>
      <c r="E6" s="355"/>
      <c r="F6" s="355"/>
      <c r="G6" s="355"/>
      <c r="H6" s="355"/>
      <c r="I6" s="355"/>
      <c r="J6" s="355"/>
      <c r="K6" s="355"/>
      <c r="L6" s="355"/>
      <c r="M6" s="355"/>
      <c r="N6" s="355"/>
      <c r="O6" s="355"/>
      <c r="P6" s="355"/>
      <c r="Q6" s="355"/>
      <c r="R6" s="355"/>
      <c r="S6" s="356"/>
    </row>
    <row r="7" spans="1:22" x14ac:dyDescent="0.2">
      <c r="A7" s="354"/>
      <c r="B7" s="355"/>
      <c r="C7" s="355"/>
      <c r="D7" s="355"/>
      <c r="E7" s="355"/>
      <c r="F7" s="355"/>
      <c r="G7" s="355"/>
      <c r="H7" s="355"/>
      <c r="I7" s="355"/>
      <c r="J7" s="355"/>
      <c r="K7" s="355"/>
      <c r="L7" s="355"/>
      <c r="M7" s="355"/>
      <c r="N7" s="355"/>
      <c r="O7" s="355"/>
      <c r="P7" s="355"/>
      <c r="Q7" s="355"/>
      <c r="R7" s="355"/>
      <c r="S7" s="356"/>
    </row>
    <row r="8" spans="1:22" x14ac:dyDescent="0.2">
      <c r="A8" s="354"/>
      <c r="B8" s="355"/>
      <c r="C8" s="355"/>
      <c r="D8" s="355"/>
      <c r="E8" s="355"/>
      <c r="F8" s="355"/>
      <c r="G8" s="355"/>
      <c r="H8" s="355"/>
      <c r="I8" s="355"/>
      <c r="J8" s="355"/>
      <c r="K8" s="355"/>
      <c r="L8" s="355"/>
      <c r="M8" s="355"/>
      <c r="N8" s="355"/>
      <c r="O8" s="355"/>
      <c r="P8" s="355"/>
      <c r="Q8" s="355"/>
      <c r="R8" s="355"/>
      <c r="S8" s="356"/>
    </row>
    <row r="9" spans="1:22" x14ac:dyDescent="0.2">
      <c r="A9" s="354"/>
      <c r="B9" s="355"/>
      <c r="C9" s="355"/>
      <c r="D9" s="355"/>
      <c r="E9" s="355"/>
      <c r="F9" s="357"/>
      <c r="G9" s="357"/>
      <c r="H9" s="355"/>
      <c r="I9" s="355"/>
      <c r="J9" s="355"/>
      <c r="K9" s="355"/>
      <c r="L9" s="355"/>
      <c r="M9" s="355"/>
      <c r="N9" s="355"/>
      <c r="O9" s="355"/>
      <c r="P9" s="355"/>
      <c r="Q9" s="355"/>
      <c r="R9" s="355"/>
      <c r="S9" s="356"/>
    </row>
    <row r="10" spans="1:22" x14ac:dyDescent="0.2">
      <c r="A10" s="354"/>
      <c r="B10" s="355"/>
      <c r="C10" s="355"/>
      <c r="D10" s="355"/>
      <c r="E10" s="355"/>
      <c r="F10" s="355"/>
      <c r="G10" s="355"/>
      <c r="H10" s="355"/>
      <c r="I10" s="355"/>
      <c r="J10" s="355"/>
      <c r="K10" s="355"/>
      <c r="L10" s="355"/>
      <c r="M10" s="355"/>
      <c r="N10" s="355"/>
      <c r="O10" s="355"/>
      <c r="P10" s="355"/>
      <c r="Q10" s="355"/>
      <c r="R10" s="355"/>
      <c r="S10" s="356"/>
    </row>
    <row r="11" spans="1:22" x14ac:dyDescent="0.2">
      <c r="A11" s="354"/>
      <c r="B11" s="355"/>
      <c r="C11" s="355"/>
      <c r="D11" s="355"/>
      <c r="E11" s="355"/>
      <c r="F11" s="355"/>
      <c r="G11" s="358" t="s">
        <v>101</v>
      </c>
      <c r="H11" s="355"/>
      <c r="I11" s="355"/>
      <c r="J11" s="355"/>
      <c r="K11" s="355"/>
      <c r="L11" s="355"/>
      <c r="M11" s="355"/>
      <c r="N11" s="355"/>
      <c r="O11" s="355"/>
      <c r="P11" s="355"/>
      <c r="Q11" s="355"/>
      <c r="R11" s="355"/>
      <c r="S11" s="356"/>
    </row>
    <row r="12" spans="1:22" x14ac:dyDescent="0.2">
      <c r="A12" s="354"/>
      <c r="B12" s="355"/>
      <c r="C12" s="355"/>
      <c r="D12" s="355"/>
      <c r="E12" s="355"/>
      <c r="F12" s="355"/>
      <c r="G12" s="355"/>
      <c r="H12" s="355"/>
      <c r="I12" s="355"/>
      <c r="J12" s="355"/>
      <c r="K12" s="355"/>
      <c r="L12" s="355"/>
      <c r="M12" s="355"/>
      <c r="N12" s="355"/>
      <c r="O12" s="355"/>
      <c r="P12" s="355"/>
      <c r="Q12" s="355"/>
      <c r="R12" s="355"/>
      <c r="S12" s="356"/>
    </row>
    <row r="13" spans="1:22" x14ac:dyDescent="0.2">
      <c r="A13" s="354"/>
      <c r="B13" s="355"/>
      <c r="C13" s="355"/>
      <c r="D13" s="355"/>
      <c r="E13" s="355"/>
      <c r="F13" s="355"/>
      <c r="G13" s="358" t="s">
        <v>282</v>
      </c>
      <c r="H13" s="355"/>
      <c r="I13" s="355"/>
      <c r="J13" s="355"/>
      <c r="K13" s="355"/>
      <c r="L13" s="355"/>
      <c r="M13" s="355"/>
      <c r="N13" s="355"/>
      <c r="O13" s="355"/>
      <c r="P13" s="355"/>
      <c r="Q13" s="355"/>
      <c r="R13" s="355"/>
      <c r="S13" s="356"/>
    </row>
    <row r="14" spans="1:22" x14ac:dyDescent="0.2">
      <c r="A14" s="354"/>
      <c r="B14" s="355"/>
      <c r="C14" s="355"/>
      <c r="D14" s="355"/>
      <c r="E14" s="355"/>
      <c r="F14" s="355"/>
      <c r="G14" s="355"/>
      <c r="H14" s="355"/>
      <c r="I14" s="355"/>
      <c r="J14" s="355"/>
      <c r="K14" s="355"/>
      <c r="L14" s="355"/>
      <c r="M14" s="355"/>
      <c r="N14" s="355"/>
      <c r="O14" s="355"/>
      <c r="P14" s="355"/>
      <c r="Q14" s="355"/>
      <c r="R14" s="355"/>
      <c r="S14" s="356"/>
    </row>
    <row r="15" spans="1:22" x14ac:dyDescent="0.2">
      <c r="A15" s="354"/>
      <c r="B15" s="355"/>
      <c r="C15" s="355"/>
      <c r="D15" s="355"/>
      <c r="E15" s="355"/>
      <c r="F15" s="355"/>
      <c r="G15" s="355"/>
      <c r="H15" s="355"/>
      <c r="I15" s="355"/>
      <c r="J15" s="355"/>
      <c r="K15" s="355"/>
      <c r="L15" s="355"/>
      <c r="M15" s="355"/>
      <c r="N15" s="355"/>
      <c r="O15" s="355"/>
      <c r="P15" s="355"/>
      <c r="Q15" s="355"/>
      <c r="R15" s="355"/>
      <c r="S15" s="356"/>
    </row>
    <row r="16" spans="1:22" x14ac:dyDescent="0.2">
      <c r="A16" s="354"/>
      <c r="B16" s="355"/>
      <c r="C16" s="355"/>
      <c r="D16" s="355"/>
      <c r="E16" s="355"/>
      <c r="F16" s="355"/>
      <c r="G16" s="355"/>
      <c r="H16" s="355"/>
      <c r="I16" s="355"/>
      <c r="J16" s="355"/>
      <c r="K16" s="355"/>
      <c r="L16" s="355"/>
      <c r="M16" s="355"/>
      <c r="N16" s="355"/>
      <c r="O16" s="355"/>
      <c r="P16" s="355"/>
      <c r="Q16" s="355"/>
      <c r="R16" s="355"/>
      <c r="S16" s="356"/>
    </row>
    <row r="17" spans="1:19" x14ac:dyDescent="0.2">
      <c r="A17" s="354"/>
      <c r="B17" s="355"/>
      <c r="C17" s="355"/>
      <c r="D17" s="355"/>
      <c r="E17" s="355"/>
      <c r="F17" s="355"/>
      <c r="G17" s="355"/>
      <c r="H17" s="355"/>
      <c r="I17" s="355"/>
      <c r="J17" s="355"/>
      <c r="K17" s="355"/>
      <c r="L17" s="355"/>
      <c r="M17" s="355"/>
      <c r="N17" s="355"/>
      <c r="O17" s="355"/>
      <c r="P17" s="355"/>
      <c r="Q17" s="355"/>
      <c r="R17" s="355"/>
      <c r="S17" s="356"/>
    </row>
    <row r="18" spans="1:19" x14ac:dyDescent="0.2">
      <c r="A18" s="359"/>
      <c r="B18" s="360"/>
      <c r="C18" s="360"/>
      <c r="D18" s="360"/>
      <c r="E18" s="361"/>
      <c r="F18" s="361"/>
      <c r="G18" s="360"/>
      <c r="H18" s="361"/>
      <c r="I18" s="360"/>
      <c r="J18" s="360"/>
      <c r="K18" s="360"/>
      <c r="L18" s="360"/>
      <c r="M18" s="360"/>
      <c r="N18" s="360"/>
      <c r="O18" s="360"/>
      <c r="P18" s="360"/>
      <c r="Q18" s="360"/>
      <c r="R18" s="360"/>
      <c r="S18" s="362"/>
    </row>
    <row r="19" spans="1:19" x14ac:dyDescent="0.2">
      <c r="A19" s="363" t="s">
        <v>102</v>
      </c>
      <c r="B19" s="364"/>
      <c r="C19" s="364"/>
      <c r="D19" s="364"/>
      <c r="E19" s="364"/>
      <c r="F19" s="364"/>
      <c r="G19" s="364"/>
      <c r="H19" s="364"/>
      <c r="I19" s="364"/>
      <c r="J19" s="364"/>
      <c r="K19" s="364"/>
      <c r="L19" s="364"/>
      <c r="M19" s="364"/>
      <c r="N19" s="364"/>
      <c r="O19" s="364"/>
      <c r="P19" s="364"/>
      <c r="Q19" s="364"/>
      <c r="R19" s="364"/>
      <c r="S19" s="365"/>
    </row>
    <row r="20" spans="1:19" x14ac:dyDescent="0.2">
      <c r="A20" s="366"/>
      <c r="B20" s="364"/>
      <c r="C20" s="364"/>
      <c r="D20" s="364"/>
      <c r="E20" s="364"/>
      <c r="F20" s="364"/>
      <c r="G20" s="364"/>
      <c r="H20" s="364"/>
      <c r="I20" s="364"/>
      <c r="J20" s="364"/>
      <c r="K20" s="364"/>
      <c r="L20" s="364"/>
      <c r="M20" s="364"/>
      <c r="N20" s="364"/>
      <c r="O20" s="364"/>
      <c r="P20" s="364"/>
      <c r="Q20" s="364"/>
      <c r="R20" s="364"/>
      <c r="S20" s="365"/>
    </row>
    <row r="21" spans="1:19" x14ac:dyDescent="0.2">
      <c r="A21" s="351"/>
      <c r="B21" s="352"/>
      <c r="C21" s="352"/>
      <c r="D21" s="352"/>
      <c r="E21" s="352"/>
      <c r="F21" s="352"/>
      <c r="G21" s="352"/>
      <c r="H21" s="352"/>
      <c r="I21" s="352"/>
      <c r="J21" s="352"/>
      <c r="K21" s="352"/>
      <c r="L21" s="352"/>
      <c r="M21" s="352"/>
      <c r="N21" s="352"/>
      <c r="O21" s="352"/>
      <c r="P21" s="352"/>
      <c r="Q21" s="352"/>
      <c r="R21" s="352"/>
      <c r="S21" s="353"/>
    </row>
    <row r="22" spans="1:19" x14ac:dyDescent="0.2">
      <c r="A22" s="354"/>
      <c r="B22" s="355"/>
      <c r="C22" s="355"/>
      <c r="D22" s="355"/>
      <c r="E22" s="355"/>
      <c r="F22" s="355"/>
      <c r="G22" s="355"/>
      <c r="H22" s="355"/>
      <c r="I22" s="355"/>
      <c r="J22" s="355"/>
      <c r="K22" s="355"/>
      <c r="L22" s="355"/>
      <c r="M22" s="355"/>
      <c r="N22" s="355"/>
      <c r="O22" s="355"/>
      <c r="P22" s="355"/>
      <c r="Q22" s="355"/>
      <c r="R22" s="355"/>
      <c r="S22" s="356"/>
    </row>
    <row r="23" spans="1:19" x14ac:dyDescent="0.2">
      <c r="A23" s="354"/>
      <c r="B23" s="355"/>
      <c r="C23" s="355"/>
      <c r="D23" s="355"/>
      <c r="E23" s="355"/>
      <c r="F23" s="355"/>
      <c r="G23" s="355"/>
      <c r="H23" s="355"/>
      <c r="I23" s="355"/>
      <c r="J23" s="355"/>
      <c r="K23" s="355"/>
      <c r="L23" s="355"/>
      <c r="M23" s="355"/>
      <c r="N23" s="355"/>
      <c r="O23" s="355"/>
      <c r="P23" s="355"/>
      <c r="Q23" s="355"/>
      <c r="R23" s="355"/>
      <c r="S23" s="356"/>
    </row>
    <row r="24" spans="1:19" x14ac:dyDescent="0.2">
      <c r="A24" s="354"/>
      <c r="B24" s="355"/>
      <c r="C24" s="355"/>
      <c r="D24" s="355"/>
      <c r="E24" s="355"/>
      <c r="F24" s="355"/>
      <c r="G24" s="355"/>
      <c r="H24" s="355"/>
      <c r="I24" s="355"/>
      <c r="J24" s="355"/>
      <c r="K24" s="355"/>
      <c r="L24" s="355"/>
      <c r="M24" s="355"/>
      <c r="N24" s="355"/>
      <c r="O24" s="355"/>
      <c r="P24" s="355"/>
      <c r="Q24" s="355"/>
      <c r="R24" s="355"/>
      <c r="S24" s="356"/>
    </row>
    <row r="25" spans="1:19" x14ac:dyDescent="0.2">
      <c r="A25" s="354"/>
      <c r="B25" s="355"/>
      <c r="C25" s="355"/>
      <c r="D25" s="355"/>
      <c r="E25" s="355"/>
      <c r="F25" s="355"/>
      <c r="G25" s="355"/>
      <c r="H25" s="355"/>
      <c r="I25" s="355"/>
      <c r="J25" s="355"/>
      <c r="K25" s="355"/>
      <c r="L25" s="355"/>
      <c r="M25" s="355"/>
      <c r="N25" s="355"/>
      <c r="O25" s="355"/>
      <c r="P25" s="355"/>
      <c r="Q25" s="355"/>
      <c r="R25" s="355"/>
      <c r="S25" s="356"/>
    </row>
    <row r="26" spans="1:19" x14ac:dyDescent="0.2">
      <c r="A26" s="354"/>
      <c r="B26" s="355"/>
      <c r="C26" s="355"/>
      <c r="D26" s="355"/>
      <c r="E26" s="355"/>
      <c r="F26" s="355"/>
      <c r="G26" s="355"/>
      <c r="H26" s="355"/>
      <c r="I26" s="355"/>
      <c r="J26" s="355"/>
      <c r="K26" s="355"/>
      <c r="L26" s="355"/>
      <c r="M26" s="355"/>
      <c r="N26" s="355"/>
      <c r="O26" s="355"/>
      <c r="P26" s="355"/>
      <c r="Q26" s="355"/>
      <c r="R26" s="355"/>
      <c r="S26" s="356"/>
    </row>
    <row r="27" spans="1:19" x14ac:dyDescent="0.2">
      <c r="A27" s="354"/>
      <c r="B27" s="355"/>
      <c r="C27" s="355"/>
      <c r="D27" s="355"/>
      <c r="E27" s="355"/>
      <c r="F27" s="355"/>
      <c r="G27" s="355"/>
      <c r="H27" s="355"/>
      <c r="I27" s="355"/>
      <c r="J27" s="355"/>
      <c r="K27" s="355"/>
      <c r="L27" s="355"/>
      <c r="M27" s="355"/>
      <c r="N27" s="355"/>
      <c r="O27" s="355"/>
      <c r="P27" s="355"/>
      <c r="Q27" s="355"/>
      <c r="R27" s="355"/>
      <c r="S27" s="356"/>
    </row>
    <row r="28" spans="1:19" x14ac:dyDescent="0.2">
      <c r="A28" s="354"/>
      <c r="B28" s="355"/>
      <c r="C28" s="355"/>
      <c r="D28" s="355"/>
      <c r="E28" s="355"/>
      <c r="F28" s="355"/>
      <c r="G28" s="355"/>
      <c r="H28" s="355"/>
      <c r="I28" s="355"/>
      <c r="J28" s="355"/>
      <c r="K28" s="355"/>
      <c r="L28" s="355"/>
      <c r="M28" s="355"/>
      <c r="N28" s="355"/>
      <c r="O28" s="355"/>
      <c r="P28" s="355"/>
      <c r="Q28" s="355"/>
      <c r="R28" s="355"/>
      <c r="S28" s="356"/>
    </row>
    <row r="29" spans="1:19" x14ac:dyDescent="0.2">
      <c r="A29" s="354"/>
      <c r="B29" s="355"/>
      <c r="C29" s="355"/>
      <c r="D29" s="355"/>
      <c r="E29" s="355"/>
      <c r="F29" s="355"/>
      <c r="G29" s="355"/>
      <c r="H29" s="355"/>
      <c r="I29" s="355"/>
      <c r="J29" s="355"/>
      <c r="K29" s="355"/>
      <c r="L29" s="355"/>
      <c r="M29" s="355"/>
      <c r="N29" s="355"/>
      <c r="O29" s="355"/>
      <c r="P29" s="355"/>
      <c r="Q29" s="355"/>
      <c r="R29" s="355"/>
      <c r="S29" s="356"/>
    </row>
    <row r="30" spans="1:19" x14ac:dyDescent="0.2">
      <c r="A30" s="354"/>
      <c r="B30" s="355"/>
      <c r="C30" s="355"/>
      <c r="D30" s="355"/>
      <c r="E30" s="355"/>
      <c r="F30" s="355"/>
      <c r="G30" s="355"/>
      <c r="H30" s="355"/>
      <c r="I30" s="355"/>
      <c r="J30" s="355"/>
      <c r="K30" s="355"/>
      <c r="L30" s="355"/>
      <c r="M30" s="355"/>
      <c r="N30" s="355"/>
      <c r="O30" s="355"/>
      <c r="P30" s="355"/>
      <c r="Q30" s="355"/>
      <c r="R30" s="355"/>
      <c r="S30" s="356"/>
    </row>
    <row r="31" spans="1:19" x14ac:dyDescent="0.2">
      <c r="A31" s="354"/>
      <c r="B31" s="355"/>
      <c r="C31" s="355"/>
      <c r="D31" s="355"/>
      <c r="E31" s="355"/>
      <c r="F31" s="355"/>
      <c r="G31" s="355"/>
      <c r="H31" s="355"/>
      <c r="I31" s="355"/>
      <c r="J31" s="355"/>
      <c r="K31" s="355"/>
      <c r="L31" s="355"/>
      <c r="M31" s="355"/>
      <c r="N31" s="355"/>
      <c r="O31" s="355"/>
      <c r="P31" s="355"/>
      <c r="Q31" s="355"/>
      <c r="R31" s="355"/>
      <c r="S31" s="356"/>
    </row>
    <row r="32" spans="1:19" x14ac:dyDescent="0.2">
      <c r="A32" s="354"/>
      <c r="B32" s="355"/>
      <c r="C32" s="355"/>
      <c r="D32" s="355"/>
      <c r="E32" s="367"/>
      <c r="F32" s="357"/>
      <c r="G32" s="358" t="s">
        <v>103</v>
      </c>
      <c r="H32" s="355"/>
      <c r="I32" s="355"/>
      <c r="J32" s="355"/>
      <c r="K32" s="355"/>
      <c r="L32" s="355"/>
      <c r="M32" s="355"/>
      <c r="N32" s="355"/>
      <c r="O32" s="355"/>
      <c r="P32" s="355"/>
      <c r="Q32" s="355"/>
      <c r="R32" s="355"/>
      <c r="S32" s="356"/>
    </row>
    <row r="33" spans="1:19" x14ac:dyDescent="0.2">
      <c r="A33" s="354"/>
      <c r="B33" s="355"/>
      <c r="C33" s="355"/>
      <c r="D33" s="358"/>
      <c r="E33" s="367"/>
      <c r="F33" s="355"/>
      <c r="G33" s="367"/>
      <c r="H33" s="355"/>
      <c r="I33" s="355"/>
      <c r="J33" s="355"/>
      <c r="K33" s="355"/>
      <c r="L33" s="355"/>
      <c r="M33" s="355"/>
      <c r="N33" s="355"/>
      <c r="O33" s="355"/>
      <c r="P33" s="355"/>
      <c r="Q33" s="355"/>
      <c r="R33" s="355"/>
      <c r="S33" s="356"/>
    </row>
    <row r="34" spans="1:19" x14ac:dyDescent="0.2">
      <c r="A34" s="354"/>
      <c r="B34" s="355"/>
      <c r="C34" s="355"/>
      <c r="D34" s="355"/>
      <c r="E34" s="355"/>
      <c r="F34" s="355"/>
      <c r="G34" s="358" t="s">
        <v>380</v>
      </c>
      <c r="H34" s="355"/>
      <c r="I34" s="355"/>
      <c r="J34" s="355"/>
      <c r="K34" s="355"/>
      <c r="L34" s="355"/>
      <c r="M34" s="355"/>
      <c r="N34" s="355"/>
      <c r="O34" s="355"/>
      <c r="P34" s="355"/>
      <c r="Q34" s="355"/>
      <c r="R34" s="355"/>
      <c r="S34" s="356"/>
    </row>
    <row r="35" spans="1:19" x14ac:dyDescent="0.2">
      <c r="A35" s="368"/>
      <c r="B35" s="355"/>
      <c r="C35" s="355"/>
      <c r="D35" s="355"/>
      <c r="E35" s="355"/>
      <c r="F35" s="355"/>
      <c r="G35" s="355"/>
      <c r="H35" s="355"/>
      <c r="I35" s="355"/>
      <c r="J35" s="355"/>
      <c r="K35" s="355"/>
      <c r="L35" s="355"/>
      <c r="M35" s="355"/>
      <c r="N35" s="355"/>
      <c r="O35" s="355"/>
      <c r="P35" s="355"/>
      <c r="Q35" s="355"/>
      <c r="R35" s="355"/>
      <c r="S35" s="356"/>
    </row>
    <row r="36" spans="1:19" x14ac:dyDescent="0.2">
      <c r="A36" s="368"/>
      <c r="B36" s="355"/>
      <c r="C36" s="355"/>
      <c r="D36" s="355"/>
      <c r="E36" s="355"/>
      <c r="F36" s="355"/>
      <c r="G36" s="355"/>
      <c r="H36" s="355"/>
      <c r="I36" s="355"/>
      <c r="J36" s="355"/>
      <c r="K36" s="355"/>
      <c r="L36" s="355"/>
      <c r="M36" s="355"/>
      <c r="N36" s="355"/>
      <c r="O36" s="355"/>
      <c r="P36" s="355"/>
      <c r="Q36" s="355"/>
      <c r="R36" s="355"/>
      <c r="S36" s="356"/>
    </row>
    <row r="37" spans="1:19" x14ac:dyDescent="0.2">
      <c r="A37" s="368"/>
      <c r="B37" s="355"/>
      <c r="C37" s="355"/>
      <c r="D37" s="355"/>
      <c r="E37" s="355"/>
      <c r="F37" s="355"/>
      <c r="G37" s="355"/>
      <c r="H37" s="355"/>
      <c r="I37" s="355"/>
      <c r="J37" s="355"/>
      <c r="K37" s="355"/>
      <c r="L37" s="355"/>
      <c r="M37" s="355"/>
      <c r="N37" s="355"/>
      <c r="O37" s="355"/>
      <c r="P37" s="355"/>
      <c r="Q37" s="355"/>
      <c r="R37" s="355"/>
      <c r="S37" s="356"/>
    </row>
    <row r="38" spans="1:19" x14ac:dyDescent="0.2">
      <c r="A38" s="368"/>
      <c r="B38" s="355"/>
      <c r="C38" s="355"/>
      <c r="D38" s="355"/>
      <c r="E38" s="355"/>
      <c r="F38" s="355"/>
      <c r="G38" s="355"/>
      <c r="H38" s="355"/>
      <c r="I38" s="355"/>
      <c r="J38" s="355"/>
      <c r="K38" s="355"/>
      <c r="L38" s="355"/>
      <c r="M38" s="355"/>
      <c r="N38" s="355"/>
      <c r="O38" s="355"/>
      <c r="P38" s="355"/>
      <c r="Q38" s="355"/>
      <c r="R38" s="355"/>
      <c r="S38" s="356"/>
    </row>
    <row r="39" spans="1:19" x14ac:dyDescent="0.2">
      <c r="A39" s="368"/>
      <c r="B39" s="355"/>
      <c r="C39" s="355"/>
      <c r="D39" s="355"/>
      <c r="E39" s="355"/>
      <c r="F39" s="355"/>
      <c r="G39" s="355"/>
      <c r="H39" s="355"/>
      <c r="I39" s="355"/>
      <c r="J39" s="355"/>
      <c r="K39" s="355"/>
      <c r="L39" s="355"/>
      <c r="M39" s="355"/>
      <c r="N39" s="355"/>
      <c r="O39" s="355"/>
      <c r="P39" s="355"/>
      <c r="Q39" s="355"/>
      <c r="R39" s="355"/>
      <c r="S39" s="356"/>
    </row>
    <row r="40" spans="1:19" x14ac:dyDescent="0.2">
      <c r="A40" s="368"/>
      <c r="B40" s="355"/>
      <c r="C40" s="355"/>
      <c r="D40" s="355"/>
      <c r="E40" s="355"/>
      <c r="F40" s="355"/>
      <c r="G40" s="355"/>
      <c r="H40" s="355"/>
      <c r="I40" s="355"/>
      <c r="J40" s="355"/>
      <c r="K40" s="355"/>
      <c r="L40" s="355"/>
      <c r="M40" s="355"/>
      <c r="N40" s="355"/>
      <c r="O40" s="355"/>
      <c r="P40" s="355"/>
      <c r="Q40" s="355"/>
      <c r="R40" s="355"/>
      <c r="S40" s="356"/>
    </row>
    <row r="41" spans="1:19" x14ac:dyDescent="0.2">
      <c r="A41" s="368"/>
      <c r="B41" s="355"/>
      <c r="C41" s="355"/>
      <c r="D41" s="355"/>
      <c r="E41" s="355"/>
      <c r="F41" s="355"/>
      <c r="G41" s="355"/>
      <c r="H41" s="355"/>
      <c r="I41" s="355"/>
      <c r="J41" s="355"/>
      <c r="K41" s="355"/>
      <c r="L41" s="355"/>
      <c r="M41" s="355"/>
      <c r="N41" s="355"/>
      <c r="O41" s="355"/>
      <c r="P41" s="355"/>
      <c r="Q41" s="355"/>
      <c r="R41" s="355"/>
      <c r="S41" s="356"/>
    </row>
    <row r="42" spans="1:19" x14ac:dyDescent="0.2">
      <c r="A42" s="368"/>
      <c r="B42" s="355"/>
      <c r="C42" s="355"/>
      <c r="D42" s="355"/>
      <c r="E42" s="355"/>
      <c r="F42" s="355"/>
      <c r="G42" s="355"/>
      <c r="H42" s="355"/>
      <c r="I42" s="355"/>
      <c r="J42" s="355"/>
      <c r="K42" s="355"/>
      <c r="L42" s="355"/>
      <c r="M42" s="355"/>
      <c r="N42" s="355"/>
      <c r="O42" s="355"/>
      <c r="P42" s="355"/>
      <c r="Q42" s="355"/>
      <c r="R42" s="355"/>
      <c r="S42" s="356"/>
    </row>
    <row r="43" spans="1:19" x14ac:dyDescent="0.2">
      <c r="A43" s="368"/>
      <c r="B43" s="355"/>
      <c r="C43" s="355"/>
      <c r="D43" s="355"/>
      <c r="E43" s="355"/>
      <c r="F43" s="355"/>
      <c r="G43" s="355"/>
      <c r="H43" s="355"/>
      <c r="I43" s="355"/>
      <c r="J43" s="355"/>
      <c r="K43" s="355"/>
      <c r="L43" s="355"/>
      <c r="M43" s="355"/>
      <c r="N43" s="355"/>
      <c r="O43" s="355"/>
      <c r="P43" s="355"/>
      <c r="Q43" s="355"/>
      <c r="R43" s="355"/>
      <c r="S43" s="356"/>
    </row>
    <row r="44" spans="1:19" x14ac:dyDescent="0.2">
      <c r="A44" s="369"/>
      <c r="B44" s="360"/>
      <c r="C44" s="360"/>
      <c r="D44" s="360"/>
      <c r="E44" s="360"/>
      <c r="F44" s="360"/>
      <c r="G44" s="360"/>
      <c r="H44" s="360"/>
      <c r="I44" s="360"/>
      <c r="J44" s="360"/>
      <c r="K44" s="360"/>
      <c r="L44" s="360"/>
      <c r="M44" s="360"/>
      <c r="N44" s="360"/>
      <c r="O44" s="360"/>
      <c r="P44" s="360"/>
      <c r="Q44" s="360"/>
      <c r="R44" s="360"/>
      <c r="S44" s="362"/>
    </row>
    <row r="45" spans="1:19" x14ac:dyDescent="0.2">
      <c r="A45" s="370" t="s">
        <v>104</v>
      </c>
      <c r="B45" s="371"/>
      <c r="C45" s="371"/>
      <c r="D45" s="371"/>
      <c r="E45" s="371"/>
      <c r="F45" s="371"/>
      <c r="G45" s="371"/>
      <c r="H45" s="371"/>
      <c r="I45" s="371"/>
      <c r="J45" s="371"/>
      <c r="K45" s="371"/>
      <c r="L45" s="371"/>
      <c r="M45" s="371"/>
      <c r="N45" s="371"/>
      <c r="O45" s="371"/>
      <c r="P45" s="371"/>
      <c r="Q45" s="371"/>
      <c r="R45" s="371"/>
      <c r="S45" s="372"/>
    </row>
    <row r="46" spans="1:19" x14ac:dyDescent="0.2">
      <c r="A46" s="373"/>
      <c r="B46" s="371"/>
      <c r="C46" s="371"/>
      <c r="D46" s="371"/>
      <c r="E46" s="371"/>
      <c r="F46" s="371"/>
      <c r="G46" s="371"/>
      <c r="H46" s="371"/>
      <c r="I46" s="371"/>
      <c r="J46" s="371"/>
      <c r="K46" s="371"/>
      <c r="L46" s="371"/>
      <c r="M46" s="371"/>
      <c r="N46" s="371"/>
      <c r="O46" s="371"/>
      <c r="P46" s="371"/>
      <c r="Q46" s="371"/>
      <c r="R46" s="371"/>
      <c r="S46" s="372"/>
    </row>
    <row r="47" spans="1:19" x14ac:dyDescent="0.2">
      <c r="A47" s="370" t="s">
        <v>284</v>
      </c>
      <c r="B47" s="374"/>
      <c r="C47" s="374"/>
      <c r="D47" s="374"/>
      <c r="E47" s="374"/>
      <c r="F47" s="374"/>
      <c r="G47" s="374"/>
      <c r="H47" s="374"/>
      <c r="I47" s="374"/>
      <c r="J47" s="374"/>
      <c r="K47" s="374"/>
      <c r="L47" s="374"/>
      <c r="M47" s="374"/>
      <c r="N47" s="374"/>
      <c r="O47" s="374"/>
      <c r="P47" s="374"/>
      <c r="Q47" s="374"/>
      <c r="R47" s="374"/>
      <c r="S47" s="375"/>
    </row>
    <row r="48" spans="1:19" ht="12.75" customHeight="1" x14ac:dyDescent="0.2">
      <c r="A48" s="734" t="s">
        <v>115</v>
      </c>
      <c r="B48" s="735"/>
      <c r="C48" s="736"/>
      <c r="D48" s="737"/>
      <c r="E48" s="738"/>
      <c r="F48" s="376"/>
      <c r="G48" s="377"/>
      <c r="H48" s="378"/>
      <c r="I48" s="374"/>
      <c r="J48" s="374"/>
      <c r="K48" s="374"/>
      <c r="L48" s="374"/>
      <c r="M48" s="374"/>
      <c r="N48" s="374"/>
      <c r="O48" s="374"/>
      <c r="P48" s="374"/>
      <c r="Q48" s="374"/>
      <c r="R48" s="374"/>
      <c r="S48" s="375"/>
    </row>
    <row r="49" spans="1:19" x14ac:dyDescent="0.2">
      <c r="A49" s="379"/>
      <c r="B49" s="374"/>
      <c r="C49" s="374"/>
      <c r="D49" s="374"/>
      <c r="E49" s="374"/>
      <c r="F49" s="374"/>
      <c r="G49" s="374"/>
      <c r="H49" s="374"/>
      <c r="I49" s="374"/>
      <c r="J49" s="374"/>
      <c r="K49" s="374"/>
      <c r="L49" s="374"/>
      <c r="M49" s="374"/>
      <c r="N49" s="374"/>
      <c r="O49" s="374"/>
      <c r="P49" s="374"/>
      <c r="Q49" s="374"/>
      <c r="R49" s="374"/>
      <c r="S49" s="375"/>
    </row>
    <row r="50" spans="1:19" x14ac:dyDescent="0.2">
      <c r="A50" s="380" t="s">
        <v>119</v>
      </c>
      <c r="B50" s="374"/>
      <c r="C50" s="374"/>
      <c r="D50" s="374"/>
      <c r="E50" s="374"/>
      <c r="F50" s="374"/>
      <c r="G50" s="374"/>
      <c r="H50" s="374"/>
      <c r="I50" s="374"/>
      <c r="J50" s="374"/>
      <c r="K50" s="374"/>
      <c r="L50" s="374"/>
      <c r="M50" s="374"/>
      <c r="N50" s="374"/>
      <c r="O50" s="374"/>
      <c r="P50" s="374"/>
      <c r="Q50" s="374"/>
      <c r="R50" s="374"/>
      <c r="S50" s="375"/>
    </row>
    <row r="51" spans="1:19" ht="15.75" customHeight="1" x14ac:dyDescent="0.2">
      <c r="A51" s="191"/>
      <c r="B51" s="739" t="s">
        <v>120</v>
      </c>
      <c r="C51" s="740"/>
      <c r="D51" s="741"/>
      <c r="E51" s="742"/>
      <c r="F51" s="382"/>
      <c r="G51" s="382"/>
      <c r="H51" s="382"/>
      <c r="I51" s="382"/>
      <c r="J51" s="382"/>
      <c r="K51" s="382"/>
      <c r="L51" s="382"/>
      <c r="M51" s="382"/>
      <c r="N51" s="382"/>
      <c r="O51" s="374"/>
      <c r="P51" s="374"/>
      <c r="Q51" s="374"/>
      <c r="R51" s="374"/>
      <c r="S51" s="375"/>
    </row>
    <row r="52" spans="1:19" ht="15.75" customHeight="1" x14ac:dyDescent="0.2">
      <c r="A52" s="383"/>
      <c r="B52" s="381"/>
      <c r="C52" s="384"/>
      <c r="D52" s="385"/>
      <c r="E52" s="382"/>
      <c r="F52" s="382"/>
      <c r="G52" s="382"/>
      <c r="H52" s="382"/>
      <c r="I52" s="382"/>
      <c r="J52" s="382"/>
      <c r="K52" s="382"/>
      <c r="L52" s="382"/>
      <c r="M52" s="382"/>
      <c r="N52" s="382"/>
      <c r="O52" s="374"/>
      <c r="P52" s="374"/>
      <c r="Q52" s="374"/>
      <c r="R52" s="374"/>
      <c r="S52" s="375"/>
    </row>
    <row r="53" spans="1:19" ht="15.75" customHeight="1" x14ac:dyDescent="0.25">
      <c r="A53" s="727" t="s">
        <v>121</v>
      </c>
      <c r="B53" s="728"/>
      <c r="C53" s="729"/>
      <c r="D53" s="730">
        <f>IF(D51&gt;0,D48/(PI()*25*D51),0)</f>
        <v>0</v>
      </c>
      <c r="E53" s="731"/>
      <c r="F53" s="382" t="s">
        <v>189</v>
      </c>
      <c r="G53" s="382"/>
      <c r="H53" s="382"/>
      <c r="I53" s="382"/>
      <c r="J53" s="382"/>
      <c r="K53" s="382"/>
      <c r="L53" s="382"/>
      <c r="M53" s="382"/>
      <c r="N53" s="382"/>
      <c r="O53" s="382"/>
      <c r="P53" s="374"/>
      <c r="Q53" s="374"/>
      <c r="R53" s="374"/>
      <c r="S53" s="375"/>
    </row>
    <row r="54" spans="1:19" x14ac:dyDescent="0.2">
      <c r="A54" s="386"/>
      <c r="B54" s="387"/>
      <c r="C54" s="387"/>
      <c r="D54" s="387"/>
      <c r="E54" s="387"/>
      <c r="F54" s="387"/>
      <c r="G54" s="387"/>
      <c r="H54" s="387"/>
      <c r="I54" s="387"/>
      <c r="J54" s="387"/>
      <c r="K54" s="387"/>
      <c r="L54" s="387"/>
      <c r="M54" s="387"/>
      <c r="N54" s="387"/>
      <c r="O54" s="387"/>
      <c r="P54" s="387"/>
      <c r="Q54" s="387"/>
      <c r="R54" s="387"/>
      <c r="S54" s="388"/>
    </row>
    <row r="55" spans="1:19" x14ac:dyDescent="0.2">
      <c r="A55" s="389"/>
      <c r="B55" s="390"/>
      <c r="C55" s="390"/>
      <c r="D55" s="390"/>
      <c r="E55" s="390"/>
      <c r="F55" s="390"/>
      <c r="G55" s="390"/>
      <c r="H55" s="390"/>
      <c r="I55" s="390"/>
      <c r="J55" s="390"/>
      <c r="K55" s="390"/>
      <c r="L55" s="390"/>
      <c r="M55" s="390"/>
      <c r="N55" s="390"/>
      <c r="O55" s="390"/>
      <c r="P55" s="390"/>
      <c r="Q55" s="390"/>
      <c r="R55" s="390"/>
      <c r="S55" s="391"/>
    </row>
    <row r="56" spans="1:19" x14ac:dyDescent="0.2">
      <c r="A56" s="392" t="s">
        <v>381</v>
      </c>
      <c r="B56" s="357"/>
      <c r="C56" s="357"/>
      <c r="D56" s="357"/>
      <c r="E56" s="357"/>
      <c r="F56" s="357"/>
      <c r="G56" s="357"/>
      <c r="H56" s="357"/>
      <c r="I56" s="357"/>
      <c r="J56" s="357"/>
      <c r="K56" s="357"/>
      <c r="L56" s="357"/>
      <c r="M56" s="357"/>
      <c r="N56" s="357"/>
      <c r="O56" s="357"/>
      <c r="P56" s="357"/>
      <c r="Q56" s="357"/>
      <c r="R56" s="357"/>
      <c r="S56" s="393"/>
    </row>
    <row r="57" spans="1:19" x14ac:dyDescent="0.2">
      <c r="A57" s="262" t="s">
        <v>525</v>
      </c>
      <c r="B57" s="357"/>
      <c r="C57" s="357"/>
      <c r="D57" s="357"/>
      <c r="E57" s="357"/>
      <c r="F57" s="357"/>
      <c r="G57" s="357"/>
      <c r="H57" s="357"/>
      <c r="I57" s="357"/>
      <c r="J57" s="357"/>
      <c r="K57" s="357"/>
      <c r="L57" s="357"/>
      <c r="M57" s="357"/>
      <c r="N57" s="357"/>
      <c r="O57" s="357"/>
      <c r="P57" s="357"/>
      <c r="Q57" s="357"/>
      <c r="R57" s="357"/>
      <c r="S57" s="393"/>
    </row>
    <row r="58" spans="1:19" x14ac:dyDescent="0.2">
      <c r="A58" s="368"/>
      <c r="B58" s="357"/>
      <c r="C58" s="357"/>
      <c r="D58" s="357"/>
      <c r="E58" s="357"/>
      <c r="F58" s="357"/>
      <c r="G58" s="357"/>
      <c r="H58" s="357"/>
      <c r="I58" s="357"/>
      <c r="J58" s="357"/>
      <c r="K58" s="357"/>
      <c r="L58" s="357"/>
      <c r="M58" s="357"/>
      <c r="N58" s="357"/>
      <c r="O58" s="357"/>
      <c r="P58" s="357"/>
      <c r="Q58" s="357"/>
      <c r="R58" s="357"/>
      <c r="S58" s="393"/>
    </row>
    <row r="59" spans="1:19" x14ac:dyDescent="0.2">
      <c r="A59" s="368"/>
      <c r="B59" s="357"/>
      <c r="C59" s="357"/>
      <c r="D59" s="357"/>
      <c r="E59" s="357"/>
      <c r="F59" s="357"/>
      <c r="G59" s="357"/>
      <c r="H59" s="357"/>
      <c r="I59" s="357"/>
      <c r="J59" s="357"/>
      <c r="K59" s="357"/>
      <c r="L59" s="357"/>
      <c r="M59" s="357"/>
      <c r="N59" s="357"/>
      <c r="O59" s="357"/>
      <c r="P59" s="357"/>
      <c r="Q59" s="357"/>
      <c r="R59" s="357"/>
      <c r="S59" s="393"/>
    </row>
    <row r="60" spans="1:19" x14ac:dyDescent="0.2">
      <c r="A60" s="368"/>
      <c r="B60" s="357"/>
      <c r="C60" s="357"/>
      <c r="D60" s="357"/>
      <c r="E60" s="357"/>
      <c r="F60" s="357"/>
      <c r="G60" s="357"/>
      <c r="H60" s="357"/>
      <c r="I60" s="357"/>
      <c r="J60" s="357"/>
      <c r="K60" s="357"/>
      <c r="L60" s="357"/>
      <c r="M60" s="357"/>
      <c r="N60" s="357"/>
      <c r="O60" s="357"/>
      <c r="P60" s="357"/>
      <c r="Q60" s="357"/>
      <c r="R60" s="357"/>
      <c r="S60" s="393"/>
    </row>
    <row r="61" spans="1:19" x14ac:dyDescent="0.2">
      <c r="A61" s="368"/>
      <c r="B61" s="357"/>
      <c r="C61" s="357"/>
      <c r="D61" s="357"/>
      <c r="E61" s="357"/>
      <c r="F61" s="357"/>
      <c r="G61" s="357"/>
      <c r="H61" s="357"/>
      <c r="I61" s="357"/>
      <c r="J61" s="357"/>
      <c r="K61" s="357"/>
      <c r="L61" s="357"/>
      <c r="M61" s="357"/>
      <c r="N61" s="357"/>
      <c r="O61" s="357"/>
      <c r="P61" s="357"/>
      <c r="Q61" s="357"/>
      <c r="R61" s="357"/>
      <c r="S61" s="393"/>
    </row>
    <row r="62" spans="1:19" x14ac:dyDescent="0.2">
      <c r="A62" s="368"/>
      <c r="B62" s="357"/>
      <c r="C62" s="357"/>
      <c r="D62" s="357"/>
      <c r="E62" s="357"/>
      <c r="F62" s="357"/>
      <c r="G62" s="357"/>
      <c r="H62" s="357"/>
      <c r="I62" s="357"/>
      <c r="J62" s="357"/>
      <c r="K62" s="357"/>
      <c r="L62" s="357"/>
      <c r="M62" s="357"/>
      <c r="N62" s="357"/>
      <c r="O62" s="357"/>
      <c r="P62" s="357"/>
      <c r="Q62" s="357"/>
      <c r="R62" s="357"/>
      <c r="S62" s="393"/>
    </row>
    <row r="63" spans="1:19" x14ac:dyDescent="0.2">
      <c r="A63" s="368"/>
      <c r="B63" s="357"/>
      <c r="C63" s="357"/>
      <c r="D63" s="357"/>
      <c r="E63" s="357"/>
      <c r="F63" s="357"/>
      <c r="G63" s="357"/>
      <c r="H63" s="357"/>
      <c r="I63" s="357"/>
      <c r="J63" s="357"/>
      <c r="K63" s="357"/>
      <c r="L63" s="357"/>
      <c r="M63" s="357"/>
      <c r="N63" s="357"/>
      <c r="O63" s="357"/>
      <c r="P63" s="357"/>
      <c r="Q63" s="357"/>
      <c r="R63" s="357"/>
      <c r="S63" s="393"/>
    </row>
    <row r="64" spans="1:19" x14ac:dyDescent="0.2">
      <c r="A64" s="368"/>
      <c r="B64" s="357"/>
      <c r="C64" s="357"/>
      <c r="D64" s="357"/>
      <c r="E64" s="357"/>
      <c r="F64" s="357"/>
      <c r="G64" s="357"/>
      <c r="H64" s="357"/>
      <c r="I64" s="357"/>
      <c r="J64" s="357"/>
      <c r="K64" s="357"/>
      <c r="L64" s="357"/>
      <c r="M64" s="357"/>
      <c r="N64" s="357"/>
      <c r="O64" s="357"/>
      <c r="P64" s="357"/>
      <c r="Q64" s="357"/>
      <c r="R64" s="357"/>
      <c r="S64" s="393"/>
    </row>
    <row r="65" spans="1:19" x14ac:dyDescent="0.2">
      <c r="A65" s="368"/>
      <c r="B65" s="357"/>
      <c r="C65" s="357"/>
      <c r="D65" s="357"/>
      <c r="E65" s="357"/>
      <c r="F65" s="357"/>
      <c r="G65" s="357"/>
      <c r="H65" s="357"/>
      <c r="I65" s="357"/>
      <c r="J65" s="357"/>
      <c r="K65" s="357"/>
      <c r="L65" s="357"/>
      <c r="M65" s="357"/>
      <c r="N65" s="357"/>
      <c r="O65" s="357"/>
      <c r="P65" s="357"/>
      <c r="Q65" s="357"/>
      <c r="R65" s="357"/>
      <c r="S65" s="393"/>
    </row>
    <row r="66" spans="1:19" x14ac:dyDescent="0.2">
      <c r="A66" s="368"/>
      <c r="B66" s="357"/>
      <c r="C66" s="357"/>
      <c r="D66" s="357"/>
      <c r="E66" s="357"/>
      <c r="F66" s="357"/>
      <c r="G66" s="357"/>
      <c r="H66" s="357"/>
      <c r="I66" s="357"/>
      <c r="J66" s="357"/>
      <c r="K66" s="357"/>
      <c r="L66" s="357"/>
      <c r="M66" s="357"/>
      <c r="N66" s="357"/>
      <c r="O66" s="357"/>
      <c r="P66" s="357"/>
      <c r="Q66" s="357"/>
      <c r="R66" s="357"/>
      <c r="S66" s="393"/>
    </row>
    <row r="67" spans="1:19" x14ac:dyDescent="0.2">
      <c r="A67" s="368"/>
      <c r="B67" s="357"/>
      <c r="C67" s="357"/>
      <c r="D67" s="357"/>
      <c r="E67" s="357"/>
      <c r="F67" s="357"/>
      <c r="G67" s="357"/>
      <c r="H67" s="357"/>
      <c r="I67" s="357"/>
      <c r="J67" s="357"/>
      <c r="K67" s="357"/>
      <c r="L67" s="357"/>
      <c r="M67" s="357"/>
      <c r="N67" s="357"/>
      <c r="O67" s="357"/>
      <c r="P67" s="357"/>
      <c r="Q67" s="357"/>
      <c r="R67" s="357"/>
      <c r="S67" s="393"/>
    </row>
    <row r="68" spans="1:19" x14ac:dyDescent="0.2">
      <c r="A68" s="368"/>
      <c r="B68" s="357"/>
      <c r="C68" s="357"/>
      <c r="D68" s="357"/>
      <c r="E68" s="357"/>
      <c r="F68" s="357"/>
      <c r="G68" s="357"/>
      <c r="H68" s="357"/>
      <c r="I68" s="357"/>
      <c r="J68" s="357"/>
      <c r="K68" s="357"/>
      <c r="L68" s="357"/>
      <c r="M68" s="357"/>
      <c r="N68" s="357"/>
      <c r="O68" s="357"/>
      <c r="P68" s="357"/>
      <c r="Q68" s="357"/>
      <c r="R68" s="357"/>
      <c r="S68" s="393"/>
    </row>
    <row r="69" spans="1:19" x14ac:dyDescent="0.2">
      <c r="A69" s="368"/>
      <c r="B69" s="357"/>
      <c r="C69" s="357"/>
      <c r="D69" s="357"/>
      <c r="E69" s="357"/>
      <c r="F69" s="357"/>
      <c r="G69" s="357"/>
      <c r="H69" s="357"/>
      <c r="I69" s="357"/>
      <c r="J69" s="357"/>
      <c r="K69" s="357"/>
      <c r="L69" s="357"/>
      <c r="M69" s="357"/>
      <c r="N69" s="357"/>
      <c r="O69" s="357"/>
      <c r="P69" s="357"/>
      <c r="Q69" s="357"/>
      <c r="R69" s="357"/>
      <c r="S69" s="393"/>
    </row>
    <row r="70" spans="1:19" x14ac:dyDescent="0.2">
      <c r="A70" s="368"/>
      <c r="B70" s="357"/>
      <c r="C70" s="357"/>
      <c r="D70" s="357"/>
      <c r="E70" s="357"/>
      <c r="F70" s="357"/>
      <c r="G70" s="357"/>
      <c r="H70" s="357"/>
      <c r="I70" s="357"/>
      <c r="J70" s="357"/>
      <c r="K70" s="357"/>
      <c r="L70" s="357"/>
      <c r="M70" s="357"/>
      <c r="N70" s="357"/>
      <c r="O70" s="357"/>
      <c r="P70" s="357"/>
      <c r="Q70" s="357"/>
      <c r="R70" s="357"/>
      <c r="S70" s="393"/>
    </row>
    <row r="71" spans="1:19" x14ac:dyDescent="0.2">
      <c r="A71" s="368"/>
      <c r="B71" s="357"/>
      <c r="C71" s="357"/>
      <c r="D71" s="357"/>
      <c r="E71" s="357"/>
      <c r="F71" s="357"/>
      <c r="G71" s="357"/>
      <c r="H71" s="357"/>
      <c r="I71" s="357"/>
      <c r="J71" s="357"/>
      <c r="K71" s="357"/>
      <c r="L71" s="357"/>
      <c r="M71" s="357"/>
      <c r="N71" s="357"/>
      <c r="O71" s="357"/>
      <c r="P71" s="357"/>
      <c r="Q71" s="357"/>
      <c r="R71" s="357"/>
      <c r="S71" s="393"/>
    </row>
    <row r="72" spans="1:19" x14ac:dyDescent="0.2">
      <c r="A72" s="368"/>
      <c r="B72" s="357"/>
      <c r="C72" s="357"/>
      <c r="D72" s="357"/>
      <c r="E72" s="357"/>
      <c r="F72" s="357"/>
      <c r="G72" s="357"/>
      <c r="H72" s="357"/>
      <c r="I72" s="357"/>
      <c r="J72" s="357"/>
      <c r="K72" s="357"/>
      <c r="L72" s="357"/>
      <c r="M72" s="357"/>
      <c r="N72" s="357"/>
      <c r="O72" s="357"/>
      <c r="P72" s="357"/>
      <c r="Q72" s="357"/>
      <c r="R72" s="357"/>
      <c r="S72" s="393"/>
    </row>
    <row r="73" spans="1:19" x14ac:dyDescent="0.2">
      <c r="A73" s="368"/>
      <c r="B73" s="357"/>
      <c r="C73" s="357"/>
      <c r="D73" s="357"/>
      <c r="E73" s="357"/>
      <c r="F73" s="357"/>
      <c r="G73" s="357"/>
      <c r="H73" s="357"/>
      <c r="I73" s="357"/>
      <c r="J73" s="357"/>
      <c r="K73" s="357"/>
      <c r="L73" s="357"/>
      <c r="M73" s="357"/>
      <c r="N73" s="357"/>
      <c r="O73" s="357"/>
      <c r="P73" s="357"/>
      <c r="Q73" s="357"/>
      <c r="R73" s="357"/>
      <c r="S73" s="393"/>
    </row>
    <row r="74" spans="1:19" x14ac:dyDescent="0.2">
      <c r="A74" s="368"/>
      <c r="B74" s="357"/>
      <c r="C74" s="357"/>
      <c r="D74" s="357"/>
      <c r="E74" s="357"/>
      <c r="F74" s="357"/>
      <c r="G74" s="357"/>
      <c r="H74" s="357"/>
      <c r="I74" s="357"/>
      <c r="J74" s="357"/>
      <c r="K74" s="357"/>
      <c r="L74" s="357"/>
      <c r="M74" s="357"/>
      <c r="N74" s="357"/>
      <c r="O74" s="357"/>
      <c r="P74" s="357"/>
      <c r="Q74" s="357"/>
      <c r="R74" s="357"/>
      <c r="S74" s="393"/>
    </row>
    <row r="75" spans="1:19" x14ac:dyDescent="0.2">
      <c r="A75" s="368"/>
      <c r="B75" s="357"/>
      <c r="C75" s="357"/>
      <c r="D75" s="357"/>
      <c r="E75" s="357"/>
      <c r="F75" s="357"/>
      <c r="G75" s="357"/>
      <c r="H75" s="357"/>
      <c r="I75" s="357"/>
      <c r="J75" s="357"/>
      <c r="K75" s="357"/>
      <c r="L75" s="357"/>
      <c r="M75" s="357"/>
      <c r="N75" s="357"/>
      <c r="O75" s="357"/>
      <c r="P75" s="357"/>
      <c r="Q75" s="357"/>
      <c r="R75" s="357"/>
      <c r="S75" s="393"/>
    </row>
    <row r="76" spans="1:19" x14ac:dyDescent="0.2">
      <c r="A76" s="368"/>
      <c r="B76" s="357"/>
      <c r="C76" s="357"/>
      <c r="D76" s="357"/>
      <c r="E76" s="357"/>
      <c r="F76" s="357"/>
      <c r="G76" s="357"/>
      <c r="H76" s="357"/>
      <c r="I76" s="357"/>
      <c r="J76" s="357"/>
      <c r="K76" s="357"/>
      <c r="L76" s="357"/>
      <c r="M76" s="357"/>
      <c r="N76" s="357"/>
      <c r="O76" s="357"/>
      <c r="P76" s="357"/>
      <c r="Q76" s="357"/>
      <c r="R76" s="357"/>
      <c r="S76" s="393"/>
    </row>
    <row r="77" spans="1:19" x14ac:dyDescent="0.2">
      <c r="A77" s="368"/>
      <c r="B77" s="357"/>
      <c r="C77" s="357"/>
      <c r="D77" s="357"/>
      <c r="E77" s="357"/>
      <c r="F77" s="357"/>
      <c r="G77" s="357"/>
      <c r="H77" s="357"/>
      <c r="I77" s="357"/>
      <c r="J77" s="357"/>
      <c r="K77" s="357"/>
      <c r="L77" s="357"/>
      <c r="M77" s="357"/>
      <c r="N77" s="357"/>
      <c r="O77" s="357"/>
      <c r="P77" s="357"/>
      <c r="Q77" s="357"/>
      <c r="R77" s="357"/>
      <c r="S77" s="393"/>
    </row>
    <row r="78" spans="1:19" x14ac:dyDescent="0.2">
      <c r="A78" s="368"/>
      <c r="B78" s="357"/>
      <c r="C78" s="357"/>
      <c r="D78" s="357"/>
      <c r="E78" s="357"/>
      <c r="F78" s="357"/>
      <c r="G78" s="357"/>
      <c r="H78" s="357"/>
      <c r="I78" s="357"/>
      <c r="J78" s="357"/>
      <c r="K78" s="357"/>
      <c r="L78" s="357"/>
      <c r="M78" s="357"/>
      <c r="N78" s="357"/>
      <c r="O78" s="357"/>
      <c r="P78" s="357"/>
      <c r="Q78" s="357"/>
      <c r="R78" s="357"/>
      <c r="S78" s="393"/>
    </row>
    <row r="79" spans="1:19" x14ac:dyDescent="0.2">
      <c r="A79" s="368"/>
      <c r="B79" s="357"/>
      <c r="C79" s="357"/>
      <c r="D79" s="357"/>
      <c r="E79" s="357"/>
      <c r="F79" s="357"/>
      <c r="G79" s="357"/>
      <c r="H79" s="357"/>
      <c r="I79" s="357"/>
      <c r="J79" s="357"/>
      <c r="K79" s="357"/>
      <c r="L79" s="357"/>
      <c r="M79" s="357"/>
      <c r="N79" s="357"/>
      <c r="O79" s="357"/>
      <c r="P79" s="357"/>
      <c r="Q79" s="357"/>
      <c r="R79" s="357"/>
      <c r="S79" s="393"/>
    </row>
    <row r="80" spans="1:19" x14ac:dyDescent="0.2">
      <c r="A80" s="368"/>
      <c r="B80" s="357"/>
      <c r="C80" s="357"/>
      <c r="D80" s="357"/>
      <c r="E80" s="357"/>
      <c r="F80" s="357"/>
      <c r="G80" s="357"/>
      <c r="H80" s="357"/>
      <c r="I80" s="357"/>
      <c r="J80" s="357"/>
      <c r="K80" s="357"/>
      <c r="L80" s="357"/>
      <c r="M80" s="357"/>
      <c r="N80" s="357"/>
      <c r="O80" s="357"/>
      <c r="P80" s="357"/>
      <c r="Q80" s="357"/>
      <c r="R80" s="357"/>
      <c r="S80" s="393"/>
    </row>
    <row r="81" spans="1:19" x14ac:dyDescent="0.2">
      <c r="A81" s="368"/>
      <c r="B81" s="357"/>
      <c r="C81" s="357"/>
      <c r="D81" s="357"/>
      <c r="E81" s="357"/>
      <c r="F81" s="357"/>
      <c r="G81" s="357"/>
      <c r="H81" s="357"/>
      <c r="I81" s="357"/>
      <c r="J81" s="357"/>
      <c r="K81" s="357"/>
      <c r="L81" s="357"/>
      <c r="M81" s="357"/>
      <c r="N81" s="357"/>
      <c r="O81" s="357"/>
      <c r="P81" s="357"/>
      <c r="Q81" s="357"/>
      <c r="R81" s="357"/>
      <c r="S81" s="393"/>
    </row>
    <row r="82" spans="1:19" x14ac:dyDescent="0.2">
      <c r="A82" s="368"/>
      <c r="B82" s="357"/>
      <c r="C82" s="357"/>
      <c r="D82" s="357"/>
      <c r="E82" s="357"/>
      <c r="F82" s="357"/>
      <c r="G82" s="357"/>
      <c r="H82" s="357"/>
      <c r="I82" s="357"/>
      <c r="J82" s="357"/>
      <c r="K82" s="357"/>
      <c r="L82" s="357"/>
      <c r="M82" s="357"/>
      <c r="N82" s="357"/>
      <c r="O82" s="357"/>
      <c r="P82" s="357"/>
      <c r="Q82" s="357"/>
      <c r="R82" s="357"/>
      <c r="S82" s="393"/>
    </row>
    <row r="83" spans="1:19" x14ac:dyDescent="0.2">
      <c r="A83" s="368"/>
      <c r="B83" s="357"/>
      <c r="C83" s="357"/>
      <c r="D83" s="357"/>
      <c r="E83" s="357"/>
      <c r="F83" s="357"/>
      <c r="G83" s="357"/>
      <c r="H83" s="357"/>
      <c r="I83" s="357"/>
      <c r="J83" s="357"/>
      <c r="K83" s="357"/>
      <c r="L83" s="357"/>
      <c r="M83" s="357"/>
      <c r="N83" s="357"/>
      <c r="O83" s="357"/>
      <c r="P83" s="357"/>
      <c r="Q83" s="357"/>
      <c r="R83" s="357"/>
      <c r="S83" s="393"/>
    </row>
    <row r="84" spans="1:19" x14ac:dyDescent="0.2">
      <c r="A84" s="368"/>
      <c r="B84" s="357"/>
      <c r="C84" s="357"/>
      <c r="D84" s="357"/>
      <c r="E84" s="357"/>
      <c r="F84" s="357"/>
      <c r="G84" s="357"/>
      <c r="H84" s="357"/>
      <c r="I84" s="357"/>
      <c r="J84" s="357"/>
      <c r="K84" s="357"/>
      <c r="L84" s="357"/>
      <c r="M84" s="357"/>
      <c r="N84" s="357"/>
      <c r="O84" s="357"/>
      <c r="P84" s="357"/>
      <c r="Q84" s="357"/>
      <c r="R84" s="357"/>
      <c r="S84" s="393"/>
    </row>
    <row r="85" spans="1:19" x14ac:dyDescent="0.2">
      <c r="A85" s="368"/>
      <c r="B85" s="357"/>
      <c r="C85" s="357"/>
      <c r="D85" s="357"/>
      <c r="E85" s="357"/>
      <c r="F85" s="357"/>
      <c r="G85" s="357"/>
      <c r="H85" s="357"/>
      <c r="I85" s="357"/>
      <c r="J85" s="357"/>
      <c r="K85" s="357"/>
      <c r="L85" s="357"/>
      <c r="M85" s="357"/>
      <c r="N85" s="357"/>
      <c r="O85" s="357"/>
      <c r="P85" s="357"/>
      <c r="Q85" s="357"/>
      <c r="R85" s="357"/>
      <c r="S85" s="393"/>
    </row>
    <row r="86" spans="1:19" x14ac:dyDescent="0.2">
      <c r="A86" s="368"/>
      <c r="B86" s="357"/>
      <c r="C86" s="357"/>
      <c r="D86" s="357"/>
      <c r="E86" s="357"/>
      <c r="F86" s="357"/>
      <c r="G86" s="357"/>
      <c r="H86" s="357"/>
      <c r="I86" s="357"/>
      <c r="J86" s="357"/>
      <c r="K86" s="357"/>
      <c r="L86" s="357"/>
      <c r="M86" s="357"/>
      <c r="N86" s="357"/>
      <c r="O86" s="357"/>
      <c r="P86" s="357"/>
      <c r="Q86" s="357"/>
      <c r="R86" s="357"/>
      <c r="S86" s="393"/>
    </row>
    <row r="87" spans="1:19" x14ac:dyDescent="0.2">
      <c r="A87" s="368"/>
      <c r="B87" s="357"/>
      <c r="C87" s="357"/>
      <c r="D87" s="357"/>
      <c r="E87" s="357"/>
      <c r="F87" s="357"/>
      <c r="G87" s="357"/>
      <c r="H87" s="357"/>
      <c r="I87" s="357"/>
      <c r="J87" s="357"/>
      <c r="K87" s="357"/>
      <c r="L87" s="357"/>
      <c r="M87" s="357"/>
      <c r="N87" s="357"/>
      <c r="O87" s="357"/>
      <c r="P87" s="357"/>
      <c r="Q87" s="357"/>
      <c r="R87" s="357"/>
      <c r="S87" s="393"/>
    </row>
    <row r="88" spans="1:19" x14ac:dyDescent="0.2">
      <c r="A88" s="368"/>
      <c r="B88" s="357"/>
      <c r="C88" s="357"/>
      <c r="D88" s="357"/>
      <c r="E88" s="357"/>
      <c r="F88" s="357"/>
      <c r="G88" s="357"/>
      <c r="H88" s="357"/>
      <c r="I88" s="357"/>
      <c r="J88" s="357"/>
      <c r="K88" s="357"/>
      <c r="L88" s="357"/>
      <c r="M88" s="357"/>
      <c r="N88" s="357"/>
      <c r="O88" s="357"/>
      <c r="P88" s="357"/>
      <c r="Q88" s="357"/>
      <c r="R88" s="357"/>
      <c r="S88" s="393"/>
    </row>
    <row r="89" spans="1:19" x14ac:dyDescent="0.2">
      <c r="A89" s="368"/>
      <c r="B89" s="357"/>
      <c r="C89" s="357"/>
      <c r="D89" s="357"/>
      <c r="E89" s="357"/>
      <c r="F89" s="357"/>
      <c r="G89" s="357"/>
      <c r="H89" s="357"/>
      <c r="I89" s="357"/>
      <c r="J89" s="357"/>
      <c r="K89" s="357"/>
      <c r="L89" s="357"/>
      <c r="M89" s="357"/>
      <c r="N89" s="357"/>
      <c r="O89" s="357"/>
      <c r="P89" s="357"/>
      <c r="Q89" s="357"/>
      <c r="R89" s="357"/>
      <c r="S89" s="393"/>
    </row>
    <row r="90" spans="1:19" x14ac:dyDescent="0.2">
      <c r="A90" s="368"/>
      <c r="B90" s="357"/>
      <c r="C90" s="357"/>
      <c r="D90" s="357"/>
      <c r="E90" s="357"/>
      <c r="F90" s="357"/>
      <c r="G90" s="357"/>
      <c r="H90" s="357"/>
      <c r="I90" s="357"/>
      <c r="J90" s="357"/>
      <c r="K90" s="357"/>
      <c r="L90" s="357"/>
      <c r="M90" s="357"/>
      <c r="N90" s="357"/>
      <c r="O90" s="357"/>
      <c r="P90" s="357"/>
      <c r="Q90" s="357"/>
      <c r="R90" s="357"/>
      <c r="S90" s="393"/>
    </row>
    <row r="91" spans="1:19" x14ac:dyDescent="0.2">
      <c r="A91" s="368"/>
      <c r="B91" s="357"/>
      <c r="C91" s="357"/>
      <c r="D91" s="357"/>
      <c r="E91" s="357"/>
      <c r="F91" s="357"/>
      <c r="G91" s="357"/>
      <c r="H91" s="357"/>
      <c r="I91" s="357"/>
      <c r="J91" s="357"/>
      <c r="K91" s="357"/>
      <c r="L91" s="357"/>
      <c r="M91" s="357"/>
      <c r="N91" s="357"/>
      <c r="O91" s="357"/>
      <c r="P91" s="357"/>
      <c r="Q91" s="357"/>
      <c r="R91" s="357"/>
      <c r="S91" s="393"/>
    </row>
    <row r="92" spans="1:19" x14ac:dyDescent="0.2">
      <c r="A92" s="368"/>
      <c r="B92" s="357"/>
      <c r="C92" s="357"/>
      <c r="D92" s="357"/>
      <c r="E92" s="357"/>
      <c r="F92" s="357"/>
      <c r="G92" s="357"/>
      <c r="H92" s="357"/>
      <c r="I92" s="357"/>
      <c r="J92" s="357"/>
      <c r="K92" s="357"/>
      <c r="L92" s="357"/>
      <c r="M92" s="357"/>
      <c r="N92" s="357"/>
      <c r="O92" s="357"/>
      <c r="P92" s="357"/>
      <c r="Q92" s="357"/>
      <c r="R92" s="357"/>
      <c r="S92" s="393"/>
    </row>
    <row r="93" spans="1:19" x14ac:dyDescent="0.2">
      <c r="A93" s="368"/>
      <c r="B93" s="357"/>
      <c r="C93" s="357"/>
      <c r="D93" s="357"/>
      <c r="E93" s="357"/>
      <c r="F93" s="357"/>
      <c r="G93" s="357"/>
      <c r="H93" s="357"/>
      <c r="I93" s="357"/>
      <c r="J93" s="357"/>
      <c r="K93" s="357"/>
      <c r="L93" s="357"/>
      <c r="M93" s="357"/>
      <c r="N93" s="357"/>
      <c r="O93" s="357"/>
      <c r="P93" s="357"/>
      <c r="Q93" s="357"/>
      <c r="R93" s="357"/>
      <c r="S93" s="393"/>
    </row>
    <row r="94" spans="1:19" x14ac:dyDescent="0.2">
      <c r="A94" s="368"/>
      <c r="B94" s="357"/>
      <c r="C94" s="357"/>
      <c r="D94" s="357"/>
      <c r="E94" s="357"/>
      <c r="F94" s="357"/>
      <c r="G94" s="357"/>
      <c r="H94" s="357"/>
      <c r="I94" s="357"/>
      <c r="J94" s="357"/>
      <c r="K94" s="357"/>
      <c r="L94" s="357"/>
      <c r="M94" s="357"/>
      <c r="N94" s="357"/>
      <c r="O94" s="357"/>
      <c r="P94" s="357"/>
      <c r="Q94" s="357"/>
      <c r="R94" s="357"/>
      <c r="S94" s="393"/>
    </row>
    <row r="95" spans="1:19" x14ac:dyDescent="0.2">
      <c r="A95" s="368"/>
      <c r="B95" s="357"/>
      <c r="C95" s="357"/>
      <c r="D95" s="357"/>
      <c r="E95" s="357"/>
      <c r="F95" s="357"/>
      <c r="G95" s="357"/>
      <c r="H95" s="357"/>
      <c r="I95" s="357"/>
      <c r="J95" s="357"/>
      <c r="K95" s="357"/>
      <c r="L95" s="357"/>
      <c r="M95" s="357"/>
      <c r="N95" s="357"/>
      <c r="O95" s="357"/>
      <c r="P95" s="357"/>
      <c r="Q95" s="357"/>
      <c r="R95" s="357"/>
      <c r="S95" s="393"/>
    </row>
    <row r="96" spans="1:19" x14ac:dyDescent="0.2">
      <c r="A96" s="368"/>
      <c r="B96" s="357"/>
      <c r="C96" s="357"/>
      <c r="D96" s="357"/>
      <c r="E96" s="357"/>
      <c r="F96" s="357"/>
      <c r="G96" s="357"/>
      <c r="H96" s="357"/>
      <c r="I96" s="357"/>
      <c r="J96" s="357"/>
      <c r="K96" s="357"/>
      <c r="L96" s="357"/>
      <c r="M96" s="357"/>
      <c r="N96" s="357"/>
      <c r="O96" s="357"/>
      <c r="P96" s="357"/>
      <c r="Q96" s="357"/>
      <c r="R96" s="357"/>
      <c r="S96" s="393"/>
    </row>
    <row r="97" spans="1:19" x14ac:dyDescent="0.2">
      <c r="A97" s="368"/>
      <c r="B97" s="357"/>
      <c r="C97" s="357"/>
      <c r="D97" s="357"/>
      <c r="E97" s="357"/>
      <c r="F97" s="357"/>
      <c r="G97" s="357"/>
      <c r="H97" s="357"/>
      <c r="I97" s="357"/>
      <c r="J97" s="357"/>
      <c r="K97" s="357"/>
      <c r="L97" s="357"/>
      <c r="M97" s="357"/>
      <c r="N97" s="357"/>
      <c r="O97" s="357"/>
      <c r="P97" s="357"/>
      <c r="Q97" s="357"/>
      <c r="R97" s="357"/>
      <c r="S97" s="393"/>
    </row>
    <row r="98" spans="1:19" x14ac:dyDescent="0.2">
      <c r="A98" s="368"/>
      <c r="B98" s="357"/>
      <c r="C98" s="357"/>
      <c r="D98" s="357"/>
      <c r="E98" s="357"/>
      <c r="F98" s="357"/>
      <c r="G98" s="357"/>
      <c r="H98" s="357"/>
      <c r="I98" s="357"/>
      <c r="J98" s="357"/>
      <c r="K98" s="357"/>
      <c r="L98" s="357"/>
      <c r="M98" s="357"/>
      <c r="N98" s="357"/>
      <c r="O98" s="357"/>
      <c r="P98" s="357"/>
      <c r="Q98" s="357"/>
      <c r="R98" s="357"/>
      <c r="S98" s="393"/>
    </row>
    <row r="99" spans="1:19" x14ac:dyDescent="0.2">
      <c r="A99" s="368"/>
      <c r="B99" s="357"/>
      <c r="C99" s="357"/>
      <c r="D99" s="357"/>
      <c r="E99" s="357"/>
      <c r="F99" s="357"/>
      <c r="G99" s="357"/>
      <c r="H99" s="357"/>
      <c r="I99" s="357"/>
      <c r="J99" s="357"/>
      <c r="K99" s="357"/>
      <c r="L99" s="357"/>
      <c r="M99" s="357"/>
      <c r="N99" s="357"/>
      <c r="O99" s="357"/>
      <c r="P99" s="357"/>
      <c r="Q99" s="357"/>
      <c r="R99" s="357"/>
      <c r="S99" s="393"/>
    </row>
    <row r="100" spans="1:19" x14ac:dyDescent="0.2">
      <c r="A100" s="368"/>
      <c r="B100" s="357"/>
      <c r="C100" s="357"/>
      <c r="D100" s="357"/>
      <c r="E100" s="357"/>
      <c r="F100" s="357"/>
      <c r="G100" s="357"/>
      <c r="H100" s="357"/>
      <c r="I100" s="357"/>
      <c r="J100" s="357"/>
      <c r="K100" s="357"/>
      <c r="L100" s="357"/>
      <c r="M100" s="357"/>
      <c r="N100" s="357"/>
      <c r="O100" s="357"/>
      <c r="P100" s="357"/>
      <c r="Q100" s="357"/>
      <c r="R100" s="357"/>
      <c r="S100" s="393"/>
    </row>
    <row r="101" spans="1:19" x14ac:dyDescent="0.2">
      <c r="A101" s="368"/>
      <c r="B101" s="357"/>
      <c r="C101" s="357"/>
      <c r="D101" s="357"/>
      <c r="E101" s="357"/>
      <c r="F101" s="357"/>
      <c r="G101" s="357"/>
      <c r="H101" s="357"/>
      <c r="I101" s="357"/>
      <c r="J101" s="357"/>
      <c r="K101" s="357"/>
      <c r="L101" s="357"/>
      <c r="M101" s="357"/>
      <c r="N101" s="357"/>
      <c r="O101" s="357"/>
      <c r="P101" s="357"/>
      <c r="Q101" s="357"/>
      <c r="R101" s="357"/>
      <c r="S101" s="393"/>
    </row>
    <row r="102" spans="1:19" x14ac:dyDescent="0.2">
      <c r="A102" s="368"/>
      <c r="B102" s="357"/>
      <c r="C102" s="357"/>
      <c r="D102" s="357"/>
      <c r="E102" s="357"/>
      <c r="F102" s="357"/>
      <c r="G102" s="357"/>
      <c r="H102" s="357"/>
      <c r="I102" s="357"/>
      <c r="J102" s="357"/>
      <c r="K102" s="357"/>
      <c r="L102" s="357"/>
      <c r="M102" s="357"/>
      <c r="N102" s="357"/>
      <c r="O102" s="357"/>
      <c r="P102" s="357"/>
      <c r="Q102" s="357"/>
      <c r="R102" s="357"/>
      <c r="S102" s="393"/>
    </row>
    <row r="103" spans="1:19" x14ac:dyDescent="0.2">
      <c r="A103" s="368"/>
      <c r="B103" s="357"/>
      <c r="C103" s="357"/>
      <c r="D103" s="357"/>
      <c r="E103" s="357"/>
      <c r="F103" s="357"/>
      <c r="G103" s="357"/>
      <c r="H103" s="357"/>
      <c r="I103" s="357"/>
      <c r="J103" s="357"/>
      <c r="K103" s="357"/>
      <c r="L103" s="357"/>
      <c r="M103" s="357"/>
      <c r="N103" s="357"/>
      <c r="O103" s="357"/>
      <c r="P103" s="357"/>
      <c r="Q103" s="357"/>
      <c r="R103" s="357"/>
      <c r="S103" s="393"/>
    </row>
    <row r="104" spans="1:19" x14ac:dyDescent="0.2">
      <c r="A104" s="368"/>
      <c r="B104" s="357"/>
      <c r="C104" s="357"/>
      <c r="D104" s="357"/>
      <c r="E104" s="357"/>
      <c r="F104" s="357"/>
      <c r="G104" s="357"/>
      <c r="H104" s="357"/>
      <c r="I104" s="357"/>
      <c r="J104" s="357"/>
      <c r="K104" s="357"/>
      <c r="L104" s="357"/>
      <c r="M104" s="357"/>
      <c r="N104" s="357"/>
      <c r="O104" s="357"/>
      <c r="P104" s="357"/>
      <c r="Q104" s="357"/>
      <c r="R104" s="357"/>
      <c r="S104" s="393"/>
    </row>
    <row r="105" spans="1:19" x14ac:dyDescent="0.2">
      <c r="A105" s="368"/>
      <c r="B105" s="357"/>
      <c r="C105" s="357"/>
      <c r="D105" s="357"/>
      <c r="E105" s="357"/>
      <c r="F105" s="357"/>
      <c r="G105" s="357"/>
      <c r="H105" s="357"/>
      <c r="I105" s="357"/>
      <c r="J105" s="357"/>
      <c r="K105" s="357"/>
      <c r="L105" s="357"/>
      <c r="M105" s="357"/>
      <c r="N105" s="357"/>
      <c r="O105" s="357"/>
      <c r="P105" s="357"/>
      <c r="Q105" s="357"/>
      <c r="R105" s="357"/>
      <c r="S105" s="393"/>
    </row>
    <row r="106" spans="1:19" x14ac:dyDescent="0.2">
      <c r="A106" s="368"/>
      <c r="B106" s="357"/>
      <c r="C106" s="357"/>
      <c r="D106" s="357"/>
      <c r="E106" s="357"/>
      <c r="F106" s="357"/>
      <c r="G106" s="357"/>
      <c r="H106" s="357"/>
      <c r="I106" s="357"/>
      <c r="J106" s="357"/>
      <c r="K106" s="357"/>
      <c r="L106" s="357"/>
      <c r="M106" s="357"/>
      <c r="N106" s="357"/>
      <c r="O106" s="357"/>
      <c r="P106" s="357"/>
      <c r="Q106" s="357"/>
      <c r="R106" s="357"/>
      <c r="S106" s="393"/>
    </row>
    <row r="107" spans="1:19" x14ac:dyDescent="0.2">
      <c r="A107" s="368"/>
      <c r="B107" s="357"/>
      <c r="C107" s="357"/>
      <c r="D107" s="357"/>
      <c r="E107" s="357"/>
      <c r="F107" s="357"/>
      <c r="G107" s="357"/>
      <c r="H107" s="357"/>
      <c r="I107" s="357"/>
      <c r="J107" s="357"/>
      <c r="K107" s="357"/>
      <c r="L107" s="357"/>
      <c r="M107" s="357"/>
      <c r="N107" s="357"/>
      <c r="O107" s="357"/>
      <c r="P107" s="357"/>
      <c r="Q107" s="357"/>
      <c r="R107" s="357"/>
      <c r="S107" s="393"/>
    </row>
    <row r="108" spans="1:19" x14ac:dyDescent="0.2">
      <c r="A108" s="368"/>
      <c r="B108" s="357"/>
      <c r="C108" s="357"/>
      <c r="D108" s="357"/>
      <c r="E108" s="357"/>
      <c r="F108" s="357"/>
      <c r="G108" s="357"/>
      <c r="H108" s="357"/>
      <c r="I108" s="357"/>
      <c r="J108" s="357"/>
      <c r="K108" s="357"/>
      <c r="L108" s="357"/>
      <c r="M108" s="357"/>
      <c r="N108" s="357"/>
      <c r="O108" s="357"/>
      <c r="P108" s="357"/>
      <c r="Q108" s="357"/>
      <c r="R108" s="357"/>
      <c r="S108" s="393"/>
    </row>
    <row r="109" spans="1:19" x14ac:dyDescent="0.2">
      <c r="A109" s="368"/>
      <c r="B109" s="357"/>
      <c r="C109" s="357"/>
      <c r="D109" s="357"/>
      <c r="E109" s="357"/>
      <c r="F109" s="357"/>
      <c r="G109" s="357"/>
      <c r="H109" s="357"/>
      <c r="I109" s="357"/>
      <c r="J109" s="357"/>
      <c r="K109" s="357"/>
      <c r="L109" s="357"/>
      <c r="M109" s="357"/>
      <c r="N109" s="357"/>
      <c r="O109" s="357"/>
      <c r="P109" s="357"/>
      <c r="Q109" s="357"/>
      <c r="R109" s="357"/>
      <c r="S109" s="393"/>
    </row>
    <row r="110" spans="1:19" x14ac:dyDescent="0.2">
      <c r="A110" s="368"/>
      <c r="B110" s="357"/>
      <c r="C110" s="357"/>
      <c r="D110" s="357"/>
      <c r="E110" s="357"/>
      <c r="F110" s="357"/>
      <c r="G110" s="357"/>
      <c r="H110" s="357"/>
      <c r="I110" s="357"/>
      <c r="J110" s="357"/>
      <c r="K110" s="357"/>
      <c r="L110" s="357"/>
      <c r="M110" s="357"/>
      <c r="N110" s="357"/>
      <c r="O110" s="357"/>
      <c r="P110" s="357"/>
      <c r="Q110" s="357"/>
      <c r="R110" s="357"/>
      <c r="S110" s="393"/>
    </row>
    <row r="111" spans="1:19" x14ac:dyDescent="0.2">
      <c r="A111" s="368"/>
      <c r="B111" s="357"/>
      <c r="C111" s="357"/>
      <c r="D111" s="357"/>
      <c r="E111" s="357"/>
      <c r="F111" s="357"/>
      <c r="G111" s="357"/>
      <c r="H111" s="357"/>
      <c r="I111" s="357"/>
      <c r="J111" s="357"/>
      <c r="K111" s="357"/>
      <c r="L111" s="357"/>
      <c r="M111" s="357"/>
      <c r="N111" s="357"/>
      <c r="O111" s="357"/>
      <c r="P111" s="357"/>
      <c r="Q111" s="357"/>
      <c r="R111" s="357"/>
      <c r="S111" s="393"/>
    </row>
    <row r="112" spans="1:19" x14ac:dyDescent="0.2">
      <c r="A112" s="368"/>
      <c r="B112" s="357"/>
      <c r="C112" s="357"/>
      <c r="D112" s="357"/>
      <c r="E112" s="357"/>
      <c r="F112" s="357"/>
      <c r="G112" s="357"/>
      <c r="H112" s="357"/>
      <c r="I112" s="357"/>
      <c r="J112" s="357"/>
      <c r="K112" s="357"/>
      <c r="L112" s="357"/>
      <c r="M112" s="357"/>
      <c r="N112" s="357"/>
      <c r="O112" s="357"/>
      <c r="P112" s="357"/>
      <c r="Q112" s="357"/>
      <c r="R112" s="357"/>
      <c r="S112" s="393"/>
    </row>
    <row r="113" spans="1:19" x14ac:dyDescent="0.2">
      <c r="A113" s="368"/>
      <c r="B113" s="357"/>
      <c r="C113" s="357"/>
      <c r="D113" s="357"/>
      <c r="E113" s="357"/>
      <c r="F113" s="357"/>
      <c r="G113" s="357"/>
      <c r="H113" s="357"/>
      <c r="I113" s="357"/>
      <c r="J113" s="357"/>
      <c r="K113" s="357"/>
      <c r="L113" s="357"/>
      <c r="M113" s="357"/>
      <c r="N113" s="357"/>
      <c r="O113" s="357"/>
      <c r="P113" s="357"/>
      <c r="Q113" s="357"/>
      <c r="R113" s="357"/>
      <c r="S113" s="393"/>
    </row>
    <row r="114" spans="1:19" x14ac:dyDescent="0.2">
      <c r="A114" s="368"/>
      <c r="B114" s="357"/>
      <c r="C114" s="357"/>
      <c r="D114" s="357"/>
      <c r="E114" s="357"/>
      <c r="F114" s="357"/>
      <c r="G114" s="357"/>
      <c r="H114" s="357"/>
      <c r="I114" s="357"/>
      <c r="J114" s="357"/>
      <c r="K114" s="357"/>
      <c r="L114" s="357"/>
      <c r="M114" s="357"/>
      <c r="N114" s="357"/>
      <c r="O114" s="357"/>
      <c r="P114" s="357"/>
      <c r="Q114" s="357"/>
      <c r="R114" s="357"/>
      <c r="S114" s="393"/>
    </row>
    <row r="115" spans="1:19" x14ac:dyDescent="0.2">
      <c r="A115" s="368"/>
      <c r="B115" s="357"/>
      <c r="C115" s="357"/>
      <c r="D115" s="357"/>
      <c r="E115" s="357"/>
      <c r="F115" s="357"/>
      <c r="G115" s="357"/>
      <c r="H115" s="357"/>
      <c r="I115" s="357"/>
      <c r="J115" s="357"/>
      <c r="K115" s="357"/>
      <c r="L115" s="357"/>
      <c r="M115" s="357"/>
      <c r="N115" s="357"/>
      <c r="O115" s="357"/>
      <c r="P115" s="357"/>
      <c r="Q115" s="357"/>
      <c r="R115" s="357"/>
      <c r="S115" s="393"/>
    </row>
    <row r="116" spans="1:19" x14ac:dyDescent="0.2">
      <c r="A116" s="368"/>
      <c r="B116" s="357"/>
      <c r="C116" s="357"/>
      <c r="D116" s="357"/>
      <c r="E116" s="357"/>
      <c r="F116" s="357"/>
      <c r="G116" s="357"/>
      <c r="H116" s="357"/>
      <c r="I116" s="357"/>
      <c r="J116" s="357"/>
      <c r="K116" s="357"/>
      <c r="L116" s="357"/>
      <c r="M116" s="357"/>
      <c r="N116" s="357"/>
      <c r="O116" s="357"/>
      <c r="P116" s="357"/>
      <c r="Q116" s="357"/>
      <c r="R116" s="357"/>
      <c r="S116" s="393"/>
    </row>
    <row r="117" spans="1:19" x14ac:dyDescent="0.2">
      <c r="A117" s="368"/>
      <c r="B117" s="357"/>
      <c r="C117" s="357"/>
      <c r="D117" s="357"/>
      <c r="E117" s="357"/>
      <c r="F117" s="357"/>
      <c r="G117" s="357"/>
      <c r="H117" s="357"/>
      <c r="I117" s="357"/>
      <c r="J117" s="357"/>
      <c r="K117" s="357"/>
      <c r="L117" s="357"/>
      <c r="M117" s="357"/>
      <c r="N117" s="357"/>
      <c r="O117" s="357"/>
      <c r="P117" s="357"/>
      <c r="Q117" s="357"/>
      <c r="R117" s="357"/>
      <c r="S117" s="393"/>
    </row>
    <row r="118" spans="1:19" x14ac:dyDescent="0.2">
      <c r="A118" s="368"/>
      <c r="B118" s="357"/>
      <c r="C118" s="357"/>
      <c r="D118" s="357"/>
      <c r="E118" s="357"/>
      <c r="F118" s="357"/>
      <c r="G118" s="357"/>
      <c r="H118" s="357"/>
      <c r="I118" s="357"/>
      <c r="J118" s="357"/>
      <c r="K118" s="357"/>
      <c r="L118" s="357"/>
      <c r="M118" s="357"/>
      <c r="N118" s="357"/>
      <c r="O118" s="357"/>
      <c r="P118" s="357"/>
      <c r="Q118" s="357"/>
      <c r="R118" s="357"/>
      <c r="S118" s="393"/>
    </row>
    <row r="119" spans="1:19" x14ac:dyDescent="0.2">
      <c r="A119" s="368"/>
      <c r="B119" s="357"/>
      <c r="C119" s="357"/>
      <c r="D119" s="357"/>
      <c r="E119" s="357"/>
      <c r="F119" s="357"/>
      <c r="G119" s="357"/>
      <c r="H119" s="357"/>
      <c r="I119" s="357"/>
      <c r="J119" s="357"/>
      <c r="K119" s="357"/>
      <c r="L119" s="357"/>
      <c r="M119" s="357"/>
      <c r="N119" s="357"/>
      <c r="O119" s="357"/>
      <c r="P119" s="357"/>
      <c r="Q119" s="357"/>
      <c r="R119" s="357"/>
      <c r="S119" s="393"/>
    </row>
    <row r="120" spans="1:19" x14ac:dyDescent="0.2">
      <c r="A120" s="368"/>
      <c r="B120" s="357"/>
      <c r="C120" s="357"/>
      <c r="D120" s="357"/>
      <c r="E120" s="357"/>
      <c r="F120" s="357"/>
      <c r="G120" s="357"/>
      <c r="H120" s="357"/>
      <c r="I120" s="357"/>
      <c r="J120" s="357"/>
      <c r="K120" s="357"/>
      <c r="L120" s="357"/>
      <c r="M120" s="357"/>
      <c r="N120" s="357"/>
      <c r="O120" s="357"/>
      <c r="P120" s="357"/>
      <c r="Q120" s="357"/>
      <c r="R120" s="357"/>
      <c r="S120" s="393"/>
    </row>
    <row r="121" spans="1:19" x14ac:dyDescent="0.2">
      <c r="A121" s="368"/>
      <c r="B121" s="357"/>
      <c r="C121" s="357"/>
      <c r="D121" s="357"/>
      <c r="E121" s="357"/>
      <c r="F121" s="357"/>
      <c r="G121" s="357"/>
      <c r="H121" s="357"/>
      <c r="I121" s="357"/>
      <c r="J121" s="357"/>
      <c r="K121" s="357"/>
      <c r="L121" s="357"/>
      <c r="M121" s="357"/>
      <c r="N121" s="357"/>
      <c r="O121" s="357"/>
      <c r="P121" s="357"/>
      <c r="Q121" s="357"/>
      <c r="R121" s="357"/>
      <c r="S121" s="393"/>
    </row>
    <row r="122" spans="1:19" x14ac:dyDescent="0.2">
      <c r="A122" s="368"/>
      <c r="B122" s="357"/>
      <c r="C122" s="357"/>
      <c r="D122" s="357"/>
      <c r="E122" s="357"/>
      <c r="F122" s="357"/>
      <c r="G122" s="357"/>
      <c r="H122" s="357"/>
      <c r="I122" s="357"/>
      <c r="J122" s="357"/>
      <c r="K122" s="357"/>
      <c r="L122" s="357"/>
      <c r="M122" s="357"/>
      <c r="N122" s="357"/>
      <c r="O122" s="357"/>
      <c r="P122" s="357"/>
      <c r="Q122" s="357"/>
      <c r="R122" s="357"/>
      <c r="S122" s="393"/>
    </row>
    <row r="123" spans="1:19" x14ac:dyDescent="0.2">
      <c r="A123" s="368"/>
      <c r="B123" s="357"/>
      <c r="C123" s="357"/>
      <c r="D123" s="357"/>
      <c r="E123" s="357"/>
      <c r="F123" s="357"/>
      <c r="G123" s="357"/>
      <c r="H123" s="357"/>
      <c r="I123" s="357"/>
      <c r="J123" s="357"/>
      <c r="K123" s="357"/>
      <c r="L123" s="357"/>
      <c r="M123" s="357"/>
      <c r="N123" s="357"/>
      <c r="O123" s="357"/>
      <c r="P123" s="357"/>
      <c r="Q123" s="357"/>
      <c r="R123" s="357"/>
      <c r="S123" s="393"/>
    </row>
    <row r="124" spans="1:19" x14ac:dyDescent="0.2">
      <c r="A124" s="368"/>
      <c r="B124" s="357"/>
      <c r="C124" s="357"/>
      <c r="D124" s="357"/>
      <c r="E124" s="357"/>
      <c r="F124" s="357"/>
      <c r="G124" s="357"/>
      <c r="H124" s="357"/>
      <c r="I124" s="357"/>
      <c r="J124" s="357"/>
      <c r="K124" s="357"/>
      <c r="L124" s="357"/>
      <c r="M124" s="357"/>
      <c r="N124" s="357"/>
      <c r="O124" s="357"/>
      <c r="P124" s="357"/>
      <c r="Q124" s="357"/>
      <c r="R124" s="357"/>
      <c r="S124" s="393"/>
    </row>
    <row r="125" spans="1:19" x14ac:dyDescent="0.2">
      <c r="A125" s="368"/>
      <c r="B125" s="357"/>
      <c r="C125" s="357"/>
      <c r="D125" s="357"/>
      <c r="E125" s="357"/>
      <c r="F125" s="357"/>
      <c r="G125" s="357"/>
      <c r="H125" s="357"/>
      <c r="I125" s="357"/>
      <c r="J125" s="357"/>
      <c r="K125" s="357"/>
      <c r="L125" s="357"/>
      <c r="M125" s="357"/>
      <c r="N125" s="357"/>
      <c r="O125" s="357"/>
      <c r="P125" s="357"/>
      <c r="Q125" s="357"/>
      <c r="R125" s="357"/>
      <c r="S125" s="393"/>
    </row>
    <row r="126" spans="1:19" x14ac:dyDescent="0.2">
      <c r="A126" s="368"/>
      <c r="B126" s="357"/>
      <c r="C126" s="357"/>
      <c r="D126" s="357"/>
      <c r="E126" s="357"/>
      <c r="F126" s="357"/>
      <c r="G126" s="357"/>
      <c r="H126" s="357"/>
      <c r="I126" s="357"/>
      <c r="J126" s="357"/>
      <c r="K126" s="357"/>
      <c r="L126" s="357"/>
      <c r="M126" s="357"/>
      <c r="N126" s="357"/>
      <c r="O126" s="357"/>
      <c r="P126" s="357"/>
      <c r="Q126" s="357"/>
      <c r="R126" s="357"/>
      <c r="S126" s="393"/>
    </row>
    <row r="127" spans="1:19" x14ac:dyDescent="0.2">
      <c r="A127" s="368"/>
      <c r="B127" s="357"/>
      <c r="C127" s="357"/>
      <c r="D127" s="357"/>
      <c r="E127" s="357"/>
      <c r="F127" s="357"/>
      <c r="G127" s="357"/>
      <c r="H127" s="357"/>
      <c r="I127" s="357"/>
      <c r="J127" s="357"/>
      <c r="K127" s="357"/>
      <c r="L127" s="357"/>
      <c r="M127" s="357"/>
      <c r="N127" s="357"/>
      <c r="O127" s="357"/>
      <c r="P127" s="357"/>
      <c r="Q127" s="357"/>
      <c r="R127" s="357"/>
      <c r="S127" s="393"/>
    </row>
    <row r="128" spans="1:19" x14ac:dyDescent="0.2">
      <c r="A128" s="368"/>
      <c r="B128" s="357"/>
      <c r="C128" s="357"/>
      <c r="D128" s="357"/>
      <c r="E128" s="357"/>
      <c r="F128" s="357"/>
      <c r="G128" s="357"/>
      <c r="H128" s="357"/>
      <c r="I128" s="357"/>
      <c r="J128" s="357"/>
      <c r="K128" s="357"/>
      <c r="L128" s="357"/>
      <c r="M128" s="357"/>
      <c r="N128" s="357"/>
      <c r="O128" s="357"/>
      <c r="P128" s="357"/>
      <c r="Q128" s="357"/>
      <c r="R128" s="357"/>
      <c r="S128" s="393"/>
    </row>
    <row r="129" spans="1:19" x14ac:dyDescent="0.2">
      <c r="A129" s="368"/>
      <c r="B129" s="357"/>
      <c r="C129" s="357"/>
      <c r="D129" s="357"/>
      <c r="E129" s="357"/>
      <c r="F129" s="357"/>
      <c r="G129" s="357"/>
      <c r="H129" s="357"/>
      <c r="I129" s="357"/>
      <c r="J129" s="357"/>
      <c r="K129" s="357"/>
      <c r="L129" s="357"/>
      <c r="M129" s="357"/>
      <c r="N129" s="357"/>
      <c r="O129" s="357"/>
      <c r="P129" s="357"/>
      <c r="Q129" s="357"/>
      <c r="R129" s="357"/>
      <c r="S129" s="393"/>
    </row>
    <row r="130" spans="1:19" x14ac:dyDescent="0.2">
      <c r="A130" s="368"/>
      <c r="B130" s="357"/>
      <c r="C130" s="357"/>
      <c r="D130" s="357"/>
      <c r="E130" s="357"/>
      <c r="F130" s="357"/>
      <c r="G130" s="357"/>
      <c r="H130" s="357"/>
      <c r="I130" s="357"/>
      <c r="J130" s="357"/>
      <c r="K130" s="357"/>
      <c r="L130" s="357"/>
      <c r="M130" s="357"/>
      <c r="N130" s="357"/>
      <c r="O130" s="357"/>
      <c r="P130" s="357"/>
      <c r="Q130" s="357"/>
      <c r="R130" s="357"/>
      <c r="S130" s="393"/>
    </row>
    <row r="131" spans="1:19" x14ac:dyDescent="0.2">
      <c r="A131" s="368"/>
      <c r="B131" s="357"/>
      <c r="C131" s="357"/>
      <c r="D131" s="357"/>
      <c r="E131" s="357"/>
      <c r="F131" s="357"/>
      <c r="G131" s="357"/>
      <c r="H131" s="357"/>
      <c r="I131" s="357"/>
      <c r="J131" s="357"/>
      <c r="K131" s="357"/>
      <c r="L131" s="357"/>
      <c r="M131" s="357"/>
      <c r="N131" s="357"/>
      <c r="O131" s="357"/>
      <c r="P131" s="357"/>
      <c r="Q131" s="357"/>
      <c r="R131" s="357"/>
      <c r="S131" s="393"/>
    </row>
    <row r="132" spans="1:19" x14ac:dyDescent="0.2">
      <c r="A132" s="368"/>
      <c r="B132" s="357"/>
      <c r="C132" s="357"/>
      <c r="D132" s="357"/>
      <c r="E132" s="357"/>
      <c r="F132" s="357"/>
      <c r="G132" s="357"/>
      <c r="H132" s="357"/>
      <c r="I132" s="357"/>
      <c r="J132" s="357"/>
      <c r="K132" s="357"/>
      <c r="L132" s="357"/>
      <c r="M132" s="357"/>
      <c r="N132" s="357"/>
      <c r="O132" s="357"/>
      <c r="P132" s="357"/>
      <c r="Q132" s="357"/>
      <c r="R132" s="357"/>
      <c r="S132" s="393"/>
    </row>
    <row r="133" spans="1:19" x14ac:dyDescent="0.2">
      <c r="A133" s="368"/>
      <c r="B133" s="357"/>
      <c r="C133" s="357"/>
      <c r="D133" s="357"/>
      <c r="E133" s="357"/>
      <c r="F133" s="357"/>
      <c r="G133" s="357"/>
      <c r="H133" s="357"/>
      <c r="I133" s="357"/>
      <c r="J133" s="357"/>
      <c r="K133" s="357"/>
      <c r="L133" s="357"/>
      <c r="M133" s="357"/>
      <c r="N133" s="357"/>
      <c r="O133" s="357"/>
      <c r="P133" s="357"/>
      <c r="Q133" s="357"/>
      <c r="R133" s="357"/>
      <c r="S133" s="393"/>
    </row>
    <row r="134" spans="1:19" x14ac:dyDescent="0.2">
      <c r="A134" s="368"/>
      <c r="B134" s="357"/>
      <c r="C134" s="357"/>
      <c r="D134" s="357"/>
      <c r="E134" s="357"/>
      <c r="F134" s="357"/>
      <c r="G134" s="357"/>
      <c r="H134" s="357"/>
      <c r="I134" s="357"/>
      <c r="J134" s="357"/>
      <c r="K134" s="357"/>
      <c r="L134" s="357"/>
      <c r="M134" s="357"/>
      <c r="N134" s="357"/>
      <c r="O134" s="357"/>
      <c r="P134" s="357"/>
      <c r="Q134" s="357"/>
      <c r="R134" s="357"/>
      <c r="S134" s="393"/>
    </row>
    <row r="135" spans="1:19" x14ac:dyDescent="0.2">
      <c r="A135" s="368"/>
      <c r="B135" s="357"/>
      <c r="C135" s="357"/>
      <c r="D135" s="357"/>
      <c r="E135" s="357"/>
      <c r="F135" s="357"/>
      <c r="G135" s="357"/>
      <c r="H135" s="357"/>
      <c r="I135" s="357"/>
      <c r="J135" s="357"/>
      <c r="K135" s="357"/>
      <c r="L135" s="357"/>
      <c r="M135" s="357"/>
      <c r="N135" s="357"/>
      <c r="O135" s="357"/>
      <c r="P135" s="357"/>
      <c r="Q135" s="357"/>
      <c r="R135" s="357"/>
      <c r="S135" s="393"/>
    </row>
    <row r="136" spans="1:19" x14ac:dyDescent="0.2">
      <c r="A136" s="368"/>
      <c r="B136" s="357"/>
      <c r="C136" s="357"/>
      <c r="D136" s="357"/>
      <c r="E136" s="357"/>
      <c r="F136" s="357"/>
      <c r="G136" s="357"/>
      <c r="H136" s="357"/>
      <c r="I136" s="357"/>
      <c r="J136" s="357"/>
      <c r="K136" s="357"/>
      <c r="L136" s="357"/>
      <c r="M136" s="357"/>
      <c r="N136" s="357"/>
      <c r="O136" s="357"/>
      <c r="P136" s="357"/>
      <c r="Q136" s="357"/>
      <c r="R136" s="357"/>
      <c r="S136" s="393"/>
    </row>
    <row r="137" spans="1:19" x14ac:dyDescent="0.2">
      <c r="A137" s="368"/>
      <c r="B137" s="357"/>
      <c r="C137" s="357"/>
      <c r="D137" s="357"/>
      <c r="E137" s="357"/>
      <c r="F137" s="357"/>
      <c r="G137" s="357"/>
      <c r="H137" s="357"/>
      <c r="I137" s="357"/>
      <c r="J137" s="357"/>
      <c r="K137" s="357"/>
      <c r="L137" s="357"/>
      <c r="M137" s="357"/>
      <c r="N137" s="357"/>
      <c r="O137" s="357"/>
      <c r="P137" s="357"/>
      <c r="Q137" s="357"/>
      <c r="R137" s="357"/>
      <c r="S137" s="393"/>
    </row>
    <row r="138" spans="1:19" x14ac:dyDescent="0.2">
      <c r="A138" s="368"/>
      <c r="B138" s="357"/>
      <c r="C138" s="357"/>
      <c r="D138" s="357"/>
      <c r="E138" s="357"/>
      <c r="F138" s="357"/>
      <c r="G138" s="357"/>
      <c r="H138" s="357"/>
      <c r="I138" s="357"/>
      <c r="J138" s="357"/>
      <c r="K138" s="357"/>
      <c r="L138" s="357"/>
      <c r="M138" s="357"/>
      <c r="N138" s="357"/>
      <c r="O138" s="357"/>
      <c r="P138" s="357"/>
      <c r="Q138" s="357"/>
      <c r="R138" s="357"/>
      <c r="S138" s="393"/>
    </row>
    <row r="139" spans="1:19" x14ac:dyDescent="0.2">
      <c r="A139" s="368"/>
      <c r="B139" s="357"/>
      <c r="C139" s="357"/>
      <c r="D139" s="357"/>
      <c r="E139" s="357"/>
      <c r="F139" s="357"/>
      <c r="G139" s="357"/>
      <c r="H139" s="357"/>
      <c r="I139" s="357"/>
      <c r="J139" s="357"/>
      <c r="K139" s="357"/>
      <c r="L139" s="357"/>
      <c r="M139" s="357"/>
      <c r="N139" s="357"/>
      <c r="O139" s="357"/>
      <c r="P139" s="357"/>
      <c r="Q139" s="357"/>
      <c r="R139" s="357"/>
      <c r="S139" s="393"/>
    </row>
    <row r="140" spans="1:19" x14ac:dyDescent="0.2">
      <c r="A140" s="368"/>
      <c r="B140" s="357"/>
      <c r="C140" s="357"/>
      <c r="D140" s="357"/>
      <c r="E140" s="357"/>
      <c r="F140" s="357"/>
      <c r="G140" s="357"/>
      <c r="H140" s="357"/>
      <c r="I140" s="357"/>
      <c r="J140" s="357"/>
      <c r="K140" s="357"/>
      <c r="L140" s="357"/>
      <c r="M140" s="357"/>
      <c r="N140" s="357"/>
      <c r="O140" s="357"/>
      <c r="P140" s="357"/>
      <c r="Q140" s="357"/>
      <c r="R140" s="357"/>
      <c r="S140" s="393"/>
    </row>
    <row r="141" spans="1:19" x14ac:dyDescent="0.2">
      <c r="A141" s="368"/>
      <c r="B141" s="357"/>
      <c r="C141" s="357"/>
      <c r="D141" s="357"/>
      <c r="E141" s="357"/>
      <c r="F141" s="357"/>
      <c r="G141" s="357"/>
      <c r="H141" s="357"/>
      <c r="I141" s="357"/>
      <c r="J141" s="357"/>
      <c r="K141" s="357"/>
      <c r="L141" s="357"/>
      <c r="M141" s="357"/>
      <c r="N141" s="357"/>
      <c r="O141" s="357"/>
      <c r="P141" s="357"/>
      <c r="Q141" s="357"/>
      <c r="R141" s="357"/>
      <c r="S141" s="393"/>
    </row>
    <row r="142" spans="1:19" x14ac:dyDescent="0.2">
      <c r="A142" s="368"/>
      <c r="B142" s="357"/>
      <c r="C142" s="357"/>
      <c r="D142" s="357"/>
      <c r="E142" s="357"/>
      <c r="F142" s="357"/>
      <c r="G142" s="357"/>
      <c r="H142" s="357"/>
      <c r="I142" s="357"/>
      <c r="J142" s="357"/>
      <c r="K142" s="357"/>
      <c r="L142" s="357"/>
      <c r="M142" s="357"/>
      <c r="N142" s="357"/>
      <c r="O142" s="357"/>
      <c r="P142" s="357"/>
      <c r="Q142" s="357"/>
      <c r="R142" s="357"/>
      <c r="S142" s="393"/>
    </row>
    <row r="143" spans="1:19" x14ac:dyDescent="0.2">
      <c r="A143" s="368"/>
      <c r="B143" s="357"/>
      <c r="C143" s="357"/>
      <c r="D143" s="357"/>
      <c r="E143" s="357"/>
      <c r="F143" s="357"/>
      <c r="G143" s="357"/>
      <c r="H143" s="357"/>
      <c r="I143" s="357"/>
      <c r="J143" s="357"/>
      <c r="K143" s="357"/>
      <c r="L143" s="357"/>
      <c r="M143" s="357"/>
      <c r="N143" s="357"/>
      <c r="O143" s="357"/>
      <c r="P143" s="357"/>
      <c r="Q143" s="357"/>
      <c r="R143" s="357"/>
      <c r="S143" s="393"/>
    </row>
    <row r="144" spans="1:19" x14ac:dyDescent="0.2">
      <c r="A144" s="368"/>
      <c r="B144" s="357"/>
      <c r="C144" s="357"/>
      <c r="D144" s="357"/>
      <c r="E144" s="357"/>
      <c r="F144" s="357"/>
      <c r="G144" s="357"/>
      <c r="H144" s="357"/>
      <c r="I144" s="357"/>
      <c r="J144" s="357"/>
      <c r="K144" s="357"/>
      <c r="L144" s="357"/>
      <c r="M144" s="357"/>
      <c r="N144" s="357"/>
      <c r="O144" s="357"/>
      <c r="P144" s="357"/>
      <c r="Q144" s="357"/>
      <c r="R144" s="357"/>
      <c r="S144" s="393"/>
    </row>
    <row r="145" spans="1:19" x14ac:dyDescent="0.2">
      <c r="A145" s="368"/>
      <c r="B145" s="357"/>
      <c r="C145" s="357"/>
      <c r="D145" s="357"/>
      <c r="E145" s="357"/>
      <c r="F145" s="357"/>
      <c r="G145" s="357"/>
      <c r="H145" s="357"/>
      <c r="I145" s="357"/>
      <c r="J145" s="357"/>
      <c r="K145" s="357"/>
      <c r="L145" s="357"/>
      <c r="M145" s="357"/>
      <c r="N145" s="357"/>
      <c r="O145" s="357"/>
      <c r="P145" s="357"/>
      <c r="Q145" s="357"/>
      <c r="R145" s="357"/>
      <c r="S145" s="393"/>
    </row>
    <row r="146" spans="1:19" x14ac:dyDescent="0.2">
      <c r="A146" s="368"/>
      <c r="B146" s="357"/>
      <c r="C146" s="357"/>
      <c r="D146" s="357"/>
      <c r="E146" s="357"/>
      <c r="F146" s="357"/>
      <c r="G146" s="357"/>
      <c r="H146" s="357"/>
      <c r="I146" s="357"/>
      <c r="J146" s="357"/>
      <c r="K146" s="357"/>
      <c r="L146" s="357"/>
      <c r="M146" s="357"/>
      <c r="N146" s="357"/>
      <c r="O146" s="357"/>
      <c r="P146" s="357"/>
      <c r="Q146" s="357"/>
      <c r="R146" s="357"/>
      <c r="S146" s="393"/>
    </row>
    <row r="147" spans="1:19" x14ac:dyDescent="0.2">
      <c r="A147" s="368"/>
      <c r="B147" s="357"/>
      <c r="C147" s="357"/>
      <c r="D147" s="357"/>
      <c r="E147" s="357"/>
      <c r="F147" s="357"/>
      <c r="G147" s="357"/>
      <c r="H147" s="357"/>
      <c r="I147" s="357"/>
      <c r="J147" s="357"/>
      <c r="K147" s="357"/>
      <c r="L147" s="357"/>
      <c r="M147" s="357"/>
      <c r="N147" s="357"/>
      <c r="O147" s="357"/>
      <c r="P147" s="357"/>
      <c r="Q147" s="357"/>
      <c r="R147" s="357"/>
      <c r="S147" s="393"/>
    </row>
    <row r="148" spans="1:19" x14ac:dyDescent="0.2">
      <c r="A148" s="368"/>
      <c r="B148" s="357"/>
      <c r="C148" s="357"/>
      <c r="D148" s="357"/>
      <c r="E148" s="357"/>
      <c r="F148" s="357"/>
      <c r="G148" s="357"/>
      <c r="H148" s="357"/>
      <c r="I148" s="357"/>
      <c r="J148" s="357"/>
      <c r="K148" s="357"/>
      <c r="L148" s="357"/>
      <c r="M148" s="357"/>
      <c r="N148" s="357"/>
      <c r="O148" s="357"/>
      <c r="P148" s="357"/>
      <c r="Q148" s="357"/>
      <c r="R148" s="357"/>
      <c r="S148" s="393"/>
    </row>
    <row r="149" spans="1:19" x14ac:dyDescent="0.2">
      <c r="A149" s="368"/>
      <c r="B149" s="357"/>
      <c r="C149" s="357"/>
      <c r="D149" s="357"/>
      <c r="E149" s="357"/>
      <c r="F149" s="357"/>
      <c r="G149" s="357"/>
      <c r="H149" s="357"/>
      <c r="I149" s="357"/>
      <c r="J149" s="357"/>
      <c r="K149" s="357"/>
      <c r="L149" s="357"/>
      <c r="M149" s="357"/>
      <c r="N149" s="357"/>
      <c r="O149" s="357"/>
      <c r="P149" s="357"/>
      <c r="Q149" s="357"/>
      <c r="R149" s="357"/>
      <c r="S149" s="393"/>
    </row>
    <row r="150" spans="1:19" x14ac:dyDescent="0.2">
      <c r="A150" s="368"/>
      <c r="B150" s="357"/>
      <c r="C150" s="357"/>
      <c r="D150" s="357"/>
      <c r="E150" s="357"/>
      <c r="F150" s="357"/>
      <c r="G150" s="357"/>
      <c r="H150" s="357"/>
      <c r="I150" s="357"/>
      <c r="J150" s="357"/>
      <c r="K150" s="357"/>
      <c r="L150" s="357"/>
      <c r="M150" s="357"/>
      <c r="N150" s="357"/>
      <c r="O150" s="357"/>
      <c r="P150" s="357"/>
      <c r="Q150" s="357"/>
      <c r="R150" s="357"/>
      <c r="S150" s="393"/>
    </row>
    <row r="151" spans="1:19" x14ac:dyDescent="0.2">
      <c r="A151" s="368"/>
      <c r="B151" s="357"/>
      <c r="C151" s="357"/>
      <c r="D151" s="357"/>
      <c r="E151" s="357"/>
      <c r="F151" s="357"/>
      <c r="G151" s="357"/>
      <c r="H151" s="357"/>
      <c r="I151" s="357"/>
      <c r="J151" s="357"/>
      <c r="K151" s="357"/>
      <c r="L151" s="357"/>
      <c r="M151" s="357"/>
      <c r="N151" s="357"/>
      <c r="O151" s="357"/>
      <c r="P151" s="357"/>
      <c r="Q151" s="357"/>
      <c r="R151" s="357"/>
      <c r="S151" s="393"/>
    </row>
    <row r="152" spans="1:19" x14ac:dyDescent="0.2">
      <c r="A152" s="368"/>
      <c r="B152" s="357"/>
      <c r="C152" s="357"/>
      <c r="D152" s="357"/>
      <c r="E152" s="357"/>
      <c r="F152" s="357"/>
      <c r="G152" s="357"/>
      <c r="H152" s="357"/>
      <c r="I152" s="357"/>
      <c r="J152" s="357"/>
      <c r="K152" s="357"/>
      <c r="L152" s="357"/>
      <c r="M152" s="357"/>
      <c r="N152" s="357"/>
      <c r="O152" s="357"/>
      <c r="P152" s="357"/>
      <c r="Q152" s="357"/>
      <c r="R152" s="357"/>
      <c r="S152" s="393"/>
    </row>
    <row r="153" spans="1:19" x14ac:dyDescent="0.2">
      <c r="A153" s="368"/>
      <c r="B153" s="357"/>
      <c r="C153" s="357"/>
      <c r="D153" s="357"/>
      <c r="E153" s="357"/>
      <c r="F153" s="357"/>
      <c r="G153" s="357"/>
      <c r="H153" s="357"/>
      <c r="I153" s="357"/>
      <c r="J153" s="357"/>
      <c r="K153" s="357"/>
      <c r="L153" s="357"/>
      <c r="M153" s="357"/>
      <c r="N153" s="357"/>
      <c r="O153" s="357"/>
      <c r="P153" s="357"/>
      <c r="Q153" s="357"/>
      <c r="R153" s="357"/>
      <c r="S153" s="393"/>
    </row>
    <row r="154" spans="1:19" x14ac:dyDescent="0.2">
      <c r="A154" s="368"/>
      <c r="B154" s="357"/>
      <c r="C154" s="357"/>
      <c r="D154" s="357"/>
      <c r="E154" s="357"/>
      <c r="F154" s="357"/>
      <c r="G154" s="357"/>
      <c r="H154" s="357"/>
      <c r="I154" s="357"/>
      <c r="J154" s="357"/>
      <c r="K154" s="357"/>
      <c r="L154" s="357"/>
      <c r="M154" s="357"/>
      <c r="N154" s="357"/>
      <c r="O154" s="357"/>
      <c r="P154" s="357"/>
      <c r="Q154" s="357"/>
      <c r="R154" s="357"/>
      <c r="S154" s="393"/>
    </row>
    <row r="155" spans="1:19" x14ac:dyDescent="0.2">
      <c r="A155" s="368"/>
      <c r="B155" s="357"/>
      <c r="C155" s="357"/>
      <c r="D155" s="357"/>
      <c r="E155" s="357"/>
      <c r="F155" s="357"/>
      <c r="G155" s="357"/>
      <c r="H155" s="357"/>
      <c r="I155" s="357"/>
      <c r="J155" s="357"/>
      <c r="K155" s="357"/>
      <c r="L155" s="357"/>
      <c r="M155" s="357"/>
      <c r="N155" s="357"/>
      <c r="O155" s="357"/>
      <c r="P155" s="357"/>
      <c r="Q155" s="357"/>
      <c r="R155" s="357"/>
      <c r="S155" s="393"/>
    </row>
    <row r="156" spans="1:19" x14ac:dyDescent="0.2">
      <c r="A156" s="368"/>
      <c r="B156" s="357"/>
      <c r="C156" s="357"/>
      <c r="D156" s="357"/>
      <c r="E156" s="357"/>
      <c r="F156" s="357"/>
      <c r="G156" s="357"/>
      <c r="H156" s="357"/>
      <c r="I156" s="357"/>
      <c r="J156" s="357"/>
      <c r="K156" s="357"/>
      <c r="L156" s="357"/>
      <c r="M156" s="357"/>
      <c r="N156" s="357"/>
      <c r="O156" s="357"/>
      <c r="P156" s="357"/>
      <c r="Q156" s="357"/>
      <c r="R156" s="357"/>
      <c r="S156" s="393"/>
    </row>
    <row r="157" spans="1:19" x14ac:dyDescent="0.2">
      <c r="A157" s="368"/>
      <c r="B157" s="357"/>
      <c r="C157" s="357"/>
      <c r="D157" s="357"/>
      <c r="E157" s="357"/>
      <c r="F157" s="357"/>
      <c r="G157" s="357"/>
      <c r="H157" s="357"/>
      <c r="I157" s="357"/>
      <c r="J157" s="357"/>
      <c r="K157" s="357"/>
      <c r="L157" s="357"/>
      <c r="M157" s="357"/>
      <c r="N157" s="357"/>
      <c r="O157" s="357"/>
      <c r="P157" s="357"/>
      <c r="Q157" s="357"/>
      <c r="R157" s="357"/>
      <c r="S157" s="393"/>
    </row>
    <row r="158" spans="1:19" x14ac:dyDescent="0.2">
      <c r="A158" s="368"/>
      <c r="B158" s="357"/>
      <c r="C158" s="357"/>
      <c r="D158" s="357"/>
      <c r="E158" s="357"/>
      <c r="F158" s="357"/>
      <c r="G158" s="357"/>
      <c r="H158" s="357"/>
      <c r="I158" s="357"/>
      <c r="J158" s="357"/>
      <c r="K158" s="357"/>
      <c r="L158" s="357"/>
      <c r="M158" s="357"/>
      <c r="N158" s="357"/>
      <c r="O158" s="357"/>
      <c r="P158" s="357"/>
      <c r="Q158" s="357"/>
      <c r="R158" s="357"/>
      <c r="S158" s="393"/>
    </row>
    <row r="159" spans="1:19" x14ac:dyDescent="0.2">
      <c r="A159" s="368"/>
      <c r="B159" s="357"/>
      <c r="C159" s="357"/>
      <c r="D159" s="357"/>
      <c r="E159" s="357"/>
      <c r="F159" s="357"/>
      <c r="G159" s="357"/>
      <c r="H159" s="357"/>
      <c r="I159" s="357"/>
      <c r="J159" s="357"/>
      <c r="K159" s="357"/>
      <c r="L159" s="357"/>
      <c r="M159" s="357"/>
      <c r="N159" s="357"/>
      <c r="O159" s="357"/>
      <c r="P159" s="357"/>
      <c r="Q159" s="357"/>
      <c r="R159" s="357"/>
      <c r="S159" s="393"/>
    </row>
    <row r="160" spans="1:19" x14ac:dyDescent="0.2">
      <c r="A160" s="368"/>
      <c r="B160" s="357"/>
      <c r="C160" s="357"/>
      <c r="D160" s="357"/>
      <c r="E160" s="357"/>
      <c r="F160" s="357"/>
      <c r="G160" s="357"/>
      <c r="H160" s="357"/>
      <c r="I160" s="357"/>
      <c r="J160" s="357"/>
      <c r="K160" s="357"/>
      <c r="L160" s="357"/>
      <c r="M160" s="357"/>
      <c r="N160" s="357"/>
      <c r="O160" s="357"/>
      <c r="P160" s="357"/>
      <c r="Q160" s="357"/>
      <c r="R160" s="357"/>
      <c r="S160" s="393"/>
    </row>
    <row r="161" spans="1:19" x14ac:dyDescent="0.2">
      <c r="A161" s="368"/>
      <c r="B161" s="357"/>
      <c r="C161" s="357"/>
      <c r="D161" s="357"/>
      <c r="E161" s="357"/>
      <c r="F161" s="357"/>
      <c r="G161" s="357"/>
      <c r="H161" s="357"/>
      <c r="I161" s="357"/>
      <c r="J161" s="357"/>
      <c r="K161" s="357"/>
      <c r="L161" s="357"/>
      <c r="M161" s="357"/>
      <c r="N161" s="357"/>
      <c r="O161" s="357"/>
      <c r="P161" s="357"/>
      <c r="Q161" s="357"/>
      <c r="R161" s="357"/>
      <c r="S161" s="393"/>
    </row>
    <row r="162" spans="1:19" x14ac:dyDescent="0.2">
      <c r="A162" s="368"/>
      <c r="B162" s="357"/>
      <c r="C162" s="357"/>
      <c r="D162" s="357"/>
      <c r="E162" s="357"/>
      <c r="F162" s="357"/>
      <c r="G162" s="357"/>
      <c r="H162" s="357"/>
      <c r="I162" s="357"/>
      <c r="J162" s="357"/>
      <c r="K162" s="357"/>
      <c r="L162" s="357"/>
      <c r="M162" s="357"/>
      <c r="N162" s="357"/>
      <c r="O162" s="357"/>
      <c r="P162" s="357"/>
      <c r="Q162" s="357"/>
      <c r="R162" s="357"/>
      <c r="S162" s="393"/>
    </row>
    <row r="163" spans="1:19" x14ac:dyDescent="0.2">
      <c r="A163" s="368"/>
      <c r="B163" s="357"/>
      <c r="C163" s="357"/>
      <c r="D163" s="357"/>
      <c r="E163" s="357"/>
      <c r="F163" s="357"/>
      <c r="G163" s="357"/>
      <c r="H163" s="357"/>
      <c r="I163" s="357"/>
      <c r="J163" s="357"/>
      <c r="K163" s="357"/>
      <c r="L163" s="357"/>
      <c r="M163" s="357"/>
      <c r="N163" s="357"/>
      <c r="O163" s="357"/>
      <c r="P163" s="357"/>
      <c r="Q163" s="357"/>
      <c r="R163" s="357"/>
      <c r="S163" s="393"/>
    </row>
    <row r="164" spans="1:19" x14ac:dyDescent="0.2">
      <c r="A164" s="368"/>
      <c r="B164" s="357"/>
      <c r="C164" s="357"/>
      <c r="D164" s="357"/>
      <c r="E164" s="357"/>
      <c r="F164" s="357"/>
      <c r="G164" s="357"/>
      <c r="H164" s="357"/>
      <c r="I164" s="357"/>
      <c r="J164" s="357"/>
      <c r="K164" s="357"/>
      <c r="L164" s="357"/>
      <c r="M164" s="357"/>
      <c r="N164" s="357"/>
      <c r="O164" s="357"/>
      <c r="P164" s="357"/>
      <c r="Q164" s="357"/>
      <c r="R164" s="357"/>
      <c r="S164" s="393"/>
    </row>
    <row r="165" spans="1:19" x14ac:dyDescent="0.2">
      <c r="A165" s="368"/>
      <c r="B165" s="357"/>
      <c r="C165" s="357"/>
      <c r="D165" s="357"/>
      <c r="E165" s="357"/>
      <c r="F165" s="357"/>
      <c r="G165" s="357"/>
      <c r="H165" s="357"/>
      <c r="I165" s="357"/>
      <c r="J165" s="357"/>
      <c r="K165" s="357"/>
      <c r="L165" s="357"/>
      <c r="M165" s="357"/>
      <c r="N165" s="357"/>
      <c r="O165" s="357"/>
      <c r="P165" s="357"/>
      <c r="Q165" s="357"/>
      <c r="R165" s="357"/>
      <c r="S165" s="393"/>
    </row>
    <row r="166" spans="1:19" x14ac:dyDescent="0.2">
      <c r="A166" s="368"/>
      <c r="B166" s="357"/>
      <c r="C166" s="357"/>
      <c r="D166" s="357"/>
      <c r="E166" s="357"/>
      <c r="F166" s="357"/>
      <c r="G166" s="357"/>
      <c r="H166" s="357"/>
      <c r="I166" s="357"/>
      <c r="J166" s="357"/>
      <c r="K166" s="357"/>
      <c r="L166" s="357"/>
      <c r="M166" s="357"/>
      <c r="N166" s="357"/>
      <c r="O166" s="357"/>
      <c r="P166" s="357"/>
      <c r="Q166" s="357"/>
      <c r="R166" s="357"/>
      <c r="S166" s="393"/>
    </row>
    <row r="167" spans="1:19" x14ac:dyDescent="0.2">
      <c r="A167" s="368"/>
      <c r="B167" s="357"/>
      <c r="C167" s="357"/>
      <c r="D167" s="357"/>
      <c r="E167" s="357"/>
      <c r="F167" s="357"/>
      <c r="G167" s="357"/>
      <c r="H167" s="357"/>
      <c r="I167" s="357"/>
      <c r="J167" s="357"/>
      <c r="K167" s="357"/>
      <c r="L167" s="357"/>
      <c r="M167" s="357"/>
      <c r="N167" s="357"/>
      <c r="O167" s="357"/>
      <c r="P167" s="357"/>
      <c r="Q167" s="357"/>
      <c r="R167" s="357"/>
      <c r="S167" s="393"/>
    </row>
    <row r="168" spans="1:19" x14ac:dyDescent="0.2">
      <c r="A168" s="368"/>
      <c r="B168" s="357"/>
      <c r="C168" s="357"/>
      <c r="D168" s="357"/>
      <c r="E168" s="357"/>
      <c r="F168" s="357"/>
      <c r="G168" s="357"/>
      <c r="H168" s="357"/>
      <c r="I168" s="357"/>
      <c r="J168" s="357"/>
      <c r="K168" s="357"/>
      <c r="L168" s="357"/>
      <c r="M168" s="357"/>
      <c r="N168" s="357"/>
      <c r="O168" s="357"/>
      <c r="P168" s="357"/>
      <c r="Q168" s="357"/>
      <c r="R168" s="357"/>
      <c r="S168" s="393"/>
    </row>
    <row r="169" spans="1:19" x14ac:dyDescent="0.2">
      <c r="A169" s="368"/>
      <c r="B169" s="357"/>
      <c r="C169" s="357"/>
      <c r="D169" s="357"/>
      <c r="E169" s="357"/>
      <c r="F169" s="357"/>
      <c r="G169" s="357"/>
      <c r="H169" s="357"/>
      <c r="I169" s="357"/>
      <c r="J169" s="357"/>
      <c r="K169" s="357"/>
      <c r="L169" s="357"/>
      <c r="M169" s="357"/>
      <c r="N169" s="357"/>
      <c r="O169" s="357"/>
      <c r="P169" s="357"/>
      <c r="Q169" s="357"/>
      <c r="R169" s="357"/>
      <c r="S169" s="393"/>
    </row>
    <row r="170" spans="1:19" x14ac:dyDescent="0.2">
      <c r="A170" s="368"/>
      <c r="B170" s="357"/>
      <c r="C170" s="357"/>
      <c r="D170" s="357"/>
      <c r="E170" s="357"/>
      <c r="F170" s="357"/>
      <c r="G170" s="357"/>
      <c r="H170" s="357"/>
      <c r="I170" s="357"/>
      <c r="J170" s="357"/>
      <c r="K170" s="357"/>
      <c r="L170" s="357"/>
      <c r="M170" s="357"/>
      <c r="N170" s="357"/>
      <c r="O170" s="357"/>
      <c r="P170" s="357"/>
      <c r="Q170" s="357"/>
      <c r="R170" s="357"/>
      <c r="S170" s="393"/>
    </row>
    <row r="171" spans="1:19" x14ac:dyDescent="0.2">
      <c r="A171" s="368"/>
      <c r="B171" s="357"/>
      <c r="C171" s="357"/>
      <c r="D171" s="357"/>
      <c r="E171" s="357"/>
      <c r="F171" s="357"/>
      <c r="G171" s="357"/>
      <c r="H171" s="357"/>
      <c r="I171" s="357"/>
      <c r="J171" s="357"/>
      <c r="K171" s="357"/>
      <c r="L171" s="357"/>
      <c r="M171" s="357"/>
      <c r="N171" s="357"/>
      <c r="O171" s="357"/>
      <c r="P171" s="357"/>
      <c r="Q171" s="357"/>
      <c r="R171" s="357"/>
      <c r="S171" s="393"/>
    </row>
    <row r="172" spans="1:19" x14ac:dyDescent="0.2">
      <c r="A172" s="368"/>
      <c r="B172" s="357"/>
      <c r="C172" s="357"/>
      <c r="D172" s="357"/>
      <c r="E172" s="357"/>
      <c r="F172" s="357"/>
      <c r="G172" s="357"/>
      <c r="H172" s="357"/>
      <c r="I172" s="357"/>
      <c r="J172" s="357"/>
      <c r="K172" s="357"/>
      <c r="L172" s="357"/>
      <c r="M172" s="357"/>
      <c r="N172" s="357"/>
      <c r="O172" s="357"/>
      <c r="P172" s="357"/>
      <c r="Q172" s="357"/>
      <c r="R172" s="357"/>
      <c r="S172" s="393"/>
    </row>
    <row r="173" spans="1:19" x14ac:dyDescent="0.2">
      <c r="A173" s="368"/>
      <c r="B173" s="357"/>
      <c r="C173" s="357"/>
      <c r="D173" s="357"/>
      <c r="E173" s="357"/>
      <c r="F173" s="357"/>
      <c r="G173" s="357"/>
      <c r="H173" s="357"/>
      <c r="I173" s="357"/>
      <c r="J173" s="357"/>
      <c r="K173" s="357"/>
      <c r="L173" s="357"/>
      <c r="M173" s="357"/>
      <c r="N173" s="357"/>
      <c r="O173" s="357"/>
      <c r="P173" s="357"/>
      <c r="Q173" s="357"/>
      <c r="R173" s="357"/>
      <c r="S173" s="393"/>
    </row>
    <row r="174" spans="1:19" x14ac:dyDescent="0.2">
      <c r="A174" s="368"/>
      <c r="B174" s="357"/>
      <c r="C174" s="357"/>
      <c r="D174" s="357"/>
      <c r="E174" s="357"/>
      <c r="F174" s="357"/>
      <c r="G174" s="357"/>
      <c r="H174" s="357"/>
      <c r="I174" s="357"/>
      <c r="J174" s="357"/>
      <c r="K174" s="357"/>
      <c r="L174" s="357"/>
      <c r="M174" s="357"/>
      <c r="N174" s="357"/>
      <c r="O174" s="357"/>
      <c r="P174" s="357"/>
      <c r="Q174" s="357"/>
      <c r="R174" s="357"/>
      <c r="S174" s="393"/>
    </row>
    <row r="175" spans="1:19" x14ac:dyDescent="0.2">
      <c r="A175" s="368"/>
      <c r="B175" s="357"/>
      <c r="C175" s="357"/>
      <c r="D175" s="357"/>
      <c r="E175" s="357"/>
      <c r="F175" s="357"/>
      <c r="G175" s="357"/>
      <c r="H175" s="357"/>
      <c r="I175" s="357"/>
      <c r="J175" s="357"/>
      <c r="K175" s="357"/>
      <c r="L175" s="357"/>
      <c r="M175" s="357"/>
      <c r="N175" s="357"/>
      <c r="O175" s="357"/>
      <c r="P175" s="357"/>
      <c r="Q175" s="357"/>
      <c r="R175" s="357"/>
      <c r="S175" s="393"/>
    </row>
    <row r="176" spans="1:19" x14ac:dyDescent="0.2">
      <c r="A176" s="368"/>
      <c r="B176" s="357"/>
      <c r="C176" s="357"/>
      <c r="D176" s="357"/>
      <c r="E176" s="357"/>
      <c r="F176" s="357"/>
      <c r="G176" s="357"/>
      <c r="H176" s="357"/>
      <c r="I176" s="357"/>
      <c r="J176" s="357"/>
      <c r="K176" s="357"/>
      <c r="L176" s="357"/>
      <c r="M176" s="357"/>
      <c r="N176" s="357"/>
      <c r="O176" s="357"/>
      <c r="P176" s="357"/>
      <c r="Q176" s="357"/>
      <c r="R176" s="357"/>
      <c r="S176" s="393"/>
    </row>
    <row r="177" spans="1:19" x14ac:dyDescent="0.2">
      <c r="A177" s="368"/>
      <c r="B177" s="357"/>
      <c r="C177" s="357"/>
      <c r="D177" s="357"/>
      <c r="E177" s="357"/>
      <c r="F177" s="357"/>
      <c r="G177" s="357"/>
      <c r="H177" s="357"/>
      <c r="I177" s="357"/>
      <c r="J177" s="357"/>
      <c r="K177" s="357"/>
      <c r="L177" s="357"/>
      <c r="M177" s="357"/>
      <c r="N177" s="357"/>
      <c r="O177" s="357"/>
      <c r="P177" s="357"/>
      <c r="Q177" s="357"/>
      <c r="R177" s="357"/>
      <c r="S177" s="393"/>
    </row>
    <row r="178" spans="1:19" x14ac:dyDescent="0.2">
      <c r="A178" s="368"/>
      <c r="B178" s="357"/>
      <c r="C178" s="357"/>
      <c r="D178" s="357"/>
      <c r="E178" s="357"/>
      <c r="F178" s="357"/>
      <c r="G178" s="357"/>
      <c r="H178" s="357"/>
      <c r="I178" s="357"/>
      <c r="J178" s="357"/>
      <c r="K178" s="357"/>
      <c r="L178" s="357"/>
      <c r="M178" s="357"/>
      <c r="N178" s="357"/>
      <c r="O178" s="357"/>
      <c r="P178" s="357"/>
      <c r="Q178" s="357"/>
      <c r="R178" s="357"/>
      <c r="S178" s="393"/>
    </row>
    <row r="179" spans="1:19" x14ac:dyDescent="0.2">
      <c r="A179" s="368"/>
      <c r="B179" s="357"/>
      <c r="C179" s="357"/>
      <c r="D179" s="357"/>
      <c r="E179" s="357"/>
      <c r="F179" s="357"/>
      <c r="G179" s="357"/>
      <c r="H179" s="357"/>
      <c r="I179" s="357"/>
      <c r="J179" s="357"/>
      <c r="K179" s="357"/>
      <c r="L179" s="357"/>
      <c r="M179" s="357"/>
      <c r="N179" s="357"/>
      <c r="O179" s="357"/>
      <c r="P179" s="357"/>
      <c r="Q179" s="357"/>
      <c r="R179" s="357"/>
      <c r="S179" s="393"/>
    </row>
    <row r="180" spans="1:19" x14ac:dyDescent="0.2">
      <c r="A180" s="369"/>
      <c r="B180" s="361"/>
      <c r="C180" s="361"/>
      <c r="D180" s="361"/>
      <c r="E180" s="361"/>
      <c r="F180" s="361"/>
      <c r="G180" s="361"/>
      <c r="H180" s="361"/>
      <c r="I180" s="361"/>
      <c r="J180" s="361"/>
      <c r="K180" s="361"/>
      <c r="L180" s="361"/>
      <c r="M180" s="361"/>
      <c r="N180" s="361"/>
      <c r="O180" s="361"/>
      <c r="P180" s="361"/>
      <c r="Q180" s="361"/>
      <c r="R180" s="361"/>
      <c r="S180" s="394"/>
    </row>
  </sheetData>
  <sheetProtection password="E10F" sheet="1"/>
  <mergeCells count="9">
    <mergeCell ref="A53:C53"/>
    <mergeCell ref="D53:E53"/>
    <mergeCell ref="A1:S1"/>
    <mergeCell ref="D3:J3"/>
    <mergeCell ref="O3:S3"/>
    <mergeCell ref="A48:C48"/>
    <mergeCell ref="D48:E48"/>
    <mergeCell ref="B51:C51"/>
    <mergeCell ref="D51:E51"/>
  </mergeCells>
  <phoneticPr fontId="0" type="noConversion"/>
  <hyperlinks>
    <hyperlink ref="T2" location="'Cover Sheet'!A1" display="BACK to COVER SHEET" xr:uid="{00000000-0004-0000-1600-000000000000}"/>
    <hyperlink ref="T2:V2" location="'Cover Sheet'!A1" display="BACK to COVER SHEET" xr:uid="{00000000-0004-0000-1600-000001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dimension ref="B1:AC20000"/>
  <sheetViews>
    <sheetView showGridLines="0" topLeftCell="A4" workbookViewId="0">
      <selection activeCell="B9" sqref="B9"/>
    </sheetView>
  </sheetViews>
  <sheetFormatPr baseColWidth="10" defaultColWidth="9.140625" defaultRowHeight="12.75" x14ac:dyDescent="0.2"/>
  <cols>
    <col min="1" max="1" width="4.28515625" customWidth="1"/>
    <col min="2" max="2" width="29" customWidth="1"/>
    <col min="3" max="4" width="7" customWidth="1"/>
    <col min="5" max="5" width="7.42578125" customWidth="1"/>
    <col min="6" max="6" width="6.140625" bestFit="1" customWidth="1"/>
    <col min="7" max="7" width="7.7109375" customWidth="1"/>
    <col min="8" max="8" width="6.140625" bestFit="1" customWidth="1"/>
    <col min="9" max="9" width="7.42578125" customWidth="1"/>
    <col min="10" max="10" width="6.140625" bestFit="1" customWidth="1"/>
  </cols>
  <sheetData>
    <row r="1" spans="2:29" ht="15.75" x14ac:dyDescent="0.25">
      <c r="B1" s="2" t="s">
        <v>188</v>
      </c>
    </row>
    <row r="2" spans="2:29" x14ac:dyDescent="0.2">
      <c r="B2" s="73"/>
      <c r="C2" s="77"/>
      <c r="D2" s="77"/>
      <c r="E2" s="56"/>
      <c r="F2" s="56"/>
    </row>
    <row r="3" spans="2:29" x14ac:dyDescent="0.2">
      <c r="B3" t="s">
        <v>183</v>
      </c>
      <c r="C3" s="165">
        <v>2</v>
      </c>
      <c r="D3" s="75"/>
      <c r="E3" s="56"/>
      <c r="F3" s="56"/>
      <c r="K3" s="298" t="s">
        <v>565</v>
      </c>
      <c r="L3" s="298"/>
      <c r="M3" s="298"/>
    </row>
    <row r="4" spans="2:29" s="96" customFormat="1" x14ac:dyDescent="0.2">
      <c r="C4" s="95"/>
      <c r="D4" s="75"/>
      <c r="E4" s="97"/>
      <c r="F4" s="97"/>
    </row>
    <row r="5" spans="2:29" x14ac:dyDescent="0.2">
      <c r="C5" s="95"/>
      <c r="D5" s="75"/>
      <c r="E5" s="56"/>
      <c r="F5" s="56"/>
    </row>
    <row r="6" spans="2:29" x14ac:dyDescent="0.2">
      <c r="C6" s="95"/>
      <c r="D6" s="75"/>
      <c r="E6" s="56"/>
      <c r="F6" s="56"/>
    </row>
    <row r="7" spans="2:29" x14ac:dyDescent="0.2">
      <c r="C7" s="5" t="s">
        <v>173</v>
      </c>
      <c r="D7" s="77"/>
      <c r="E7" s="5" t="s">
        <v>184</v>
      </c>
      <c r="F7" s="56"/>
      <c r="G7" s="5" t="s">
        <v>185</v>
      </c>
      <c r="I7" s="5" t="s">
        <v>186</v>
      </c>
    </row>
    <row r="8" spans="2:29" x14ac:dyDescent="0.2">
      <c r="B8" s="83" t="s">
        <v>395</v>
      </c>
      <c r="C8" s="749" t="str">
        <f>IF(AND(D10="PASS",D11="PASS",D13="PASS",D14="PASS",D23="PASS",D19="PASS",D24="PASS", D25="pass"),"PASS","FAIL")</f>
        <v>FAIL</v>
      </c>
      <c r="D8" s="750"/>
      <c r="E8" s="749" t="str">
        <f>IF(AND(F10="PASS",F11="PASS",F13="PASS",F14="PASS",F23="PASS",F19="PASS",F24="PASS",F25="pass"),"PASS","FAIL")</f>
        <v>FAIL</v>
      </c>
      <c r="F8" s="750"/>
      <c r="G8" s="749" t="str">
        <f>IF($C$3&lt;=2,"N/A",IF(AND(H10="PASS",H11="PASS",H13="PASS",H14="PASS",H23="PASS",H19="PASS",H24="PASS",H25="pass"),"PASS","FAIL"))</f>
        <v>N/A</v>
      </c>
      <c r="H8" s="750"/>
      <c r="I8" s="749" t="str">
        <f>IF($C$3&lt;=3,"N/A",IF(AND(J10="PASS",J11="PASS",J13="PASS",J14="PASS",J23="PASS",J19="PASS",J24="PASS",J25="pass"),"PASS","FAIL"))</f>
        <v>N/A</v>
      </c>
      <c r="J8" s="750"/>
      <c r="K8" s="25"/>
      <c r="L8" s="25"/>
      <c r="M8" s="25"/>
      <c r="N8" s="25"/>
      <c r="O8" s="25"/>
      <c r="P8" s="25"/>
      <c r="Q8" s="25"/>
      <c r="R8" s="25"/>
      <c r="S8" s="25"/>
      <c r="T8" s="25"/>
      <c r="U8" s="25"/>
      <c r="V8" s="25"/>
      <c r="W8" s="25"/>
      <c r="X8" s="25"/>
      <c r="Y8" s="25"/>
      <c r="Z8" s="25"/>
      <c r="AA8" s="25"/>
      <c r="AB8" s="25"/>
      <c r="AC8" s="26"/>
    </row>
    <row r="9" spans="2:29" x14ac:dyDescent="0.2">
      <c r="B9" s="78"/>
      <c r="C9" s="82"/>
      <c r="D9" s="81"/>
      <c r="E9" s="77"/>
      <c r="F9" s="80"/>
      <c r="G9" s="77"/>
      <c r="H9" s="20"/>
      <c r="I9" s="1"/>
      <c r="J9" s="20"/>
      <c r="K9" s="31"/>
      <c r="L9" s="31"/>
      <c r="M9" s="31"/>
      <c r="N9" s="31"/>
      <c r="O9" s="31"/>
      <c r="P9" s="31"/>
      <c r="Q9" s="31"/>
      <c r="R9" s="31"/>
      <c r="S9" s="31"/>
      <c r="T9" s="31"/>
      <c r="U9" s="31"/>
      <c r="V9" s="31"/>
      <c r="W9" s="31"/>
      <c r="X9" s="31"/>
      <c r="Y9" s="31"/>
      <c r="Z9" s="31"/>
      <c r="AA9" s="31"/>
      <c r="AB9" s="31"/>
      <c r="AC9" s="32"/>
    </row>
    <row r="10" spans="2:29" x14ac:dyDescent="0.2">
      <c r="B10" s="84" t="s">
        <v>176</v>
      </c>
      <c r="C10" s="160">
        <v>0</v>
      </c>
      <c r="D10" s="86" t="str">
        <f>IF(C10&gt;=8,"PASS","FAIL")</f>
        <v>FAIL</v>
      </c>
      <c r="E10" s="162">
        <v>0</v>
      </c>
      <c r="F10" s="85" t="str">
        <f>IF(E10&gt;=8,"PASS","FAIL")</f>
        <v>FAIL</v>
      </c>
      <c r="G10" s="162">
        <v>0</v>
      </c>
      <c r="H10" s="85" t="str">
        <f>IF(G10&gt;=8,"PASS","FAIL")</f>
        <v>FAIL</v>
      </c>
      <c r="I10" s="162">
        <v>0</v>
      </c>
      <c r="J10" s="85" t="str">
        <f>IF(I10&gt;=8,"PASS","FAIL")</f>
        <v>FAIL</v>
      </c>
      <c r="K10" s="31"/>
      <c r="L10" s="31"/>
      <c r="M10" s="31"/>
      <c r="N10" s="31"/>
      <c r="O10" s="31"/>
      <c r="P10" s="31"/>
      <c r="Q10" s="31"/>
      <c r="R10" s="31"/>
      <c r="S10" s="31"/>
      <c r="T10" s="31"/>
      <c r="U10" s="31"/>
      <c r="V10" s="31"/>
      <c r="W10" s="31"/>
      <c r="X10" s="31"/>
      <c r="Y10" s="31"/>
      <c r="Z10" s="31"/>
      <c r="AA10" s="31"/>
      <c r="AB10" s="31"/>
      <c r="AC10" s="32"/>
    </row>
    <row r="11" spans="2:29" x14ac:dyDescent="0.2">
      <c r="B11" s="87" t="s">
        <v>174</v>
      </c>
      <c r="C11" s="161">
        <v>0</v>
      </c>
      <c r="D11" s="88" t="str">
        <f>IF(C11&gt;=2,"PASS","FAIL")</f>
        <v>FAIL</v>
      </c>
      <c r="E11" s="163">
        <v>0</v>
      </c>
      <c r="F11" s="89" t="str">
        <f>IF(E11&gt;=2,"PASS","FAIL")</f>
        <v>FAIL</v>
      </c>
      <c r="G11" s="163">
        <v>0</v>
      </c>
      <c r="H11" s="89" t="str">
        <f>IF(G11&gt;=2,"PASS","FAIL")</f>
        <v>FAIL</v>
      </c>
      <c r="I11" s="163">
        <v>0</v>
      </c>
      <c r="J11" s="89" t="str">
        <f>IF(I11&gt;=2,"PASS","FAIL")</f>
        <v>FAIL</v>
      </c>
      <c r="K11" s="31"/>
      <c r="L11" s="31"/>
      <c r="M11" s="31"/>
      <c r="N11" s="31"/>
      <c r="O11" s="31"/>
      <c r="P11" s="31"/>
      <c r="Q11" s="31"/>
      <c r="R11" s="31"/>
      <c r="S11" s="31"/>
      <c r="T11" s="31"/>
      <c r="U11" s="31"/>
      <c r="V11" s="31"/>
      <c r="W11" s="31"/>
      <c r="X11" s="31"/>
      <c r="Y11" s="31"/>
      <c r="Z11" s="31"/>
      <c r="AA11" s="31"/>
      <c r="AB11" s="31"/>
      <c r="AC11" s="32"/>
    </row>
    <row r="12" spans="2:29" x14ac:dyDescent="0.2">
      <c r="B12" s="8"/>
      <c r="C12" s="8"/>
      <c r="D12" s="79"/>
      <c r="E12" s="1"/>
      <c r="F12" s="79"/>
      <c r="G12" s="1"/>
      <c r="H12" s="79"/>
      <c r="I12" s="1"/>
      <c r="J12" s="79"/>
      <c r="K12" s="31"/>
      <c r="L12" s="31"/>
      <c r="M12" s="31"/>
      <c r="N12" s="31"/>
      <c r="O12" s="31"/>
      <c r="P12" s="31"/>
      <c r="Q12" s="31"/>
      <c r="R12" s="31"/>
      <c r="S12" s="31"/>
      <c r="T12" s="31"/>
      <c r="U12" s="31"/>
      <c r="V12" s="31"/>
      <c r="W12" s="31"/>
      <c r="X12" s="31"/>
      <c r="Y12" s="31"/>
      <c r="Z12" s="31"/>
      <c r="AA12" s="31"/>
      <c r="AB12" s="31"/>
      <c r="AC12" s="32"/>
    </row>
    <row r="13" spans="2:29" x14ac:dyDescent="0.2">
      <c r="B13" s="90" t="s">
        <v>179</v>
      </c>
      <c r="C13" s="164">
        <v>0</v>
      </c>
      <c r="D13" s="88" t="str">
        <f>IF(C13&gt;(PI()*25.4),"PASS","FAIL")</f>
        <v>FAIL</v>
      </c>
      <c r="E13" s="164">
        <v>0</v>
      </c>
      <c r="F13" s="89" t="str">
        <f>IF(E13&gt;(PI()*25.4),"PASS","FAIL")</f>
        <v>FAIL</v>
      </c>
      <c r="G13" s="164">
        <v>0</v>
      </c>
      <c r="H13" s="89" t="str">
        <f>IF(G13&gt;(PI()*25.4),"PASS","FAIL")</f>
        <v>FAIL</v>
      </c>
      <c r="I13" s="164">
        <v>0</v>
      </c>
      <c r="J13" s="89" t="str">
        <f>IF(I13&gt;(PI()*25.4),"PASS","FAIL")</f>
        <v>FAIL</v>
      </c>
      <c r="K13" s="31"/>
      <c r="L13" s="31"/>
      <c r="M13" s="31"/>
      <c r="N13" s="31"/>
      <c r="O13" s="31"/>
      <c r="P13" s="31"/>
      <c r="Q13" s="31"/>
      <c r="R13" s="31"/>
      <c r="S13" s="31"/>
      <c r="T13" s="31"/>
      <c r="U13" s="31"/>
      <c r="V13" s="31"/>
      <c r="W13" s="31"/>
      <c r="X13" s="31"/>
      <c r="Y13" s="31"/>
      <c r="Z13" s="31"/>
      <c r="AA13" s="31"/>
      <c r="AB13" s="31"/>
      <c r="AC13" s="32"/>
    </row>
    <row r="14" spans="2:29" x14ac:dyDescent="0.2">
      <c r="B14" s="87" t="s">
        <v>177</v>
      </c>
      <c r="C14" s="164">
        <v>0</v>
      </c>
      <c r="D14" s="88" t="str">
        <f>IF(C14&gt;=2,"PASS","FAIL")</f>
        <v>FAIL</v>
      </c>
      <c r="E14" s="164">
        <v>0</v>
      </c>
      <c r="F14" s="89" t="str">
        <f>IF(E14&gt;=2,"PASS","FAIL")</f>
        <v>FAIL</v>
      </c>
      <c r="G14" s="164">
        <v>0</v>
      </c>
      <c r="H14" s="89" t="str">
        <f>IF(G14&gt;=2,"PASS","FAIL")</f>
        <v>FAIL</v>
      </c>
      <c r="I14" s="164">
        <v>0</v>
      </c>
      <c r="J14" s="89" t="str">
        <f>IF(I14&gt;=2,"PASS","FAIL")</f>
        <v>FAIL</v>
      </c>
      <c r="K14" s="31"/>
      <c r="L14" s="31"/>
      <c r="M14" s="31"/>
      <c r="N14" s="31"/>
      <c r="O14" s="31"/>
      <c r="P14" s="31"/>
      <c r="Q14" s="31"/>
      <c r="R14" s="31"/>
      <c r="S14" s="31"/>
      <c r="T14" s="31"/>
      <c r="U14" s="31"/>
      <c r="V14" s="31"/>
      <c r="W14" s="31"/>
      <c r="X14" s="31"/>
      <c r="Y14" s="31"/>
      <c r="Z14" s="31"/>
      <c r="AA14" s="31"/>
      <c r="AB14" s="31"/>
      <c r="AC14" s="32"/>
    </row>
    <row r="15" spans="2:29" x14ac:dyDescent="0.2">
      <c r="B15" s="90" t="s">
        <v>178</v>
      </c>
      <c r="C15" s="164">
        <v>0</v>
      </c>
      <c r="D15" s="88"/>
      <c r="E15" s="164">
        <v>0</v>
      </c>
      <c r="F15" s="89"/>
      <c r="G15" s="164">
        <v>0</v>
      </c>
      <c r="H15" s="89"/>
      <c r="I15" s="164">
        <v>0</v>
      </c>
      <c r="J15" s="89"/>
      <c r="K15" s="31"/>
      <c r="L15" s="31"/>
      <c r="M15" s="31"/>
      <c r="N15" s="31"/>
      <c r="O15" s="31"/>
      <c r="P15" s="31"/>
      <c r="Q15" s="31"/>
      <c r="R15" s="31"/>
      <c r="S15" s="31"/>
      <c r="T15" s="31"/>
      <c r="U15" s="31"/>
      <c r="V15" s="31"/>
      <c r="W15" s="31"/>
      <c r="X15" s="31"/>
      <c r="Y15" s="31"/>
      <c r="Z15" s="31"/>
      <c r="AA15" s="31"/>
      <c r="AB15" s="31"/>
      <c r="AC15" s="32"/>
    </row>
    <row r="16" spans="2:29" x14ac:dyDescent="0.2">
      <c r="B16" s="90" t="s">
        <v>190</v>
      </c>
      <c r="C16" s="479">
        <f>'T2.6 Laminate Test'!C60</f>
        <v>1</v>
      </c>
      <c r="D16" s="88"/>
      <c r="E16" s="76">
        <v>0</v>
      </c>
      <c r="F16" s="89"/>
      <c r="G16" s="76">
        <v>0</v>
      </c>
      <c r="H16" s="89"/>
      <c r="I16" s="76">
        <v>0</v>
      </c>
      <c r="J16" s="89"/>
      <c r="K16" s="31"/>
      <c r="L16" s="31"/>
      <c r="M16" s="31"/>
      <c r="N16" s="31"/>
      <c r="O16" s="31"/>
      <c r="P16" s="31"/>
      <c r="Q16" s="31"/>
      <c r="R16" s="31"/>
      <c r="S16" s="31"/>
      <c r="T16" s="31"/>
      <c r="U16" s="31"/>
      <c r="V16" s="31"/>
      <c r="W16" s="31"/>
      <c r="X16" s="31"/>
      <c r="Y16" s="31"/>
      <c r="Z16" s="31"/>
      <c r="AA16" s="31"/>
      <c r="AB16" s="31"/>
      <c r="AC16" s="32"/>
    </row>
    <row r="17" spans="2:29" x14ac:dyDescent="0.2">
      <c r="B17" s="90" t="s">
        <v>394</v>
      </c>
      <c r="C17" s="164">
        <v>0</v>
      </c>
      <c r="D17" s="88"/>
      <c r="E17" s="164">
        <v>0</v>
      </c>
      <c r="F17" s="89"/>
      <c r="G17" s="164">
        <v>0</v>
      </c>
      <c r="H17" s="89"/>
      <c r="I17" s="164">
        <v>0</v>
      </c>
      <c r="J17" s="89"/>
      <c r="K17" s="31"/>
      <c r="L17" s="31"/>
      <c r="M17" s="31"/>
      <c r="N17" s="31"/>
      <c r="O17" s="31"/>
      <c r="P17" s="31"/>
      <c r="Q17" s="31"/>
      <c r="R17" s="31"/>
      <c r="S17" s="31"/>
      <c r="T17" s="31"/>
      <c r="U17" s="31"/>
      <c r="V17" s="31"/>
      <c r="W17" s="31"/>
      <c r="X17" s="31"/>
      <c r="Y17" s="31"/>
      <c r="Z17" s="31"/>
      <c r="AA17" s="31"/>
      <c r="AB17" s="31"/>
      <c r="AC17" s="32"/>
    </row>
    <row r="18" spans="2:29" x14ac:dyDescent="0.2">
      <c r="B18" s="90" t="s">
        <v>190</v>
      </c>
      <c r="C18" s="479">
        <f>'T2.6 Laminate Test'!C61</f>
        <v>1</v>
      </c>
      <c r="D18" s="88"/>
      <c r="E18" s="76">
        <v>0</v>
      </c>
      <c r="F18" s="89"/>
      <c r="G18" s="76">
        <v>0</v>
      </c>
      <c r="H18" s="89"/>
      <c r="I18" s="76">
        <v>0</v>
      </c>
      <c r="J18" s="89"/>
      <c r="K18" s="31"/>
      <c r="L18" s="31"/>
      <c r="M18" s="31"/>
      <c r="N18" s="31"/>
      <c r="O18" s="31"/>
      <c r="P18" s="31"/>
      <c r="Q18" s="31"/>
      <c r="R18" s="31"/>
      <c r="S18" s="31"/>
      <c r="T18" s="31"/>
      <c r="U18" s="31"/>
      <c r="V18" s="31"/>
      <c r="W18" s="31"/>
      <c r="X18" s="31"/>
      <c r="Y18" s="31"/>
      <c r="Z18" s="31"/>
      <c r="AA18" s="31"/>
      <c r="AB18" s="31"/>
      <c r="AC18" s="32"/>
    </row>
    <row r="19" spans="2:29" x14ac:dyDescent="0.2">
      <c r="B19" s="90" t="s">
        <v>180</v>
      </c>
      <c r="C19" s="164">
        <v>0</v>
      </c>
      <c r="D19" s="88" t="str">
        <f>IF(C19&gt;=2,"PASS","FAIL")</f>
        <v>FAIL</v>
      </c>
      <c r="E19" s="164">
        <v>0</v>
      </c>
      <c r="F19" s="88" t="str">
        <f>IF(E19&gt;=2,"PASS","FAIL")</f>
        <v>FAIL</v>
      </c>
      <c r="G19" s="164">
        <v>0</v>
      </c>
      <c r="H19" s="88" t="str">
        <f>IF(G19&gt;=2,"PASS","FAIL")</f>
        <v>FAIL</v>
      </c>
      <c r="I19" s="164">
        <v>0</v>
      </c>
      <c r="J19" s="88" t="str">
        <f>IF(I19&gt;=2,"PASS","FAIL")</f>
        <v>FAIL</v>
      </c>
      <c r="K19" s="31"/>
      <c r="L19" s="31"/>
      <c r="M19" s="31"/>
      <c r="N19" s="31"/>
      <c r="O19" s="31"/>
      <c r="P19" s="31"/>
      <c r="Q19" s="31"/>
      <c r="R19" s="31"/>
      <c r="S19" s="31"/>
      <c r="T19" s="31"/>
      <c r="U19" s="31"/>
      <c r="V19" s="31"/>
      <c r="W19" s="31"/>
      <c r="X19" s="31"/>
      <c r="Y19" s="31"/>
      <c r="Z19" s="31"/>
      <c r="AA19" s="31"/>
      <c r="AB19" s="31"/>
      <c r="AC19" s="32"/>
    </row>
    <row r="20" spans="2:29" x14ac:dyDescent="0.2">
      <c r="B20" s="90" t="s">
        <v>181</v>
      </c>
      <c r="C20" s="164">
        <v>0</v>
      </c>
      <c r="D20" s="88"/>
      <c r="E20" s="164">
        <v>0</v>
      </c>
      <c r="F20" s="89"/>
      <c r="G20" s="164">
        <v>0</v>
      </c>
      <c r="H20" s="89"/>
      <c r="I20" s="164">
        <v>0</v>
      </c>
      <c r="J20" s="89"/>
      <c r="K20" s="31"/>
      <c r="L20" s="31"/>
      <c r="M20" s="31"/>
      <c r="N20" s="31"/>
      <c r="O20" s="31"/>
      <c r="P20" s="31"/>
      <c r="Q20" s="31"/>
      <c r="R20" s="31"/>
      <c r="S20" s="31"/>
      <c r="T20" s="31"/>
      <c r="U20" s="31"/>
      <c r="V20" s="31"/>
      <c r="W20" s="31"/>
      <c r="X20" s="31"/>
      <c r="Y20" s="31"/>
      <c r="Z20" s="31"/>
      <c r="AA20" s="31"/>
      <c r="AB20" s="31"/>
      <c r="AC20" s="32"/>
    </row>
    <row r="21" spans="2:29" x14ac:dyDescent="0.2">
      <c r="B21" s="90" t="s">
        <v>484</v>
      </c>
      <c r="C21" s="159">
        <v>0</v>
      </c>
      <c r="D21" s="88"/>
      <c r="E21" s="164">
        <v>0</v>
      </c>
      <c r="F21" s="89"/>
      <c r="G21" s="164">
        <v>0</v>
      </c>
      <c r="H21" s="89"/>
      <c r="I21" s="164">
        <v>0</v>
      </c>
      <c r="J21" s="89"/>
      <c r="K21" s="31"/>
      <c r="L21" s="31"/>
      <c r="M21" s="31"/>
      <c r="N21" s="31"/>
      <c r="O21" s="31"/>
      <c r="P21" s="31"/>
      <c r="Q21" s="31"/>
      <c r="R21" s="31"/>
      <c r="S21" s="31"/>
      <c r="T21" s="31"/>
      <c r="U21" s="31"/>
      <c r="V21" s="31"/>
      <c r="W21" s="31"/>
      <c r="X21" s="31"/>
      <c r="Y21" s="31"/>
      <c r="Z21" s="31"/>
      <c r="AA21" s="31"/>
      <c r="AB21" s="31"/>
      <c r="AC21" s="32"/>
    </row>
    <row r="22" spans="2:29" x14ac:dyDescent="0.2">
      <c r="B22" s="90" t="s">
        <v>187</v>
      </c>
      <c r="C22" s="91">
        <f>'T2.6.9 Shear Tests'!$W$54</f>
        <v>0</v>
      </c>
      <c r="D22" s="88"/>
      <c r="E22" s="92">
        <f>'T2.6.9 Shear Tests'!$W$54</f>
        <v>0</v>
      </c>
      <c r="F22" s="89"/>
      <c r="G22" s="92">
        <f>'T2.6.9 Shear Tests'!$W$54</f>
        <v>0</v>
      </c>
      <c r="H22" s="89"/>
      <c r="I22" s="92">
        <f>'T2.6.9 Shear Tests'!$W$54</f>
        <v>0</v>
      </c>
      <c r="J22" s="89"/>
      <c r="K22" s="31"/>
      <c r="L22" s="31"/>
      <c r="M22" s="31"/>
      <c r="N22" s="31"/>
      <c r="O22" s="31"/>
      <c r="P22" s="31"/>
      <c r="Q22" s="31"/>
      <c r="R22" s="31"/>
      <c r="S22" s="31"/>
      <c r="T22" s="31"/>
      <c r="U22" s="31"/>
      <c r="V22" s="31"/>
      <c r="W22" s="31"/>
      <c r="X22" s="31"/>
      <c r="Y22" s="31"/>
      <c r="Z22" s="31"/>
      <c r="AA22" s="31"/>
      <c r="AB22" s="31"/>
      <c r="AC22" s="32"/>
    </row>
    <row r="23" spans="2:29" x14ac:dyDescent="0.2">
      <c r="B23" s="90" t="s">
        <v>182</v>
      </c>
      <c r="C23" s="93">
        <f>((C15*C16)+(C17*C18))*C22*0.001</f>
        <v>0</v>
      </c>
      <c r="D23" s="88" t="str">
        <f>IF(C23&gt;=30,"PASS","FAIL")</f>
        <v>FAIL</v>
      </c>
      <c r="E23" s="93">
        <f>((E15*E16)+(E17*E18))*E22*0.001</f>
        <v>0</v>
      </c>
      <c r="F23" s="89" t="str">
        <f>IF(E23&gt;=30,"PASS","FAIL")</f>
        <v>FAIL</v>
      </c>
      <c r="G23" s="93">
        <f>((G15*G16)+(G17*G18))*G22*0.001</f>
        <v>0</v>
      </c>
      <c r="H23" s="89" t="str">
        <f>IF(G23&gt;=30,"PASS","FAIL")</f>
        <v>FAIL</v>
      </c>
      <c r="I23" s="93">
        <f>((I15*I16)+(I17*I18))*I22*0.001</f>
        <v>0</v>
      </c>
      <c r="J23" s="89" t="str">
        <f>IF(I23&gt;=30,"PASS","FAIL")</f>
        <v>FAIL</v>
      </c>
      <c r="K23" s="31"/>
      <c r="L23" s="31"/>
      <c r="M23" s="31"/>
      <c r="N23" s="31"/>
      <c r="O23" s="31"/>
      <c r="P23" s="31"/>
      <c r="Q23" s="31"/>
      <c r="R23" s="31"/>
      <c r="S23" s="31"/>
      <c r="T23" s="31"/>
      <c r="U23" s="31"/>
      <c r="V23" s="31"/>
      <c r="W23" s="31"/>
      <c r="X23" s="31"/>
      <c r="Y23" s="31"/>
      <c r="Z23" s="31"/>
      <c r="AA23" s="31"/>
      <c r="AB23" s="31"/>
      <c r="AC23" s="32"/>
    </row>
    <row r="24" spans="2:29" x14ac:dyDescent="0.2">
      <c r="B24" s="53" t="s">
        <v>182</v>
      </c>
      <c r="C24" s="93">
        <f>((C16*C17)+(C18*C20))*C22*0.001</f>
        <v>0</v>
      </c>
      <c r="D24" s="88" t="str">
        <f>IF(C24&gt;=30,"PASS","FAIL")</f>
        <v>FAIL</v>
      </c>
      <c r="E24" s="93">
        <f>((E16*E17)+(E18*E20))*E22*0.001</f>
        <v>0</v>
      </c>
      <c r="F24" s="89" t="str">
        <f>IF(E24&gt;=30,"PASS","FAIL")</f>
        <v>FAIL</v>
      </c>
      <c r="G24" s="93">
        <f>((G16*G17)+(G18*G20))*G22*0.001</f>
        <v>0</v>
      </c>
      <c r="H24" s="89" t="str">
        <f>IF(G24&gt;=30,"PASS","FAIL")</f>
        <v>FAIL</v>
      </c>
      <c r="I24" s="93">
        <f>((I16*I17)+(I18*I20))*I22*0.001</f>
        <v>0</v>
      </c>
      <c r="J24" s="89" t="str">
        <f>IF(I24&gt;=30,"PASS","FAIL")</f>
        <v>FAIL</v>
      </c>
      <c r="K24" s="31"/>
      <c r="L24" s="31"/>
      <c r="M24" s="31"/>
      <c r="N24" s="31"/>
      <c r="O24" s="31"/>
      <c r="P24" s="31"/>
      <c r="Q24" s="31"/>
      <c r="R24" s="31"/>
      <c r="S24" s="31"/>
      <c r="T24" s="31"/>
      <c r="U24" s="31"/>
      <c r="V24" s="31"/>
      <c r="W24" s="31"/>
      <c r="X24" s="31"/>
      <c r="Y24" s="31"/>
      <c r="Z24" s="31"/>
      <c r="AA24" s="31"/>
      <c r="AB24" s="31"/>
      <c r="AC24" s="32"/>
    </row>
    <row r="25" spans="2:29" x14ac:dyDescent="0.2">
      <c r="B25" s="401" t="s">
        <v>483</v>
      </c>
      <c r="C25" s="402">
        <f>C22*2*C21*(C16+C18)*0.001</f>
        <v>0</v>
      </c>
      <c r="D25" s="88" t="str">
        <f>IF(C25&gt;=30,"PASS","FAIL")</f>
        <v>FAIL</v>
      </c>
      <c r="E25" s="402">
        <f>E22*2*E21*(E16+E18)*0.001</f>
        <v>0</v>
      </c>
      <c r="F25" s="89" t="str">
        <f>IF(E25&gt;=30,"PASS","FAIL")</f>
        <v>FAIL</v>
      </c>
      <c r="G25" s="402">
        <f>G22*2*G21*(G16+G18)*0.001</f>
        <v>0</v>
      </c>
      <c r="H25" s="89" t="str">
        <f>IF(G25&gt;=30,"PASS","FAIL")</f>
        <v>FAIL</v>
      </c>
      <c r="I25" s="402">
        <f>I22*2*I21*(I16+I18)*0.001</f>
        <v>0</v>
      </c>
      <c r="J25" s="89" t="str">
        <f>IF(I25&gt;=30,"PASS","FAIL")</f>
        <v>FAIL</v>
      </c>
      <c r="K25" s="31"/>
      <c r="L25" s="31"/>
      <c r="M25" s="31"/>
      <c r="N25" s="31"/>
      <c r="O25" s="31"/>
      <c r="P25" s="31"/>
      <c r="Q25" s="31"/>
      <c r="R25" s="31"/>
      <c r="S25" s="31"/>
      <c r="T25" s="31"/>
      <c r="U25" s="31"/>
      <c r="V25" s="31"/>
      <c r="W25" s="31"/>
      <c r="X25" s="31"/>
      <c r="Y25" s="31"/>
      <c r="Z25" s="31"/>
      <c r="AA25" s="31"/>
      <c r="AB25" s="31"/>
      <c r="AC25" s="32"/>
    </row>
    <row r="26" spans="2:29" x14ac:dyDescent="0.2">
      <c r="B26" s="743" t="s">
        <v>520</v>
      </c>
      <c r="C26" s="744"/>
      <c r="D26" s="744"/>
      <c r="E26" s="744"/>
      <c r="F26" s="744"/>
      <c r="G26" s="744"/>
      <c r="H26" s="744"/>
      <c r="I26" s="744"/>
      <c r="J26" s="745"/>
      <c r="K26" s="30"/>
      <c r="L26" s="31"/>
      <c r="M26" s="31"/>
      <c r="N26" s="31"/>
      <c r="O26" s="31"/>
      <c r="P26" s="31"/>
      <c r="Q26" s="31"/>
      <c r="R26" s="31"/>
      <c r="S26" s="31"/>
      <c r="T26" s="31"/>
      <c r="U26" s="31"/>
      <c r="V26" s="31"/>
      <c r="W26" s="31"/>
      <c r="X26" s="31"/>
      <c r="Y26" s="31"/>
      <c r="Z26" s="31"/>
      <c r="AA26" s="31"/>
      <c r="AB26" s="31"/>
      <c r="AC26" s="32"/>
    </row>
    <row r="27" spans="2:29" x14ac:dyDescent="0.2">
      <c r="B27" s="746"/>
      <c r="C27" s="747"/>
      <c r="D27" s="747"/>
      <c r="E27" s="747"/>
      <c r="F27" s="747"/>
      <c r="G27" s="747"/>
      <c r="H27" s="747"/>
      <c r="I27" s="747"/>
      <c r="J27" s="748"/>
      <c r="K27" s="30"/>
      <c r="L27" s="31"/>
      <c r="M27" s="31"/>
      <c r="N27" s="31"/>
      <c r="O27" s="31"/>
      <c r="P27" s="31"/>
      <c r="Q27" s="31"/>
      <c r="R27" s="31"/>
      <c r="S27" s="31"/>
      <c r="T27" s="31"/>
      <c r="U27" s="31"/>
      <c r="V27" s="31"/>
      <c r="W27" s="31"/>
      <c r="X27" s="31"/>
      <c r="Y27" s="31"/>
      <c r="Z27" s="31"/>
      <c r="AA27" s="31"/>
      <c r="AB27" s="31"/>
      <c r="AC27" s="32"/>
    </row>
    <row r="28" spans="2:29" s="166" customFormat="1" x14ac:dyDescent="0.2">
      <c r="B28" s="24"/>
      <c r="C28" s="25"/>
      <c r="D28" s="25"/>
      <c r="E28" s="25"/>
      <c r="F28" s="25"/>
      <c r="G28" s="25"/>
      <c r="H28" s="25"/>
      <c r="I28" s="25"/>
      <c r="J28" s="25"/>
      <c r="K28" s="31"/>
      <c r="L28" s="31"/>
      <c r="M28" s="31"/>
      <c r="N28" s="31"/>
      <c r="O28" s="31"/>
      <c r="P28" s="31"/>
      <c r="Q28" s="31"/>
      <c r="R28" s="31"/>
      <c r="S28" s="31"/>
      <c r="T28" s="31"/>
      <c r="U28" s="31"/>
      <c r="V28" s="31"/>
      <c r="W28" s="31"/>
      <c r="X28" s="31"/>
      <c r="Y28" s="31"/>
      <c r="Z28" s="31"/>
      <c r="AA28" s="31"/>
      <c r="AB28" s="31"/>
      <c r="AC28" s="32"/>
    </row>
    <row r="29" spans="2:29" s="166" customFormat="1" x14ac:dyDescent="0.2">
      <c r="B29" s="513" t="s">
        <v>480</v>
      </c>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2"/>
    </row>
    <row r="30" spans="2:29" s="166" customFormat="1" x14ac:dyDescent="0.2">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2"/>
    </row>
    <row r="31" spans="2:29" s="166" customFormat="1" x14ac:dyDescent="0.2">
      <c r="B31" s="262"/>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2"/>
    </row>
    <row r="32" spans="2:29"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2"/>
    </row>
    <row r="33" spans="2:29" s="166" customFormat="1" x14ac:dyDescent="0.2">
      <c r="B33" s="262"/>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2"/>
    </row>
    <row r="34" spans="2:29"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2"/>
    </row>
    <row r="35" spans="2:29"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2"/>
    </row>
    <row r="36" spans="2:29"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2"/>
    </row>
    <row r="37" spans="2:29"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2"/>
    </row>
    <row r="38" spans="2:29"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2"/>
    </row>
    <row r="39" spans="2:29"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2"/>
    </row>
    <row r="40" spans="2:29"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2"/>
    </row>
    <row r="41" spans="2:29"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2"/>
    </row>
    <row r="42" spans="2:29"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2"/>
    </row>
    <row r="43" spans="2:29"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2"/>
    </row>
    <row r="44" spans="2:29"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2"/>
    </row>
    <row r="45" spans="2:29"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2"/>
    </row>
    <row r="46" spans="2:29"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2"/>
    </row>
    <row r="47" spans="2:29"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2"/>
    </row>
    <row r="48" spans="2:29"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2"/>
    </row>
    <row r="49" spans="2:29"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2"/>
    </row>
    <row r="50" spans="2:29"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2"/>
    </row>
    <row r="51" spans="2:29"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2"/>
    </row>
    <row r="52" spans="2:29"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2"/>
    </row>
    <row r="53" spans="2:29"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2"/>
    </row>
    <row r="54" spans="2:29" s="166" customFormat="1" x14ac:dyDescent="0.2">
      <c r="B54" s="38"/>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9"/>
    </row>
    <row r="55" spans="2:29" s="166" customFormat="1" x14ac:dyDescent="0.2"/>
    <row r="56" spans="2:29" s="166" customFormat="1" x14ac:dyDescent="0.2"/>
    <row r="57" spans="2:29" s="166" customFormat="1" x14ac:dyDescent="0.2"/>
    <row r="58" spans="2:29" s="166" customFormat="1" x14ac:dyDescent="0.2"/>
    <row r="59" spans="2:29" s="166" customFormat="1" x14ac:dyDescent="0.2"/>
    <row r="60" spans="2:29" s="166" customFormat="1" x14ac:dyDescent="0.2"/>
    <row r="61" spans="2:29" s="166" customFormat="1" x14ac:dyDescent="0.2"/>
    <row r="62" spans="2:29" s="166" customFormat="1" x14ac:dyDescent="0.2"/>
    <row r="63" spans="2:29" s="166" customFormat="1" x14ac:dyDescent="0.2"/>
    <row r="64" spans="2:29"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row r="10001" s="166" customFormat="1" x14ac:dyDescent="0.2"/>
    <row r="10002" s="166" customFormat="1" x14ac:dyDescent="0.2"/>
    <row r="10003" s="166" customFormat="1" x14ac:dyDescent="0.2"/>
    <row r="10004" s="166" customFormat="1" x14ac:dyDescent="0.2"/>
    <row r="10005" s="166" customFormat="1" x14ac:dyDescent="0.2"/>
    <row r="10006" s="166" customFormat="1" x14ac:dyDescent="0.2"/>
    <row r="10007" s="166" customFormat="1" x14ac:dyDescent="0.2"/>
    <row r="10008" s="166" customFormat="1" x14ac:dyDescent="0.2"/>
    <row r="10009" s="166" customFormat="1" x14ac:dyDescent="0.2"/>
    <row r="10010" s="166" customFormat="1" x14ac:dyDescent="0.2"/>
    <row r="10011" s="166" customFormat="1" x14ac:dyDescent="0.2"/>
    <row r="10012" s="166" customFormat="1" x14ac:dyDescent="0.2"/>
    <row r="10013" s="166" customFormat="1" x14ac:dyDescent="0.2"/>
    <row r="10014" s="166" customFormat="1" x14ac:dyDescent="0.2"/>
    <row r="10015" s="166" customFormat="1" x14ac:dyDescent="0.2"/>
    <row r="10016" s="166" customFormat="1" x14ac:dyDescent="0.2"/>
    <row r="10017" s="166" customFormat="1" x14ac:dyDescent="0.2"/>
    <row r="10018" s="166" customFormat="1" x14ac:dyDescent="0.2"/>
    <row r="10019" s="166" customFormat="1" x14ac:dyDescent="0.2"/>
    <row r="10020" s="166" customFormat="1" x14ac:dyDescent="0.2"/>
    <row r="10021" s="166" customFormat="1" x14ac:dyDescent="0.2"/>
    <row r="10022" s="166" customFormat="1" x14ac:dyDescent="0.2"/>
    <row r="10023" s="166" customFormat="1" x14ac:dyDescent="0.2"/>
    <row r="10024" s="166" customFormat="1" x14ac:dyDescent="0.2"/>
    <row r="10025" s="166" customFormat="1" x14ac:dyDescent="0.2"/>
    <row r="10026" s="166" customFormat="1" x14ac:dyDescent="0.2"/>
    <row r="10027" s="166" customFormat="1" x14ac:dyDescent="0.2"/>
    <row r="10028" s="166" customFormat="1" x14ac:dyDescent="0.2"/>
    <row r="10029" s="166" customFormat="1" x14ac:dyDescent="0.2"/>
    <row r="10030" s="166" customFormat="1" x14ac:dyDescent="0.2"/>
    <row r="10031" s="166" customFormat="1" x14ac:dyDescent="0.2"/>
    <row r="10032" s="166" customFormat="1" x14ac:dyDescent="0.2"/>
    <row r="10033" s="166" customFormat="1" x14ac:dyDescent="0.2"/>
    <row r="10034" s="166" customFormat="1" x14ac:dyDescent="0.2"/>
    <row r="10035" s="166" customFormat="1" x14ac:dyDescent="0.2"/>
    <row r="10036" s="166" customFormat="1" x14ac:dyDescent="0.2"/>
    <row r="10037" s="166" customFormat="1" x14ac:dyDescent="0.2"/>
    <row r="10038" s="166" customFormat="1" x14ac:dyDescent="0.2"/>
    <row r="10039" s="166" customFormat="1" x14ac:dyDescent="0.2"/>
    <row r="10040" s="166" customFormat="1" x14ac:dyDescent="0.2"/>
    <row r="10041" s="166" customFormat="1" x14ac:dyDescent="0.2"/>
    <row r="10042" s="166" customFormat="1" x14ac:dyDescent="0.2"/>
    <row r="10043" s="166" customFormat="1" x14ac:dyDescent="0.2"/>
    <row r="10044" s="166" customFormat="1" x14ac:dyDescent="0.2"/>
    <row r="10045" s="166" customFormat="1" x14ac:dyDescent="0.2"/>
    <row r="10046" s="166" customFormat="1" x14ac:dyDescent="0.2"/>
    <row r="10047" s="166" customFormat="1" x14ac:dyDescent="0.2"/>
    <row r="10048" s="166" customFormat="1" x14ac:dyDescent="0.2"/>
    <row r="10049" s="166" customFormat="1" x14ac:dyDescent="0.2"/>
    <row r="10050" s="166" customFormat="1" x14ac:dyDescent="0.2"/>
    <row r="10051" s="166" customFormat="1" x14ac:dyDescent="0.2"/>
    <row r="10052" s="166" customFormat="1" x14ac:dyDescent="0.2"/>
    <row r="10053" s="166" customFormat="1" x14ac:dyDescent="0.2"/>
    <row r="10054" s="166" customFormat="1" x14ac:dyDescent="0.2"/>
    <row r="10055" s="166" customFormat="1" x14ac:dyDescent="0.2"/>
    <row r="10056" s="166" customFormat="1" x14ac:dyDescent="0.2"/>
    <row r="10057" s="166" customFormat="1" x14ac:dyDescent="0.2"/>
    <row r="10058" s="166" customFormat="1" x14ac:dyDescent="0.2"/>
    <row r="10059" s="166" customFormat="1" x14ac:dyDescent="0.2"/>
    <row r="10060" s="166" customFormat="1" x14ac:dyDescent="0.2"/>
    <row r="10061" s="166" customFormat="1" x14ac:dyDescent="0.2"/>
    <row r="10062" s="166" customFormat="1" x14ac:dyDescent="0.2"/>
    <row r="10063" s="166" customFormat="1" x14ac:dyDescent="0.2"/>
    <row r="10064" s="166" customFormat="1" x14ac:dyDescent="0.2"/>
    <row r="10065" s="166" customFormat="1" x14ac:dyDescent="0.2"/>
    <row r="10066" s="166" customFormat="1" x14ac:dyDescent="0.2"/>
    <row r="10067" s="166" customFormat="1" x14ac:dyDescent="0.2"/>
    <row r="10068" s="166" customFormat="1" x14ac:dyDescent="0.2"/>
    <row r="10069" s="166" customFormat="1" x14ac:dyDescent="0.2"/>
    <row r="10070" s="166" customFormat="1" x14ac:dyDescent="0.2"/>
    <row r="10071" s="166" customFormat="1" x14ac:dyDescent="0.2"/>
    <row r="10072" s="166" customFormat="1" x14ac:dyDescent="0.2"/>
    <row r="10073" s="166" customFormat="1" x14ac:dyDescent="0.2"/>
    <row r="10074" s="166" customFormat="1" x14ac:dyDescent="0.2"/>
    <row r="10075" s="166" customFormat="1" x14ac:dyDescent="0.2"/>
    <row r="10076" s="166" customFormat="1" x14ac:dyDescent="0.2"/>
    <row r="10077" s="166" customFormat="1" x14ac:dyDescent="0.2"/>
    <row r="10078" s="166" customFormat="1" x14ac:dyDescent="0.2"/>
    <row r="10079" s="166" customFormat="1" x14ac:dyDescent="0.2"/>
    <row r="10080" s="166" customFormat="1" x14ac:dyDescent="0.2"/>
    <row r="10081" s="166" customFormat="1" x14ac:dyDescent="0.2"/>
    <row r="10082" s="166" customFormat="1" x14ac:dyDescent="0.2"/>
    <row r="10083" s="166" customFormat="1" x14ac:dyDescent="0.2"/>
    <row r="10084" s="166" customFormat="1" x14ac:dyDescent="0.2"/>
    <row r="10085" s="166" customFormat="1" x14ac:dyDescent="0.2"/>
    <row r="10086" s="166" customFormat="1" x14ac:dyDescent="0.2"/>
    <row r="10087" s="166" customFormat="1" x14ac:dyDescent="0.2"/>
    <row r="10088" s="166" customFormat="1" x14ac:dyDescent="0.2"/>
    <row r="10089" s="166" customFormat="1" x14ac:dyDescent="0.2"/>
    <row r="10090" s="166" customFormat="1" x14ac:dyDescent="0.2"/>
    <row r="10091" s="166" customFormat="1" x14ac:dyDescent="0.2"/>
    <row r="10092" s="166" customFormat="1" x14ac:dyDescent="0.2"/>
    <row r="10093" s="166" customFormat="1" x14ac:dyDescent="0.2"/>
    <row r="10094" s="166" customFormat="1" x14ac:dyDescent="0.2"/>
    <row r="10095" s="166" customFormat="1" x14ac:dyDescent="0.2"/>
    <row r="10096" s="166" customFormat="1" x14ac:dyDescent="0.2"/>
    <row r="10097" s="166" customFormat="1" x14ac:dyDescent="0.2"/>
    <row r="10098" s="166" customFormat="1" x14ac:dyDescent="0.2"/>
    <row r="10099" s="166" customFormat="1" x14ac:dyDescent="0.2"/>
    <row r="10100" s="166" customFormat="1" x14ac:dyDescent="0.2"/>
    <row r="10101" s="166" customFormat="1" x14ac:dyDescent="0.2"/>
    <row r="10102" s="166" customFormat="1" x14ac:dyDescent="0.2"/>
    <row r="10103" s="166" customFormat="1" x14ac:dyDescent="0.2"/>
    <row r="10104" s="166" customFormat="1" x14ac:dyDescent="0.2"/>
    <row r="10105" s="166" customFormat="1" x14ac:dyDescent="0.2"/>
    <row r="10106" s="166" customFormat="1" x14ac:dyDescent="0.2"/>
    <row r="10107" s="166" customFormat="1" x14ac:dyDescent="0.2"/>
    <row r="10108" s="166" customFormat="1" x14ac:dyDescent="0.2"/>
    <row r="10109" s="166" customFormat="1" x14ac:dyDescent="0.2"/>
    <row r="10110" s="166" customFormat="1" x14ac:dyDescent="0.2"/>
    <row r="10111" s="166" customFormat="1" x14ac:dyDescent="0.2"/>
    <row r="10112" s="166" customFormat="1" x14ac:dyDescent="0.2"/>
    <row r="10113" s="166" customFormat="1" x14ac:dyDescent="0.2"/>
    <row r="10114" s="166" customFormat="1" x14ac:dyDescent="0.2"/>
    <row r="10115" s="166" customFormat="1" x14ac:dyDescent="0.2"/>
    <row r="10116" s="166" customFormat="1" x14ac:dyDescent="0.2"/>
    <row r="10117" s="166" customFormat="1" x14ac:dyDescent="0.2"/>
    <row r="10118" s="166" customFormat="1" x14ac:dyDescent="0.2"/>
    <row r="10119" s="166" customFormat="1" x14ac:dyDescent="0.2"/>
    <row r="10120" s="166" customFormat="1" x14ac:dyDescent="0.2"/>
    <row r="10121" s="166" customFormat="1" x14ac:dyDescent="0.2"/>
    <row r="10122" s="166" customFormat="1" x14ac:dyDescent="0.2"/>
    <row r="10123" s="166" customFormat="1" x14ac:dyDescent="0.2"/>
    <row r="10124" s="166" customFormat="1" x14ac:dyDescent="0.2"/>
    <row r="10125" s="166" customFormat="1" x14ac:dyDescent="0.2"/>
    <row r="10126" s="166" customFormat="1" x14ac:dyDescent="0.2"/>
    <row r="10127" s="166" customFormat="1" x14ac:dyDescent="0.2"/>
    <row r="10128" s="166" customFormat="1" x14ac:dyDescent="0.2"/>
    <row r="10129" s="166" customFormat="1" x14ac:dyDescent="0.2"/>
    <row r="10130" s="166" customFormat="1" x14ac:dyDescent="0.2"/>
    <row r="10131" s="166" customFormat="1" x14ac:dyDescent="0.2"/>
    <row r="10132" s="166" customFormat="1" x14ac:dyDescent="0.2"/>
    <row r="10133" s="166" customFormat="1" x14ac:dyDescent="0.2"/>
    <row r="10134" s="166" customFormat="1" x14ac:dyDescent="0.2"/>
    <row r="10135" s="166" customFormat="1" x14ac:dyDescent="0.2"/>
    <row r="10136" s="166" customFormat="1" x14ac:dyDescent="0.2"/>
    <row r="10137" s="166" customFormat="1" x14ac:dyDescent="0.2"/>
    <row r="10138" s="166" customFormat="1" x14ac:dyDescent="0.2"/>
    <row r="10139" s="166" customFormat="1" x14ac:dyDescent="0.2"/>
    <row r="10140" s="166" customFormat="1" x14ac:dyDescent="0.2"/>
    <row r="10141" s="166" customFormat="1" x14ac:dyDescent="0.2"/>
    <row r="10142" s="166" customFormat="1" x14ac:dyDescent="0.2"/>
    <row r="10143" s="166" customFormat="1" x14ac:dyDescent="0.2"/>
    <row r="10144" s="166" customFormat="1" x14ac:dyDescent="0.2"/>
    <row r="10145" s="166" customFormat="1" x14ac:dyDescent="0.2"/>
    <row r="10146" s="166" customFormat="1" x14ac:dyDescent="0.2"/>
    <row r="10147" s="166" customFormat="1" x14ac:dyDescent="0.2"/>
    <row r="10148" s="166" customFormat="1" x14ac:dyDescent="0.2"/>
    <row r="10149" s="166" customFormat="1" x14ac:dyDescent="0.2"/>
    <row r="10150" s="166" customFormat="1" x14ac:dyDescent="0.2"/>
    <row r="10151" s="166" customFormat="1" x14ac:dyDescent="0.2"/>
    <row r="10152" s="166" customFormat="1" x14ac:dyDescent="0.2"/>
    <row r="10153" s="166" customFormat="1" x14ac:dyDescent="0.2"/>
    <row r="10154" s="166" customFormat="1" x14ac:dyDescent="0.2"/>
    <row r="10155" s="166" customFormat="1" x14ac:dyDescent="0.2"/>
    <row r="10156" s="166" customFormat="1" x14ac:dyDescent="0.2"/>
    <row r="10157" s="166" customFormat="1" x14ac:dyDescent="0.2"/>
    <row r="10158" s="166" customFormat="1" x14ac:dyDescent="0.2"/>
    <row r="10159" s="166" customFormat="1" x14ac:dyDescent="0.2"/>
    <row r="10160" s="166" customFormat="1" x14ac:dyDescent="0.2"/>
    <row r="10161" s="166" customFormat="1" x14ac:dyDescent="0.2"/>
    <row r="10162" s="166" customFormat="1" x14ac:dyDescent="0.2"/>
    <row r="10163" s="166" customFormat="1" x14ac:dyDescent="0.2"/>
    <row r="10164" s="166" customFormat="1" x14ac:dyDescent="0.2"/>
    <row r="10165" s="166" customFormat="1" x14ac:dyDescent="0.2"/>
    <row r="10166" s="166" customFormat="1" x14ac:dyDescent="0.2"/>
    <row r="10167" s="166" customFormat="1" x14ac:dyDescent="0.2"/>
    <row r="10168" s="166" customFormat="1" x14ac:dyDescent="0.2"/>
    <row r="10169" s="166" customFormat="1" x14ac:dyDescent="0.2"/>
    <row r="10170" s="166" customFormat="1" x14ac:dyDescent="0.2"/>
    <row r="10171" s="166" customFormat="1" x14ac:dyDescent="0.2"/>
    <row r="10172" s="166" customFormat="1" x14ac:dyDescent="0.2"/>
    <row r="10173" s="166" customFormat="1" x14ac:dyDescent="0.2"/>
    <row r="10174" s="166" customFormat="1" x14ac:dyDescent="0.2"/>
    <row r="10175" s="166" customFormat="1" x14ac:dyDescent="0.2"/>
    <row r="10176" s="166" customFormat="1" x14ac:dyDescent="0.2"/>
    <row r="10177" s="166" customFormat="1" x14ac:dyDescent="0.2"/>
    <row r="10178" s="166" customFormat="1" x14ac:dyDescent="0.2"/>
    <row r="10179" s="166" customFormat="1" x14ac:dyDescent="0.2"/>
    <row r="10180" s="166" customFormat="1" x14ac:dyDescent="0.2"/>
    <row r="10181" s="166" customFormat="1" x14ac:dyDescent="0.2"/>
    <row r="10182" s="166" customFormat="1" x14ac:dyDescent="0.2"/>
    <row r="10183" s="166" customFormat="1" x14ac:dyDescent="0.2"/>
    <row r="10184" s="166" customFormat="1" x14ac:dyDescent="0.2"/>
    <row r="10185" s="166" customFormat="1" x14ac:dyDescent="0.2"/>
    <row r="10186" s="166" customFormat="1" x14ac:dyDescent="0.2"/>
    <row r="10187" s="166" customFormat="1" x14ac:dyDescent="0.2"/>
    <row r="10188" s="166" customFormat="1" x14ac:dyDescent="0.2"/>
    <row r="10189" s="166" customFormat="1" x14ac:dyDescent="0.2"/>
    <row r="10190" s="166" customFormat="1" x14ac:dyDescent="0.2"/>
    <row r="10191" s="166" customFormat="1" x14ac:dyDescent="0.2"/>
    <row r="10192" s="166" customFormat="1" x14ac:dyDescent="0.2"/>
    <row r="10193" s="166" customFormat="1" x14ac:dyDescent="0.2"/>
    <row r="10194" s="166" customFormat="1" x14ac:dyDescent="0.2"/>
    <row r="10195" s="166" customFormat="1" x14ac:dyDescent="0.2"/>
    <row r="10196" s="166" customFormat="1" x14ac:dyDescent="0.2"/>
    <row r="10197" s="166" customFormat="1" x14ac:dyDescent="0.2"/>
    <row r="10198" s="166" customFormat="1" x14ac:dyDescent="0.2"/>
    <row r="10199" s="166" customFormat="1" x14ac:dyDescent="0.2"/>
    <row r="10200" s="166" customFormat="1" x14ac:dyDescent="0.2"/>
    <row r="10201" s="166" customFormat="1" x14ac:dyDescent="0.2"/>
    <row r="10202" s="166" customFormat="1" x14ac:dyDescent="0.2"/>
    <row r="10203" s="166" customFormat="1" x14ac:dyDescent="0.2"/>
    <row r="10204" s="166" customFormat="1" x14ac:dyDescent="0.2"/>
    <row r="10205" s="166" customFormat="1" x14ac:dyDescent="0.2"/>
    <row r="10206" s="166" customFormat="1" x14ac:dyDescent="0.2"/>
    <row r="10207" s="166" customFormat="1" x14ac:dyDescent="0.2"/>
    <row r="10208" s="166" customFormat="1" x14ac:dyDescent="0.2"/>
    <row r="10209" s="166" customFormat="1" x14ac:dyDescent="0.2"/>
    <row r="10210" s="166" customFormat="1" x14ac:dyDescent="0.2"/>
    <row r="10211" s="166" customFormat="1" x14ac:dyDescent="0.2"/>
    <row r="10212" s="166" customFormat="1" x14ac:dyDescent="0.2"/>
    <row r="10213" s="166" customFormat="1" x14ac:dyDescent="0.2"/>
    <row r="10214" s="166" customFormat="1" x14ac:dyDescent="0.2"/>
    <row r="10215" s="166" customFormat="1" x14ac:dyDescent="0.2"/>
    <row r="10216" s="166" customFormat="1" x14ac:dyDescent="0.2"/>
    <row r="10217" s="166" customFormat="1" x14ac:dyDescent="0.2"/>
    <row r="10218" s="166" customFormat="1" x14ac:dyDescent="0.2"/>
    <row r="10219" s="166" customFormat="1" x14ac:dyDescent="0.2"/>
    <row r="10220" s="166" customFormat="1" x14ac:dyDescent="0.2"/>
    <row r="10221" s="166" customFormat="1" x14ac:dyDescent="0.2"/>
    <row r="10222" s="166" customFormat="1" x14ac:dyDescent="0.2"/>
    <row r="10223" s="166" customFormat="1" x14ac:dyDescent="0.2"/>
    <row r="10224" s="166" customFormat="1" x14ac:dyDescent="0.2"/>
    <row r="10225" s="166" customFormat="1" x14ac:dyDescent="0.2"/>
    <row r="10226" s="166" customFormat="1" x14ac:dyDescent="0.2"/>
    <row r="10227" s="166" customFormat="1" x14ac:dyDescent="0.2"/>
    <row r="10228" s="166" customFormat="1" x14ac:dyDescent="0.2"/>
    <row r="10229" s="166" customFormat="1" x14ac:dyDescent="0.2"/>
    <row r="10230" s="166" customFormat="1" x14ac:dyDescent="0.2"/>
    <row r="10231" s="166" customFormat="1" x14ac:dyDescent="0.2"/>
    <row r="10232" s="166" customFormat="1" x14ac:dyDescent="0.2"/>
    <row r="10233" s="166" customFormat="1" x14ac:dyDescent="0.2"/>
    <row r="10234" s="166" customFormat="1" x14ac:dyDescent="0.2"/>
    <row r="10235" s="166" customFormat="1" x14ac:dyDescent="0.2"/>
    <row r="10236" s="166" customFormat="1" x14ac:dyDescent="0.2"/>
    <row r="10237" s="166" customFormat="1" x14ac:dyDescent="0.2"/>
    <row r="10238" s="166" customFormat="1" x14ac:dyDescent="0.2"/>
    <row r="10239" s="166" customFormat="1" x14ac:dyDescent="0.2"/>
    <row r="10240" s="166" customFormat="1" x14ac:dyDescent="0.2"/>
    <row r="10241" s="166" customFormat="1" x14ac:dyDescent="0.2"/>
    <row r="10242" s="166" customFormat="1" x14ac:dyDescent="0.2"/>
    <row r="10243" s="166" customFormat="1" x14ac:dyDescent="0.2"/>
    <row r="10244" s="166" customFormat="1" x14ac:dyDescent="0.2"/>
    <row r="10245" s="166" customFormat="1" x14ac:dyDescent="0.2"/>
    <row r="10246" s="166" customFormat="1" x14ac:dyDescent="0.2"/>
    <row r="10247" s="166" customFormat="1" x14ac:dyDescent="0.2"/>
    <row r="10248" s="166" customFormat="1" x14ac:dyDescent="0.2"/>
    <row r="10249" s="166" customFormat="1" x14ac:dyDescent="0.2"/>
    <row r="10250" s="166" customFormat="1" x14ac:dyDescent="0.2"/>
    <row r="10251" s="166" customFormat="1" x14ac:dyDescent="0.2"/>
    <row r="10252" s="166" customFormat="1" x14ac:dyDescent="0.2"/>
    <row r="10253" s="166" customFormat="1" x14ac:dyDescent="0.2"/>
    <row r="10254" s="166" customFormat="1" x14ac:dyDescent="0.2"/>
    <row r="10255" s="166" customFormat="1" x14ac:dyDescent="0.2"/>
    <row r="10256" s="166" customFormat="1" x14ac:dyDescent="0.2"/>
    <row r="10257" s="166" customFormat="1" x14ac:dyDescent="0.2"/>
    <row r="10258" s="166" customFormat="1" x14ac:dyDescent="0.2"/>
    <row r="10259" s="166" customFormat="1" x14ac:dyDescent="0.2"/>
    <row r="10260" s="166" customFormat="1" x14ac:dyDescent="0.2"/>
    <row r="10261" s="166" customFormat="1" x14ac:dyDescent="0.2"/>
    <row r="10262" s="166" customFormat="1" x14ac:dyDescent="0.2"/>
    <row r="10263" s="166" customFormat="1" x14ac:dyDescent="0.2"/>
    <row r="10264" s="166" customFormat="1" x14ac:dyDescent="0.2"/>
    <row r="10265" s="166" customFormat="1" x14ac:dyDescent="0.2"/>
    <row r="10266" s="166" customFormat="1" x14ac:dyDescent="0.2"/>
    <row r="10267" s="166" customFormat="1" x14ac:dyDescent="0.2"/>
    <row r="10268" s="166" customFormat="1" x14ac:dyDescent="0.2"/>
    <row r="10269" s="166" customFormat="1" x14ac:dyDescent="0.2"/>
    <row r="10270" s="166" customFormat="1" x14ac:dyDescent="0.2"/>
    <row r="10271" s="166" customFormat="1" x14ac:dyDescent="0.2"/>
    <row r="10272" s="166" customFormat="1" x14ac:dyDescent="0.2"/>
    <row r="10273" s="166" customFormat="1" x14ac:dyDescent="0.2"/>
    <row r="10274" s="166" customFormat="1" x14ac:dyDescent="0.2"/>
    <row r="10275" s="166" customFormat="1" x14ac:dyDescent="0.2"/>
    <row r="10276" s="166" customFormat="1" x14ac:dyDescent="0.2"/>
    <row r="10277" s="166" customFormat="1" x14ac:dyDescent="0.2"/>
    <row r="10278" s="166" customFormat="1" x14ac:dyDescent="0.2"/>
    <row r="10279" s="166" customFormat="1" x14ac:dyDescent="0.2"/>
    <row r="10280" s="166" customFormat="1" x14ac:dyDescent="0.2"/>
    <row r="10281" s="166" customFormat="1" x14ac:dyDescent="0.2"/>
    <row r="10282" s="166" customFormat="1" x14ac:dyDescent="0.2"/>
    <row r="10283" s="166" customFormat="1" x14ac:dyDescent="0.2"/>
    <row r="10284" s="166" customFormat="1" x14ac:dyDescent="0.2"/>
    <row r="10285" s="166" customFormat="1" x14ac:dyDescent="0.2"/>
    <row r="10286" s="166" customFormat="1" x14ac:dyDescent="0.2"/>
    <row r="10287" s="166" customFormat="1" x14ac:dyDescent="0.2"/>
    <row r="10288" s="166" customFormat="1" x14ac:dyDescent="0.2"/>
    <row r="10289" s="166" customFormat="1" x14ac:dyDescent="0.2"/>
    <row r="10290" s="166" customFormat="1" x14ac:dyDescent="0.2"/>
    <row r="10291" s="166" customFormat="1" x14ac:dyDescent="0.2"/>
    <row r="10292" s="166" customFormat="1" x14ac:dyDescent="0.2"/>
    <row r="10293" s="166" customFormat="1" x14ac:dyDescent="0.2"/>
    <row r="10294" s="166" customFormat="1" x14ac:dyDescent="0.2"/>
    <row r="10295" s="166" customFormat="1" x14ac:dyDescent="0.2"/>
    <row r="10296" s="166" customFormat="1" x14ac:dyDescent="0.2"/>
    <row r="10297" s="166" customFormat="1" x14ac:dyDescent="0.2"/>
    <row r="10298" s="166" customFormat="1" x14ac:dyDescent="0.2"/>
    <row r="10299" s="166" customFormat="1" x14ac:dyDescent="0.2"/>
    <row r="10300" s="166" customFormat="1" x14ac:dyDescent="0.2"/>
    <row r="10301" s="166" customFormat="1" x14ac:dyDescent="0.2"/>
    <row r="10302" s="166" customFormat="1" x14ac:dyDescent="0.2"/>
    <row r="10303" s="166" customFormat="1" x14ac:dyDescent="0.2"/>
    <row r="10304" s="166" customFormat="1" x14ac:dyDescent="0.2"/>
    <row r="10305" s="166" customFormat="1" x14ac:dyDescent="0.2"/>
    <row r="10306" s="166" customFormat="1" x14ac:dyDescent="0.2"/>
    <row r="10307" s="166" customFormat="1" x14ac:dyDescent="0.2"/>
    <row r="10308" s="166" customFormat="1" x14ac:dyDescent="0.2"/>
    <row r="10309" s="166" customFormat="1" x14ac:dyDescent="0.2"/>
    <row r="10310" s="166" customFormat="1" x14ac:dyDescent="0.2"/>
    <row r="10311" s="166" customFormat="1" x14ac:dyDescent="0.2"/>
    <row r="10312" s="166" customFormat="1" x14ac:dyDescent="0.2"/>
    <row r="10313" s="166" customFormat="1" x14ac:dyDescent="0.2"/>
    <row r="10314" s="166" customFormat="1" x14ac:dyDescent="0.2"/>
    <row r="10315" s="166" customFormat="1" x14ac:dyDescent="0.2"/>
    <row r="10316" s="166" customFormat="1" x14ac:dyDescent="0.2"/>
    <row r="10317" s="166" customFormat="1" x14ac:dyDescent="0.2"/>
    <row r="10318" s="166" customFormat="1" x14ac:dyDescent="0.2"/>
    <row r="10319" s="166" customFormat="1" x14ac:dyDescent="0.2"/>
    <row r="10320" s="166" customFormat="1" x14ac:dyDescent="0.2"/>
    <row r="10321" s="166" customFormat="1" x14ac:dyDescent="0.2"/>
    <row r="10322" s="166" customFormat="1" x14ac:dyDescent="0.2"/>
    <row r="10323" s="166" customFormat="1" x14ac:dyDescent="0.2"/>
    <row r="10324" s="166" customFormat="1" x14ac:dyDescent="0.2"/>
    <row r="10325" s="166" customFormat="1" x14ac:dyDescent="0.2"/>
    <row r="10326" s="166" customFormat="1" x14ac:dyDescent="0.2"/>
    <row r="10327" s="166" customFormat="1" x14ac:dyDescent="0.2"/>
    <row r="10328" s="166" customFormat="1" x14ac:dyDescent="0.2"/>
    <row r="10329" s="166" customFormat="1" x14ac:dyDescent="0.2"/>
    <row r="10330" s="166" customFormat="1" x14ac:dyDescent="0.2"/>
    <row r="10331" s="166" customFormat="1" x14ac:dyDescent="0.2"/>
    <row r="10332" s="166" customFormat="1" x14ac:dyDescent="0.2"/>
    <row r="10333" s="166" customFormat="1" x14ac:dyDescent="0.2"/>
    <row r="10334" s="166" customFormat="1" x14ac:dyDescent="0.2"/>
    <row r="10335" s="166" customFormat="1" x14ac:dyDescent="0.2"/>
    <row r="10336" s="166" customFormat="1" x14ac:dyDescent="0.2"/>
    <row r="10337" s="166" customFormat="1" x14ac:dyDescent="0.2"/>
    <row r="10338" s="166" customFormat="1" x14ac:dyDescent="0.2"/>
    <row r="10339" s="166" customFormat="1" x14ac:dyDescent="0.2"/>
    <row r="10340" s="166" customFormat="1" x14ac:dyDescent="0.2"/>
    <row r="10341" s="166" customFormat="1" x14ac:dyDescent="0.2"/>
    <row r="10342" s="166" customFormat="1" x14ac:dyDescent="0.2"/>
    <row r="10343" s="166" customFormat="1" x14ac:dyDescent="0.2"/>
    <row r="10344" s="166" customFormat="1" x14ac:dyDescent="0.2"/>
    <row r="10345" s="166" customFormat="1" x14ac:dyDescent="0.2"/>
    <row r="10346" s="166" customFormat="1" x14ac:dyDescent="0.2"/>
    <row r="10347" s="166" customFormat="1" x14ac:dyDescent="0.2"/>
    <row r="10348" s="166" customFormat="1" x14ac:dyDescent="0.2"/>
    <row r="10349" s="166" customFormat="1" x14ac:dyDescent="0.2"/>
    <row r="10350" s="166" customFormat="1" x14ac:dyDescent="0.2"/>
    <row r="10351" s="166" customFormat="1" x14ac:dyDescent="0.2"/>
    <row r="10352" s="166" customFormat="1" x14ac:dyDescent="0.2"/>
    <row r="10353" s="166" customFormat="1" x14ac:dyDescent="0.2"/>
    <row r="10354" s="166" customFormat="1" x14ac:dyDescent="0.2"/>
    <row r="10355" s="166" customFormat="1" x14ac:dyDescent="0.2"/>
    <row r="10356" s="166" customFormat="1" x14ac:dyDescent="0.2"/>
    <row r="10357" s="166" customFormat="1" x14ac:dyDescent="0.2"/>
    <row r="10358" s="166" customFormat="1" x14ac:dyDescent="0.2"/>
    <row r="10359" s="166" customFormat="1" x14ac:dyDescent="0.2"/>
    <row r="10360" s="166" customFormat="1" x14ac:dyDescent="0.2"/>
    <row r="10361" s="166" customFormat="1" x14ac:dyDescent="0.2"/>
    <row r="10362" s="166" customFormat="1" x14ac:dyDescent="0.2"/>
    <row r="10363" s="166" customFormat="1" x14ac:dyDescent="0.2"/>
    <row r="10364" s="166" customFormat="1" x14ac:dyDescent="0.2"/>
    <row r="10365" s="166" customFormat="1" x14ac:dyDescent="0.2"/>
    <row r="10366" s="166" customFormat="1" x14ac:dyDescent="0.2"/>
    <row r="10367" s="166" customFormat="1" x14ac:dyDescent="0.2"/>
    <row r="10368" s="166" customFormat="1" x14ac:dyDescent="0.2"/>
    <row r="10369" s="166" customFormat="1" x14ac:dyDescent="0.2"/>
    <row r="10370" s="166" customFormat="1" x14ac:dyDescent="0.2"/>
    <row r="10371" s="166" customFormat="1" x14ac:dyDescent="0.2"/>
    <row r="10372" s="166" customFormat="1" x14ac:dyDescent="0.2"/>
    <row r="10373" s="166" customFormat="1" x14ac:dyDescent="0.2"/>
    <row r="10374" s="166" customFormat="1" x14ac:dyDescent="0.2"/>
    <row r="10375" s="166" customFormat="1" x14ac:dyDescent="0.2"/>
    <row r="10376" s="166" customFormat="1" x14ac:dyDescent="0.2"/>
    <row r="10377" s="166" customFormat="1" x14ac:dyDescent="0.2"/>
    <row r="10378" s="166" customFormat="1" x14ac:dyDescent="0.2"/>
    <row r="10379" s="166" customFormat="1" x14ac:dyDescent="0.2"/>
    <row r="10380" s="166" customFormat="1" x14ac:dyDescent="0.2"/>
    <row r="10381" s="166" customFormat="1" x14ac:dyDescent="0.2"/>
    <row r="10382" s="166" customFormat="1" x14ac:dyDescent="0.2"/>
    <row r="10383" s="166" customFormat="1" x14ac:dyDescent="0.2"/>
    <row r="10384" s="166" customFormat="1" x14ac:dyDescent="0.2"/>
    <row r="10385" s="166" customFormat="1" x14ac:dyDescent="0.2"/>
    <row r="10386" s="166" customFormat="1" x14ac:dyDescent="0.2"/>
    <row r="10387" s="166" customFormat="1" x14ac:dyDescent="0.2"/>
    <row r="10388" s="166" customFormat="1" x14ac:dyDescent="0.2"/>
    <row r="10389" s="166" customFormat="1" x14ac:dyDescent="0.2"/>
    <row r="10390" s="166" customFormat="1" x14ac:dyDescent="0.2"/>
    <row r="10391" s="166" customFormat="1" x14ac:dyDescent="0.2"/>
    <row r="10392" s="166" customFormat="1" x14ac:dyDescent="0.2"/>
    <row r="10393" s="166" customFormat="1" x14ac:dyDescent="0.2"/>
    <row r="10394" s="166" customFormat="1" x14ac:dyDescent="0.2"/>
    <row r="10395" s="166" customFormat="1" x14ac:dyDescent="0.2"/>
    <row r="10396" s="166" customFormat="1" x14ac:dyDescent="0.2"/>
    <row r="10397" s="166" customFormat="1" x14ac:dyDescent="0.2"/>
    <row r="10398" s="166" customFormat="1" x14ac:dyDescent="0.2"/>
    <row r="10399" s="166" customFormat="1" x14ac:dyDescent="0.2"/>
    <row r="10400" s="166" customFormat="1" x14ac:dyDescent="0.2"/>
    <row r="10401" s="166" customFormat="1" x14ac:dyDescent="0.2"/>
    <row r="10402" s="166" customFormat="1" x14ac:dyDescent="0.2"/>
    <row r="10403" s="166" customFormat="1" x14ac:dyDescent="0.2"/>
    <row r="10404" s="166" customFormat="1" x14ac:dyDescent="0.2"/>
    <row r="10405" s="166" customFormat="1" x14ac:dyDescent="0.2"/>
    <row r="10406" s="166" customFormat="1" x14ac:dyDescent="0.2"/>
    <row r="10407" s="166" customFormat="1" x14ac:dyDescent="0.2"/>
    <row r="10408" s="166" customFormat="1" x14ac:dyDescent="0.2"/>
    <row r="10409" s="166" customFormat="1" x14ac:dyDescent="0.2"/>
    <row r="10410" s="166" customFormat="1" x14ac:dyDescent="0.2"/>
    <row r="10411" s="166" customFormat="1" x14ac:dyDescent="0.2"/>
    <row r="10412" s="166" customFormat="1" x14ac:dyDescent="0.2"/>
    <row r="10413" s="166" customFormat="1" x14ac:dyDescent="0.2"/>
    <row r="10414" s="166" customFormat="1" x14ac:dyDescent="0.2"/>
    <row r="10415" s="166" customFormat="1" x14ac:dyDescent="0.2"/>
    <row r="10416" s="166" customFormat="1" x14ac:dyDescent="0.2"/>
    <row r="10417" s="166" customFormat="1" x14ac:dyDescent="0.2"/>
    <row r="10418" s="166" customFormat="1" x14ac:dyDescent="0.2"/>
    <row r="10419" s="166" customFormat="1" x14ac:dyDescent="0.2"/>
    <row r="10420" s="166" customFormat="1" x14ac:dyDescent="0.2"/>
    <row r="10421" s="166" customFormat="1" x14ac:dyDescent="0.2"/>
    <row r="10422" s="166" customFormat="1" x14ac:dyDescent="0.2"/>
    <row r="10423" s="166" customFormat="1" x14ac:dyDescent="0.2"/>
    <row r="10424" s="166" customFormat="1" x14ac:dyDescent="0.2"/>
    <row r="10425" s="166" customFormat="1" x14ac:dyDescent="0.2"/>
    <row r="10426" s="166" customFormat="1" x14ac:dyDescent="0.2"/>
    <row r="10427" s="166" customFormat="1" x14ac:dyDescent="0.2"/>
    <row r="10428" s="166" customFormat="1" x14ac:dyDescent="0.2"/>
    <row r="10429" s="166" customFormat="1" x14ac:dyDescent="0.2"/>
    <row r="10430" s="166" customFormat="1" x14ac:dyDescent="0.2"/>
    <row r="10431" s="166" customFormat="1" x14ac:dyDescent="0.2"/>
    <row r="10432" s="166" customFormat="1" x14ac:dyDescent="0.2"/>
    <row r="10433" s="166" customFormat="1" x14ac:dyDescent="0.2"/>
    <row r="10434" s="166" customFormat="1" x14ac:dyDescent="0.2"/>
    <row r="10435" s="166" customFormat="1" x14ac:dyDescent="0.2"/>
    <row r="10436" s="166" customFormat="1" x14ac:dyDescent="0.2"/>
    <row r="10437" s="166" customFormat="1" x14ac:dyDescent="0.2"/>
    <row r="10438" s="166" customFormat="1" x14ac:dyDescent="0.2"/>
    <row r="10439" s="166" customFormat="1" x14ac:dyDescent="0.2"/>
    <row r="10440" s="166" customFormat="1" x14ac:dyDescent="0.2"/>
    <row r="10441" s="166" customFormat="1" x14ac:dyDescent="0.2"/>
    <row r="10442" s="166" customFormat="1" x14ac:dyDescent="0.2"/>
    <row r="10443" s="166" customFormat="1" x14ac:dyDescent="0.2"/>
    <row r="10444" s="166" customFormat="1" x14ac:dyDescent="0.2"/>
    <row r="10445" s="166" customFormat="1" x14ac:dyDescent="0.2"/>
    <row r="10446" s="166" customFormat="1" x14ac:dyDescent="0.2"/>
    <row r="10447" s="166" customFormat="1" x14ac:dyDescent="0.2"/>
    <row r="10448" s="166" customFormat="1" x14ac:dyDescent="0.2"/>
    <row r="10449" s="166" customFormat="1" x14ac:dyDescent="0.2"/>
    <row r="10450" s="166" customFormat="1" x14ac:dyDescent="0.2"/>
    <row r="10451" s="166" customFormat="1" x14ac:dyDescent="0.2"/>
    <row r="10452" s="166" customFormat="1" x14ac:dyDescent="0.2"/>
    <row r="10453" s="166" customFormat="1" x14ac:dyDescent="0.2"/>
    <row r="10454" s="166" customFormat="1" x14ac:dyDescent="0.2"/>
    <row r="10455" s="166" customFormat="1" x14ac:dyDescent="0.2"/>
    <row r="10456" s="166" customFormat="1" x14ac:dyDescent="0.2"/>
    <row r="10457" s="166" customFormat="1" x14ac:dyDescent="0.2"/>
    <row r="10458" s="166" customFormat="1" x14ac:dyDescent="0.2"/>
    <row r="10459" s="166" customFormat="1" x14ac:dyDescent="0.2"/>
    <row r="10460" s="166" customFormat="1" x14ac:dyDescent="0.2"/>
    <row r="10461" s="166" customFormat="1" x14ac:dyDescent="0.2"/>
    <row r="10462" s="166" customFormat="1" x14ac:dyDescent="0.2"/>
    <row r="10463" s="166" customFormat="1" x14ac:dyDescent="0.2"/>
    <row r="10464" s="166" customFormat="1" x14ac:dyDescent="0.2"/>
    <row r="10465" s="166" customFormat="1" x14ac:dyDescent="0.2"/>
    <row r="10466" s="166" customFormat="1" x14ac:dyDescent="0.2"/>
    <row r="10467" s="166" customFormat="1" x14ac:dyDescent="0.2"/>
    <row r="10468" s="166" customFormat="1" x14ac:dyDescent="0.2"/>
    <row r="10469" s="166" customFormat="1" x14ac:dyDescent="0.2"/>
    <row r="10470" s="166" customFormat="1" x14ac:dyDescent="0.2"/>
    <row r="10471" s="166" customFormat="1" x14ac:dyDescent="0.2"/>
    <row r="10472" s="166" customFormat="1" x14ac:dyDescent="0.2"/>
    <row r="10473" s="166" customFormat="1" x14ac:dyDescent="0.2"/>
    <row r="10474" s="166" customFormat="1" x14ac:dyDescent="0.2"/>
    <row r="10475" s="166" customFormat="1" x14ac:dyDescent="0.2"/>
    <row r="10476" s="166" customFormat="1" x14ac:dyDescent="0.2"/>
    <row r="10477" s="166" customFormat="1" x14ac:dyDescent="0.2"/>
    <row r="10478" s="166" customFormat="1" x14ac:dyDescent="0.2"/>
    <row r="10479" s="166" customFormat="1" x14ac:dyDescent="0.2"/>
    <row r="10480" s="166" customFormat="1" x14ac:dyDescent="0.2"/>
    <row r="10481" s="166" customFormat="1" x14ac:dyDescent="0.2"/>
    <row r="10482" s="166" customFormat="1" x14ac:dyDescent="0.2"/>
    <row r="10483" s="166" customFormat="1" x14ac:dyDescent="0.2"/>
    <row r="10484" s="166" customFormat="1" x14ac:dyDescent="0.2"/>
    <row r="10485" s="166" customFormat="1" x14ac:dyDescent="0.2"/>
    <row r="10486" s="166" customFormat="1" x14ac:dyDescent="0.2"/>
    <row r="10487" s="166" customFormat="1" x14ac:dyDescent="0.2"/>
    <row r="10488" s="166" customFormat="1" x14ac:dyDescent="0.2"/>
    <row r="10489" s="166" customFormat="1" x14ac:dyDescent="0.2"/>
    <row r="10490" s="166" customFormat="1" x14ac:dyDescent="0.2"/>
    <row r="10491" s="166" customFormat="1" x14ac:dyDescent="0.2"/>
    <row r="10492" s="166" customFormat="1" x14ac:dyDescent="0.2"/>
    <row r="10493" s="166" customFormat="1" x14ac:dyDescent="0.2"/>
    <row r="10494" s="166" customFormat="1" x14ac:dyDescent="0.2"/>
    <row r="10495" s="166" customFormat="1" x14ac:dyDescent="0.2"/>
    <row r="10496" s="166" customFormat="1" x14ac:dyDescent="0.2"/>
    <row r="10497" s="166" customFormat="1" x14ac:dyDescent="0.2"/>
    <row r="10498" s="166" customFormat="1" x14ac:dyDescent="0.2"/>
    <row r="10499" s="166" customFormat="1" x14ac:dyDescent="0.2"/>
    <row r="10500" s="166" customFormat="1" x14ac:dyDescent="0.2"/>
    <row r="10501" s="166" customFormat="1" x14ac:dyDescent="0.2"/>
    <row r="10502" s="166" customFormat="1" x14ac:dyDescent="0.2"/>
    <row r="10503" s="166" customFormat="1" x14ac:dyDescent="0.2"/>
    <row r="10504" s="166" customFormat="1" x14ac:dyDescent="0.2"/>
    <row r="10505" s="166" customFormat="1" x14ac:dyDescent="0.2"/>
    <row r="10506" s="166" customFormat="1" x14ac:dyDescent="0.2"/>
    <row r="10507" s="166" customFormat="1" x14ac:dyDescent="0.2"/>
    <row r="10508" s="166" customFormat="1" x14ac:dyDescent="0.2"/>
    <row r="10509" s="166" customFormat="1" x14ac:dyDescent="0.2"/>
    <row r="10510" s="166" customFormat="1" x14ac:dyDescent="0.2"/>
    <row r="10511" s="166" customFormat="1" x14ac:dyDescent="0.2"/>
    <row r="10512" s="166" customFormat="1" x14ac:dyDescent="0.2"/>
    <row r="10513" s="166" customFormat="1" x14ac:dyDescent="0.2"/>
    <row r="10514" s="166" customFormat="1" x14ac:dyDescent="0.2"/>
    <row r="10515" s="166" customFormat="1" x14ac:dyDescent="0.2"/>
    <row r="10516" s="166" customFormat="1" x14ac:dyDescent="0.2"/>
    <row r="10517" s="166" customFormat="1" x14ac:dyDescent="0.2"/>
    <row r="10518" s="166" customFormat="1" x14ac:dyDescent="0.2"/>
    <row r="10519" s="166" customFormat="1" x14ac:dyDescent="0.2"/>
    <row r="10520" s="166" customFormat="1" x14ac:dyDescent="0.2"/>
    <row r="10521" s="166" customFormat="1" x14ac:dyDescent="0.2"/>
    <row r="10522" s="166" customFormat="1" x14ac:dyDescent="0.2"/>
    <row r="10523" s="166" customFormat="1" x14ac:dyDescent="0.2"/>
    <row r="10524" s="166" customFormat="1" x14ac:dyDescent="0.2"/>
    <row r="10525" s="166" customFormat="1" x14ac:dyDescent="0.2"/>
    <row r="10526" s="166" customFormat="1" x14ac:dyDescent="0.2"/>
    <row r="10527" s="166" customFormat="1" x14ac:dyDescent="0.2"/>
    <row r="10528" s="166" customFormat="1" x14ac:dyDescent="0.2"/>
    <row r="10529" s="166" customFormat="1" x14ac:dyDescent="0.2"/>
    <row r="10530" s="166" customFormat="1" x14ac:dyDescent="0.2"/>
    <row r="10531" s="166" customFormat="1" x14ac:dyDescent="0.2"/>
    <row r="10532" s="166" customFormat="1" x14ac:dyDescent="0.2"/>
    <row r="10533" s="166" customFormat="1" x14ac:dyDescent="0.2"/>
    <row r="10534" s="166" customFormat="1" x14ac:dyDescent="0.2"/>
    <row r="10535" s="166" customFormat="1" x14ac:dyDescent="0.2"/>
    <row r="10536" s="166" customFormat="1" x14ac:dyDescent="0.2"/>
    <row r="10537" s="166" customFormat="1" x14ac:dyDescent="0.2"/>
    <row r="10538" s="166" customFormat="1" x14ac:dyDescent="0.2"/>
    <row r="10539" s="166" customFormat="1" x14ac:dyDescent="0.2"/>
    <row r="10540" s="166" customFormat="1" x14ac:dyDescent="0.2"/>
    <row r="10541" s="166" customFormat="1" x14ac:dyDescent="0.2"/>
    <row r="10542" s="166" customFormat="1" x14ac:dyDescent="0.2"/>
    <row r="10543" s="166" customFormat="1" x14ac:dyDescent="0.2"/>
    <row r="10544" s="166" customFormat="1" x14ac:dyDescent="0.2"/>
    <row r="10545" s="166" customFormat="1" x14ac:dyDescent="0.2"/>
    <row r="10546" s="166" customFormat="1" x14ac:dyDescent="0.2"/>
    <row r="10547" s="166" customFormat="1" x14ac:dyDescent="0.2"/>
    <row r="10548" s="166" customFormat="1" x14ac:dyDescent="0.2"/>
    <row r="10549" s="166" customFormat="1" x14ac:dyDescent="0.2"/>
    <row r="10550" s="166" customFormat="1" x14ac:dyDescent="0.2"/>
    <row r="10551" s="166" customFormat="1" x14ac:dyDescent="0.2"/>
    <row r="10552" s="166" customFormat="1" x14ac:dyDescent="0.2"/>
    <row r="10553" s="166" customFormat="1" x14ac:dyDescent="0.2"/>
    <row r="10554" s="166" customFormat="1" x14ac:dyDescent="0.2"/>
    <row r="10555" s="166" customFormat="1" x14ac:dyDescent="0.2"/>
    <row r="10556" s="166" customFormat="1" x14ac:dyDescent="0.2"/>
    <row r="10557" s="166" customFormat="1" x14ac:dyDescent="0.2"/>
    <row r="10558" s="166" customFormat="1" x14ac:dyDescent="0.2"/>
    <row r="10559" s="166" customFormat="1" x14ac:dyDescent="0.2"/>
    <row r="10560" s="166" customFormat="1" x14ac:dyDescent="0.2"/>
    <row r="10561" s="166" customFormat="1" x14ac:dyDescent="0.2"/>
    <row r="10562" s="166" customFormat="1" x14ac:dyDescent="0.2"/>
    <row r="10563" s="166" customFormat="1" x14ac:dyDescent="0.2"/>
    <row r="10564" s="166" customFormat="1" x14ac:dyDescent="0.2"/>
    <row r="10565" s="166" customFormat="1" x14ac:dyDescent="0.2"/>
    <row r="10566" s="166" customFormat="1" x14ac:dyDescent="0.2"/>
    <row r="10567" s="166" customFormat="1" x14ac:dyDescent="0.2"/>
    <row r="10568" s="166" customFormat="1" x14ac:dyDescent="0.2"/>
    <row r="10569" s="166" customFormat="1" x14ac:dyDescent="0.2"/>
    <row r="10570" s="166" customFormat="1" x14ac:dyDescent="0.2"/>
    <row r="10571" s="166" customFormat="1" x14ac:dyDescent="0.2"/>
    <row r="10572" s="166" customFormat="1" x14ac:dyDescent="0.2"/>
    <row r="10573" s="166" customFormat="1" x14ac:dyDescent="0.2"/>
    <row r="10574" s="166" customFormat="1" x14ac:dyDescent="0.2"/>
    <row r="10575" s="166" customFormat="1" x14ac:dyDescent="0.2"/>
    <row r="10576" s="166" customFormat="1" x14ac:dyDescent="0.2"/>
    <row r="10577" s="166" customFormat="1" x14ac:dyDescent="0.2"/>
    <row r="10578" s="166" customFormat="1" x14ac:dyDescent="0.2"/>
    <row r="10579" s="166" customFormat="1" x14ac:dyDescent="0.2"/>
    <row r="10580" s="166" customFormat="1" x14ac:dyDescent="0.2"/>
    <row r="10581" s="166" customFormat="1" x14ac:dyDescent="0.2"/>
    <row r="10582" s="166" customFormat="1" x14ac:dyDescent="0.2"/>
    <row r="10583" s="166" customFormat="1" x14ac:dyDescent="0.2"/>
    <row r="10584" s="166" customFormat="1" x14ac:dyDescent="0.2"/>
    <row r="10585" s="166" customFormat="1" x14ac:dyDescent="0.2"/>
    <row r="10586" s="166" customFormat="1" x14ac:dyDescent="0.2"/>
    <row r="10587" s="166" customFormat="1" x14ac:dyDescent="0.2"/>
    <row r="10588" s="166" customFormat="1" x14ac:dyDescent="0.2"/>
    <row r="10589" s="166" customFormat="1" x14ac:dyDescent="0.2"/>
    <row r="10590" s="166" customFormat="1" x14ac:dyDescent="0.2"/>
    <row r="10591" s="166" customFormat="1" x14ac:dyDescent="0.2"/>
    <row r="10592" s="166" customFormat="1" x14ac:dyDescent="0.2"/>
    <row r="10593" s="166" customFormat="1" x14ac:dyDescent="0.2"/>
    <row r="10594" s="166" customFormat="1" x14ac:dyDescent="0.2"/>
    <row r="10595" s="166" customFormat="1" x14ac:dyDescent="0.2"/>
    <row r="10596" s="166" customFormat="1" x14ac:dyDescent="0.2"/>
    <row r="10597" s="166" customFormat="1" x14ac:dyDescent="0.2"/>
    <row r="10598" s="166" customFormat="1" x14ac:dyDescent="0.2"/>
    <row r="10599" s="166" customFormat="1" x14ac:dyDescent="0.2"/>
    <row r="10600" s="166" customFormat="1" x14ac:dyDescent="0.2"/>
    <row r="10601" s="166" customFormat="1" x14ac:dyDescent="0.2"/>
    <row r="10602" s="166" customFormat="1" x14ac:dyDescent="0.2"/>
    <row r="10603" s="166" customFormat="1" x14ac:dyDescent="0.2"/>
    <row r="10604" s="166" customFormat="1" x14ac:dyDescent="0.2"/>
    <row r="10605" s="166" customFormat="1" x14ac:dyDescent="0.2"/>
    <row r="10606" s="166" customFormat="1" x14ac:dyDescent="0.2"/>
    <row r="10607" s="166" customFormat="1" x14ac:dyDescent="0.2"/>
    <row r="10608" s="166" customFormat="1" x14ac:dyDescent="0.2"/>
    <row r="10609" s="166" customFormat="1" x14ac:dyDescent="0.2"/>
    <row r="10610" s="166" customFormat="1" x14ac:dyDescent="0.2"/>
    <row r="10611" s="166" customFormat="1" x14ac:dyDescent="0.2"/>
    <row r="10612" s="166" customFormat="1" x14ac:dyDescent="0.2"/>
    <row r="10613" s="166" customFormat="1" x14ac:dyDescent="0.2"/>
    <row r="10614" s="166" customFormat="1" x14ac:dyDescent="0.2"/>
    <row r="10615" s="166" customFormat="1" x14ac:dyDescent="0.2"/>
    <row r="10616" s="166" customFormat="1" x14ac:dyDescent="0.2"/>
    <row r="10617" s="166" customFormat="1" x14ac:dyDescent="0.2"/>
    <row r="10618" s="166" customFormat="1" x14ac:dyDescent="0.2"/>
    <row r="10619" s="166" customFormat="1" x14ac:dyDescent="0.2"/>
    <row r="10620" s="166" customFormat="1" x14ac:dyDescent="0.2"/>
    <row r="10621" s="166" customFormat="1" x14ac:dyDescent="0.2"/>
    <row r="10622" s="166" customFormat="1" x14ac:dyDescent="0.2"/>
    <row r="10623" s="166" customFormat="1" x14ac:dyDescent="0.2"/>
    <row r="10624" s="166" customFormat="1" x14ac:dyDescent="0.2"/>
    <row r="10625" s="166" customFormat="1" x14ac:dyDescent="0.2"/>
    <row r="10626" s="166" customFormat="1" x14ac:dyDescent="0.2"/>
    <row r="10627" s="166" customFormat="1" x14ac:dyDescent="0.2"/>
    <row r="10628" s="166" customFormat="1" x14ac:dyDescent="0.2"/>
    <row r="10629" s="166" customFormat="1" x14ac:dyDescent="0.2"/>
    <row r="10630" s="166" customFormat="1" x14ac:dyDescent="0.2"/>
    <row r="10631" s="166" customFormat="1" x14ac:dyDescent="0.2"/>
    <row r="10632" s="166" customFormat="1" x14ac:dyDescent="0.2"/>
    <row r="10633" s="166" customFormat="1" x14ac:dyDescent="0.2"/>
    <row r="10634" s="166" customFormat="1" x14ac:dyDescent="0.2"/>
    <row r="10635" s="166" customFormat="1" x14ac:dyDescent="0.2"/>
    <row r="10636" s="166" customFormat="1" x14ac:dyDescent="0.2"/>
    <row r="10637" s="166" customFormat="1" x14ac:dyDescent="0.2"/>
    <row r="10638" s="166" customFormat="1" x14ac:dyDescent="0.2"/>
    <row r="10639" s="166" customFormat="1" x14ac:dyDescent="0.2"/>
    <row r="10640" s="166" customFormat="1" x14ac:dyDescent="0.2"/>
    <row r="10641" s="166" customFormat="1" x14ac:dyDescent="0.2"/>
    <row r="10642" s="166" customFormat="1" x14ac:dyDescent="0.2"/>
    <row r="10643" s="166" customFormat="1" x14ac:dyDescent="0.2"/>
    <row r="10644" s="166" customFormat="1" x14ac:dyDescent="0.2"/>
    <row r="10645" s="166" customFormat="1" x14ac:dyDescent="0.2"/>
    <row r="10646" s="166" customFormat="1" x14ac:dyDescent="0.2"/>
    <row r="10647" s="166" customFormat="1" x14ac:dyDescent="0.2"/>
    <row r="10648" s="166" customFormat="1" x14ac:dyDescent="0.2"/>
    <row r="10649" s="166" customFormat="1" x14ac:dyDescent="0.2"/>
    <row r="10650" s="166" customFormat="1" x14ac:dyDescent="0.2"/>
    <row r="10651" s="166" customFormat="1" x14ac:dyDescent="0.2"/>
    <row r="10652" s="166" customFormat="1" x14ac:dyDescent="0.2"/>
    <row r="10653" s="166" customFormat="1" x14ac:dyDescent="0.2"/>
    <row r="10654" s="166" customFormat="1" x14ac:dyDescent="0.2"/>
    <row r="10655" s="166" customFormat="1" x14ac:dyDescent="0.2"/>
    <row r="10656" s="166" customFormat="1" x14ac:dyDescent="0.2"/>
    <row r="10657" s="166" customFormat="1" x14ac:dyDescent="0.2"/>
    <row r="10658" s="166" customFormat="1" x14ac:dyDescent="0.2"/>
    <row r="10659" s="166" customFormat="1" x14ac:dyDescent="0.2"/>
    <row r="10660" s="166" customFormat="1" x14ac:dyDescent="0.2"/>
    <row r="10661" s="166" customFormat="1" x14ac:dyDescent="0.2"/>
    <row r="10662" s="166" customFormat="1" x14ac:dyDescent="0.2"/>
    <row r="10663" s="166" customFormat="1" x14ac:dyDescent="0.2"/>
    <row r="10664" s="166" customFormat="1" x14ac:dyDescent="0.2"/>
    <row r="10665" s="166" customFormat="1" x14ac:dyDescent="0.2"/>
    <row r="10666" s="166" customFormat="1" x14ac:dyDescent="0.2"/>
    <row r="10667" s="166" customFormat="1" x14ac:dyDescent="0.2"/>
    <row r="10668" s="166" customFormat="1" x14ac:dyDescent="0.2"/>
    <row r="10669" s="166" customFormat="1" x14ac:dyDescent="0.2"/>
    <row r="10670" s="166" customFormat="1" x14ac:dyDescent="0.2"/>
    <row r="10671" s="166" customFormat="1" x14ac:dyDescent="0.2"/>
    <row r="10672" s="166" customFormat="1" x14ac:dyDescent="0.2"/>
    <row r="10673" s="166" customFormat="1" x14ac:dyDescent="0.2"/>
    <row r="10674" s="166" customFormat="1" x14ac:dyDescent="0.2"/>
    <row r="10675" s="166" customFormat="1" x14ac:dyDescent="0.2"/>
    <row r="10676" s="166" customFormat="1" x14ac:dyDescent="0.2"/>
    <row r="10677" s="166" customFormat="1" x14ac:dyDescent="0.2"/>
    <row r="10678" s="166" customFormat="1" x14ac:dyDescent="0.2"/>
    <row r="10679" s="166" customFormat="1" x14ac:dyDescent="0.2"/>
    <row r="10680" s="166" customFormat="1" x14ac:dyDescent="0.2"/>
    <row r="10681" s="166" customFormat="1" x14ac:dyDescent="0.2"/>
    <row r="10682" s="166" customFormat="1" x14ac:dyDescent="0.2"/>
    <row r="10683" s="166" customFormat="1" x14ac:dyDescent="0.2"/>
    <row r="10684" s="166" customFormat="1" x14ac:dyDescent="0.2"/>
    <row r="10685" s="166" customFormat="1" x14ac:dyDescent="0.2"/>
    <row r="10686" s="166" customFormat="1" x14ac:dyDescent="0.2"/>
    <row r="10687" s="166" customFormat="1" x14ac:dyDescent="0.2"/>
    <row r="10688" s="166" customFormat="1" x14ac:dyDescent="0.2"/>
    <row r="10689" s="166" customFormat="1" x14ac:dyDescent="0.2"/>
    <row r="10690" s="166" customFormat="1" x14ac:dyDescent="0.2"/>
    <row r="10691" s="166" customFormat="1" x14ac:dyDescent="0.2"/>
    <row r="10692" s="166" customFormat="1" x14ac:dyDescent="0.2"/>
    <row r="10693" s="166" customFormat="1" x14ac:dyDescent="0.2"/>
    <row r="10694" s="166" customFormat="1" x14ac:dyDescent="0.2"/>
    <row r="10695" s="166" customFormat="1" x14ac:dyDescent="0.2"/>
    <row r="10696" s="166" customFormat="1" x14ac:dyDescent="0.2"/>
    <row r="10697" s="166" customFormat="1" x14ac:dyDescent="0.2"/>
    <row r="10698" s="166" customFormat="1" x14ac:dyDescent="0.2"/>
    <row r="10699" s="166" customFormat="1" x14ac:dyDescent="0.2"/>
    <row r="10700" s="166" customFormat="1" x14ac:dyDescent="0.2"/>
    <row r="10701" s="166" customFormat="1" x14ac:dyDescent="0.2"/>
    <row r="10702" s="166" customFormat="1" x14ac:dyDescent="0.2"/>
    <row r="10703" s="166" customFormat="1" x14ac:dyDescent="0.2"/>
    <row r="10704" s="166" customFormat="1" x14ac:dyDescent="0.2"/>
    <row r="10705" s="166" customFormat="1" x14ac:dyDescent="0.2"/>
    <row r="10706" s="166" customFormat="1" x14ac:dyDescent="0.2"/>
    <row r="10707" s="166" customFormat="1" x14ac:dyDescent="0.2"/>
    <row r="10708" s="166" customFormat="1" x14ac:dyDescent="0.2"/>
    <row r="10709" s="166" customFormat="1" x14ac:dyDescent="0.2"/>
    <row r="10710" s="166" customFormat="1" x14ac:dyDescent="0.2"/>
    <row r="10711" s="166" customFormat="1" x14ac:dyDescent="0.2"/>
    <row r="10712" s="166" customFormat="1" x14ac:dyDescent="0.2"/>
    <row r="10713" s="166" customFormat="1" x14ac:dyDescent="0.2"/>
    <row r="10714" s="166" customFormat="1" x14ac:dyDescent="0.2"/>
    <row r="10715" s="166" customFormat="1" x14ac:dyDescent="0.2"/>
    <row r="10716" s="166" customFormat="1" x14ac:dyDescent="0.2"/>
    <row r="10717" s="166" customFormat="1" x14ac:dyDescent="0.2"/>
    <row r="10718" s="166" customFormat="1" x14ac:dyDescent="0.2"/>
    <row r="10719" s="166" customFormat="1" x14ac:dyDescent="0.2"/>
    <row r="10720" s="166" customFormat="1" x14ac:dyDescent="0.2"/>
    <row r="10721" s="166" customFormat="1" x14ac:dyDescent="0.2"/>
    <row r="10722" s="166" customFormat="1" x14ac:dyDescent="0.2"/>
    <row r="10723" s="166" customFormat="1" x14ac:dyDescent="0.2"/>
    <row r="10724" s="166" customFormat="1" x14ac:dyDescent="0.2"/>
    <row r="10725" s="166" customFormat="1" x14ac:dyDescent="0.2"/>
    <row r="10726" s="166" customFormat="1" x14ac:dyDescent="0.2"/>
    <row r="10727" s="166" customFormat="1" x14ac:dyDescent="0.2"/>
    <row r="10728" s="166" customFormat="1" x14ac:dyDescent="0.2"/>
    <row r="10729" s="166" customFormat="1" x14ac:dyDescent="0.2"/>
    <row r="10730" s="166" customFormat="1" x14ac:dyDescent="0.2"/>
    <row r="10731" s="166" customFormat="1" x14ac:dyDescent="0.2"/>
    <row r="10732" s="166" customFormat="1" x14ac:dyDescent="0.2"/>
    <row r="10733" s="166" customFormat="1" x14ac:dyDescent="0.2"/>
    <row r="10734" s="166" customFormat="1" x14ac:dyDescent="0.2"/>
    <row r="10735" s="166" customFormat="1" x14ac:dyDescent="0.2"/>
    <row r="10736" s="166" customFormat="1" x14ac:dyDescent="0.2"/>
    <row r="10737" s="166" customFormat="1" x14ac:dyDescent="0.2"/>
    <row r="10738" s="166" customFormat="1" x14ac:dyDescent="0.2"/>
    <row r="10739" s="166" customFormat="1" x14ac:dyDescent="0.2"/>
    <row r="10740" s="166" customFormat="1" x14ac:dyDescent="0.2"/>
    <row r="10741" s="166" customFormat="1" x14ac:dyDescent="0.2"/>
    <row r="10742" s="166" customFormat="1" x14ac:dyDescent="0.2"/>
    <row r="10743" s="166" customFormat="1" x14ac:dyDescent="0.2"/>
    <row r="10744" s="166" customFormat="1" x14ac:dyDescent="0.2"/>
    <row r="10745" s="166" customFormat="1" x14ac:dyDescent="0.2"/>
    <row r="10746" s="166" customFormat="1" x14ac:dyDescent="0.2"/>
    <row r="10747" s="166" customFormat="1" x14ac:dyDescent="0.2"/>
    <row r="10748" s="166" customFormat="1" x14ac:dyDescent="0.2"/>
    <row r="10749" s="166" customFormat="1" x14ac:dyDescent="0.2"/>
    <row r="10750" s="166" customFormat="1" x14ac:dyDescent="0.2"/>
    <row r="10751" s="166" customFormat="1" x14ac:dyDescent="0.2"/>
    <row r="10752" s="166" customFormat="1" x14ac:dyDescent="0.2"/>
    <row r="10753" s="166" customFormat="1" x14ac:dyDescent="0.2"/>
    <row r="10754" s="166" customFormat="1" x14ac:dyDescent="0.2"/>
    <row r="10755" s="166" customFormat="1" x14ac:dyDescent="0.2"/>
    <row r="10756" s="166" customFormat="1" x14ac:dyDescent="0.2"/>
    <row r="10757" s="166" customFormat="1" x14ac:dyDescent="0.2"/>
    <row r="10758" s="166" customFormat="1" x14ac:dyDescent="0.2"/>
    <row r="10759" s="166" customFormat="1" x14ac:dyDescent="0.2"/>
    <row r="10760" s="166" customFormat="1" x14ac:dyDescent="0.2"/>
    <row r="10761" s="166" customFormat="1" x14ac:dyDescent="0.2"/>
    <row r="10762" s="166" customFormat="1" x14ac:dyDescent="0.2"/>
    <row r="10763" s="166" customFormat="1" x14ac:dyDescent="0.2"/>
    <row r="10764" s="166" customFormat="1" x14ac:dyDescent="0.2"/>
    <row r="10765" s="166" customFormat="1" x14ac:dyDescent="0.2"/>
    <row r="10766" s="166" customFormat="1" x14ac:dyDescent="0.2"/>
    <row r="10767" s="166" customFormat="1" x14ac:dyDescent="0.2"/>
    <row r="10768" s="166" customFormat="1" x14ac:dyDescent="0.2"/>
    <row r="10769" s="166" customFormat="1" x14ac:dyDescent="0.2"/>
    <row r="10770" s="166" customFormat="1" x14ac:dyDescent="0.2"/>
    <row r="10771" s="166" customFormat="1" x14ac:dyDescent="0.2"/>
    <row r="10772" s="166" customFormat="1" x14ac:dyDescent="0.2"/>
    <row r="10773" s="166" customFormat="1" x14ac:dyDescent="0.2"/>
    <row r="10774" s="166" customFormat="1" x14ac:dyDescent="0.2"/>
    <row r="10775" s="166" customFormat="1" x14ac:dyDescent="0.2"/>
    <row r="10776" s="166" customFormat="1" x14ac:dyDescent="0.2"/>
    <row r="10777" s="166" customFormat="1" x14ac:dyDescent="0.2"/>
    <row r="10778" s="166" customFormat="1" x14ac:dyDescent="0.2"/>
    <row r="10779" s="166" customFormat="1" x14ac:dyDescent="0.2"/>
    <row r="10780" s="166" customFormat="1" x14ac:dyDescent="0.2"/>
    <row r="10781" s="166" customFormat="1" x14ac:dyDescent="0.2"/>
    <row r="10782" s="166" customFormat="1" x14ac:dyDescent="0.2"/>
    <row r="10783" s="166" customFormat="1" x14ac:dyDescent="0.2"/>
    <row r="10784" s="166" customFormat="1" x14ac:dyDescent="0.2"/>
    <row r="10785" s="166" customFormat="1" x14ac:dyDescent="0.2"/>
    <row r="10786" s="166" customFormat="1" x14ac:dyDescent="0.2"/>
    <row r="10787" s="166" customFormat="1" x14ac:dyDescent="0.2"/>
    <row r="10788" s="166" customFormat="1" x14ac:dyDescent="0.2"/>
    <row r="10789" s="166" customFormat="1" x14ac:dyDescent="0.2"/>
    <row r="10790" s="166" customFormat="1" x14ac:dyDescent="0.2"/>
    <row r="10791" s="166" customFormat="1" x14ac:dyDescent="0.2"/>
    <row r="10792" s="166" customFormat="1" x14ac:dyDescent="0.2"/>
    <row r="10793" s="166" customFormat="1" x14ac:dyDescent="0.2"/>
    <row r="10794" s="166" customFormat="1" x14ac:dyDescent="0.2"/>
    <row r="10795" s="166" customFormat="1" x14ac:dyDescent="0.2"/>
    <row r="10796" s="166" customFormat="1" x14ac:dyDescent="0.2"/>
    <row r="10797" s="166" customFormat="1" x14ac:dyDescent="0.2"/>
    <row r="10798" s="166" customFormat="1" x14ac:dyDescent="0.2"/>
    <row r="10799" s="166" customFormat="1" x14ac:dyDescent="0.2"/>
    <row r="10800" s="166" customFormat="1" x14ac:dyDescent="0.2"/>
    <row r="10801" s="166" customFormat="1" x14ac:dyDescent="0.2"/>
    <row r="10802" s="166" customFormat="1" x14ac:dyDescent="0.2"/>
    <row r="10803" s="166" customFormat="1" x14ac:dyDescent="0.2"/>
    <row r="10804" s="166" customFormat="1" x14ac:dyDescent="0.2"/>
    <row r="10805" s="166" customFormat="1" x14ac:dyDescent="0.2"/>
    <row r="10806" s="166" customFormat="1" x14ac:dyDescent="0.2"/>
    <row r="10807" s="166" customFormat="1" x14ac:dyDescent="0.2"/>
    <row r="10808" s="166" customFormat="1" x14ac:dyDescent="0.2"/>
    <row r="10809" s="166" customFormat="1" x14ac:dyDescent="0.2"/>
    <row r="10810" s="166" customFormat="1" x14ac:dyDescent="0.2"/>
    <row r="10811" s="166" customFormat="1" x14ac:dyDescent="0.2"/>
    <row r="10812" s="166" customFormat="1" x14ac:dyDescent="0.2"/>
    <row r="10813" s="166" customFormat="1" x14ac:dyDescent="0.2"/>
    <row r="10814" s="166" customFormat="1" x14ac:dyDescent="0.2"/>
    <row r="10815" s="166" customFormat="1" x14ac:dyDescent="0.2"/>
    <row r="10816" s="166" customFormat="1" x14ac:dyDescent="0.2"/>
    <row r="10817" s="166" customFormat="1" x14ac:dyDescent="0.2"/>
    <row r="10818" s="166" customFormat="1" x14ac:dyDescent="0.2"/>
    <row r="10819" s="166" customFormat="1" x14ac:dyDescent="0.2"/>
    <row r="10820" s="166" customFormat="1" x14ac:dyDescent="0.2"/>
    <row r="10821" s="166" customFormat="1" x14ac:dyDescent="0.2"/>
    <row r="10822" s="166" customFormat="1" x14ac:dyDescent="0.2"/>
    <row r="10823" s="166" customFormat="1" x14ac:dyDescent="0.2"/>
    <row r="10824" s="166" customFormat="1" x14ac:dyDescent="0.2"/>
    <row r="10825" s="166" customFormat="1" x14ac:dyDescent="0.2"/>
    <row r="10826" s="166" customFormat="1" x14ac:dyDescent="0.2"/>
    <row r="10827" s="166" customFormat="1" x14ac:dyDescent="0.2"/>
    <row r="10828" s="166" customFormat="1" x14ac:dyDescent="0.2"/>
    <row r="10829" s="166" customFormat="1" x14ac:dyDescent="0.2"/>
    <row r="10830" s="166" customFormat="1" x14ac:dyDescent="0.2"/>
    <row r="10831" s="166" customFormat="1" x14ac:dyDescent="0.2"/>
    <row r="10832" s="166" customFormat="1" x14ac:dyDescent="0.2"/>
    <row r="10833" s="166" customFormat="1" x14ac:dyDescent="0.2"/>
    <row r="10834" s="166" customFormat="1" x14ac:dyDescent="0.2"/>
    <row r="10835" s="166" customFormat="1" x14ac:dyDescent="0.2"/>
    <row r="10836" s="166" customFormat="1" x14ac:dyDescent="0.2"/>
    <row r="10837" s="166" customFormat="1" x14ac:dyDescent="0.2"/>
    <row r="10838" s="166" customFormat="1" x14ac:dyDescent="0.2"/>
    <row r="10839" s="166" customFormat="1" x14ac:dyDescent="0.2"/>
    <row r="10840" s="166" customFormat="1" x14ac:dyDescent="0.2"/>
    <row r="10841" s="166" customFormat="1" x14ac:dyDescent="0.2"/>
    <row r="10842" s="166" customFormat="1" x14ac:dyDescent="0.2"/>
    <row r="10843" s="166" customFormat="1" x14ac:dyDescent="0.2"/>
    <row r="10844" s="166" customFormat="1" x14ac:dyDescent="0.2"/>
    <row r="10845" s="166" customFormat="1" x14ac:dyDescent="0.2"/>
    <row r="10846" s="166" customFormat="1" x14ac:dyDescent="0.2"/>
    <row r="10847" s="166" customFormat="1" x14ac:dyDescent="0.2"/>
    <row r="10848" s="166" customFormat="1" x14ac:dyDescent="0.2"/>
    <row r="10849" s="166" customFormat="1" x14ac:dyDescent="0.2"/>
    <row r="10850" s="166" customFormat="1" x14ac:dyDescent="0.2"/>
    <row r="10851" s="166" customFormat="1" x14ac:dyDescent="0.2"/>
    <row r="10852" s="166" customFormat="1" x14ac:dyDescent="0.2"/>
    <row r="10853" s="166" customFormat="1" x14ac:dyDescent="0.2"/>
    <row r="10854" s="166" customFormat="1" x14ac:dyDescent="0.2"/>
    <row r="10855" s="166" customFormat="1" x14ac:dyDescent="0.2"/>
    <row r="10856" s="166" customFormat="1" x14ac:dyDescent="0.2"/>
    <row r="10857" s="166" customFormat="1" x14ac:dyDescent="0.2"/>
    <row r="10858" s="166" customFormat="1" x14ac:dyDescent="0.2"/>
    <row r="10859" s="166" customFormat="1" x14ac:dyDescent="0.2"/>
    <row r="10860" s="166" customFormat="1" x14ac:dyDescent="0.2"/>
    <row r="10861" s="166" customFormat="1" x14ac:dyDescent="0.2"/>
    <row r="10862" s="166" customFormat="1" x14ac:dyDescent="0.2"/>
    <row r="10863" s="166" customFormat="1" x14ac:dyDescent="0.2"/>
    <row r="10864" s="166" customFormat="1" x14ac:dyDescent="0.2"/>
    <row r="10865" s="166" customFormat="1" x14ac:dyDescent="0.2"/>
    <row r="10866" s="166" customFormat="1" x14ac:dyDescent="0.2"/>
    <row r="10867" s="166" customFormat="1" x14ac:dyDescent="0.2"/>
    <row r="10868" s="166" customFormat="1" x14ac:dyDescent="0.2"/>
    <row r="10869" s="166" customFormat="1" x14ac:dyDescent="0.2"/>
    <row r="10870" s="166" customFormat="1" x14ac:dyDescent="0.2"/>
    <row r="10871" s="166" customFormat="1" x14ac:dyDescent="0.2"/>
    <row r="10872" s="166" customFormat="1" x14ac:dyDescent="0.2"/>
    <row r="10873" s="166" customFormat="1" x14ac:dyDescent="0.2"/>
    <row r="10874" s="166" customFormat="1" x14ac:dyDescent="0.2"/>
    <row r="10875" s="166" customFormat="1" x14ac:dyDescent="0.2"/>
    <row r="10876" s="166" customFormat="1" x14ac:dyDescent="0.2"/>
    <row r="10877" s="166" customFormat="1" x14ac:dyDescent="0.2"/>
    <row r="10878" s="166" customFormat="1" x14ac:dyDescent="0.2"/>
    <row r="10879" s="166" customFormat="1" x14ac:dyDescent="0.2"/>
    <row r="10880" s="166" customFormat="1" x14ac:dyDescent="0.2"/>
    <row r="10881" s="166" customFormat="1" x14ac:dyDescent="0.2"/>
    <row r="10882" s="166" customFormat="1" x14ac:dyDescent="0.2"/>
    <row r="10883" s="166" customFormat="1" x14ac:dyDescent="0.2"/>
    <row r="10884" s="166" customFormat="1" x14ac:dyDescent="0.2"/>
    <row r="10885" s="166" customFormat="1" x14ac:dyDescent="0.2"/>
    <row r="10886" s="166" customFormat="1" x14ac:dyDescent="0.2"/>
    <row r="10887" s="166" customFormat="1" x14ac:dyDescent="0.2"/>
    <row r="10888" s="166" customFormat="1" x14ac:dyDescent="0.2"/>
    <row r="10889" s="166" customFormat="1" x14ac:dyDescent="0.2"/>
    <row r="10890" s="166" customFormat="1" x14ac:dyDescent="0.2"/>
    <row r="10891" s="166" customFormat="1" x14ac:dyDescent="0.2"/>
    <row r="10892" s="166" customFormat="1" x14ac:dyDescent="0.2"/>
    <row r="10893" s="166" customFormat="1" x14ac:dyDescent="0.2"/>
    <row r="10894" s="166" customFormat="1" x14ac:dyDescent="0.2"/>
    <row r="10895" s="166" customFormat="1" x14ac:dyDescent="0.2"/>
    <row r="10896" s="166" customFormat="1" x14ac:dyDescent="0.2"/>
    <row r="10897" s="166" customFormat="1" x14ac:dyDescent="0.2"/>
    <row r="10898" s="166" customFormat="1" x14ac:dyDescent="0.2"/>
    <row r="10899" s="166" customFormat="1" x14ac:dyDescent="0.2"/>
    <row r="10900" s="166" customFormat="1" x14ac:dyDescent="0.2"/>
    <row r="10901" s="166" customFormat="1" x14ac:dyDescent="0.2"/>
    <row r="10902" s="166" customFormat="1" x14ac:dyDescent="0.2"/>
    <row r="10903" s="166" customFormat="1" x14ac:dyDescent="0.2"/>
    <row r="10904" s="166" customFormat="1" x14ac:dyDescent="0.2"/>
    <row r="10905" s="166" customFormat="1" x14ac:dyDescent="0.2"/>
    <row r="10906" s="166" customFormat="1" x14ac:dyDescent="0.2"/>
    <row r="10907" s="166" customFormat="1" x14ac:dyDescent="0.2"/>
    <row r="10908" s="166" customFormat="1" x14ac:dyDescent="0.2"/>
    <row r="10909" s="166" customFormat="1" x14ac:dyDescent="0.2"/>
    <row r="10910" s="166" customFormat="1" x14ac:dyDescent="0.2"/>
    <row r="10911" s="166" customFormat="1" x14ac:dyDescent="0.2"/>
    <row r="10912" s="166" customFormat="1" x14ac:dyDescent="0.2"/>
    <row r="10913" s="166" customFormat="1" x14ac:dyDescent="0.2"/>
    <row r="10914" s="166" customFormat="1" x14ac:dyDescent="0.2"/>
    <row r="10915" s="166" customFormat="1" x14ac:dyDescent="0.2"/>
    <row r="10916" s="166" customFormat="1" x14ac:dyDescent="0.2"/>
    <row r="10917" s="166" customFormat="1" x14ac:dyDescent="0.2"/>
    <row r="10918" s="166" customFormat="1" x14ac:dyDescent="0.2"/>
    <row r="10919" s="166" customFormat="1" x14ac:dyDescent="0.2"/>
    <row r="10920" s="166" customFormat="1" x14ac:dyDescent="0.2"/>
    <row r="10921" s="166" customFormat="1" x14ac:dyDescent="0.2"/>
    <row r="10922" s="166" customFormat="1" x14ac:dyDescent="0.2"/>
    <row r="10923" s="166" customFormat="1" x14ac:dyDescent="0.2"/>
    <row r="10924" s="166" customFormat="1" x14ac:dyDescent="0.2"/>
    <row r="10925" s="166" customFormat="1" x14ac:dyDescent="0.2"/>
    <row r="10926" s="166" customFormat="1" x14ac:dyDescent="0.2"/>
    <row r="10927" s="166" customFormat="1" x14ac:dyDescent="0.2"/>
    <row r="10928" s="166" customFormat="1" x14ac:dyDescent="0.2"/>
    <row r="10929" s="166" customFormat="1" x14ac:dyDescent="0.2"/>
    <row r="10930" s="166" customFormat="1" x14ac:dyDescent="0.2"/>
    <row r="10931" s="166" customFormat="1" x14ac:dyDescent="0.2"/>
    <row r="10932" s="166" customFormat="1" x14ac:dyDescent="0.2"/>
    <row r="10933" s="166" customFormat="1" x14ac:dyDescent="0.2"/>
    <row r="10934" s="166" customFormat="1" x14ac:dyDescent="0.2"/>
    <row r="10935" s="166" customFormat="1" x14ac:dyDescent="0.2"/>
    <row r="10936" s="166" customFormat="1" x14ac:dyDescent="0.2"/>
    <row r="10937" s="166" customFormat="1" x14ac:dyDescent="0.2"/>
    <row r="10938" s="166" customFormat="1" x14ac:dyDescent="0.2"/>
    <row r="10939" s="166" customFormat="1" x14ac:dyDescent="0.2"/>
    <row r="10940" s="166" customFormat="1" x14ac:dyDescent="0.2"/>
    <row r="10941" s="166" customFormat="1" x14ac:dyDescent="0.2"/>
    <row r="10942" s="166" customFormat="1" x14ac:dyDescent="0.2"/>
    <row r="10943" s="166" customFormat="1" x14ac:dyDescent="0.2"/>
    <row r="10944" s="166" customFormat="1" x14ac:dyDescent="0.2"/>
    <row r="10945" s="166" customFormat="1" x14ac:dyDescent="0.2"/>
    <row r="10946" s="166" customFormat="1" x14ac:dyDescent="0.2"/>
    <row r="10947" s="166" customFormat="1" x14ac:dyDescent="0.2"/>
    <row r="10948" s="166" customFormat="1" x14ac:dyDescent="0.2"/>
    <row r="10949" s="166" customFormat="1" x14ac:dyDescent="0.2"/>
    <row r="10950" s="166" customFormat="1" x14ac:dyDescent="0.2"/>
    <row r="10951" s="166" customFormat="1" x14ac:dyDescent="0.2"/>
    <row r="10952" s="166" customFormat="1" x14ac:dyDescent="0.2"/>
    <row r="10953" s="166" customFormat="1" x14ac:dyDescent="0.2"/>
    <row r="10954" s="166" customFormat="1" x14ac:dyDescent="0.2"/>
    <row r="10955" s="166" customFormat="1" x14ac:dyDescent="0.2"/>
    <row r="10956" s="166" customFormat="1" x14ac:dyDescent="0.2"/>
    <row r="10957" s="166" customFormat="1" x14ac:dyDescent="0.2"/>
    <row r="10958" s="166" customFormat="1" x14ac:dyDescent="0.2"/>
    <row r="10959" s="166" customFormat="1" x14ac:dyDescent="0.2"/>
    <row r="10960" s="166" customFormat="1" x14ac:dyDescent="0.2"/>
    <row r="10961" s="166" customFormat="1" x14ac:dyDescent="0.2"/>
    <row r="10962" s="166" customFormat="1" x14ac:dyDescent="0.2"/>
    <row r="10963" s="166" customFormat="1" x14ac:dyDescent="0.2"/>
    <row r="10964" s="166" customFormat="1" x14ac:dyDescent="0.2"/>
    <row r="10965" s="166" customFormat="1" x14ac:dyDescent="0.2"/>
    <row r="10966" s="166" customFormat="1" x14ac:dyDescent="0.2"/>
    <row r="10967" s="166" customFormat="1" x14ac:dyDescent="0.2"/>
    <row r="10968" s="166" customFormat="1" x14ac:dyDescent="0.2"/>
    <row r="10969" s="166" customFormat="1" x14ac:dyDescent="0.2"/>
    <row r="10970" s="166" customFormat="1" x14ac:dyDescent="0.2"/>
    <row r="10971" s="166" customFormat="1" x14ac:dyDescent="0.2"/>
    <row r="10972" s="166" customFormat="1" x14ac:dyDescent="0.2"/>
    <row r="10973" s="166" customFormat="1" x14ac:dyDescent="0.2"/>
    <row r="10974" s="166" customFormat="1" x14ac:dyDescent="0.2"/>
    <row r="10975" s="166" customFormat="1" x14ac:dyDescent="0.2"/>
    <row r="10976" s="166" customFormat="1" x14ac:dyDescent="0.2"/>
    <row r="10977" s="166" customFormat="1" x14ac:dyDescent="0.2"/>
    <row r="10978" s="166" customFormat="1" x14ac:dyDescent="0.2"/>
    <row r="10979" s="166" customFormat="1" x14ac:dyDescent="0.2"/>
    <row r="10980" s="166" customFormat="1" x14ac:dyDescent="0.2"/>
    <row r="10981" s="166" customFormat="1" x14ac:dyDescent="0.2"/>
    <row r="10982" s="166" customFormat="1" x14ac:dyDescent="0.2"/>
    <row r="10983" s="166" customFormat="1" x14ac:dyDescent="0.2"/>
    <row r="10984" s="166" customFormat="1" x14ac:dyDescent="0.2"/>
    <row r="10985" s="166" customFormat="1" x14ac:dyDescent="0.2"/>
    <row r="10986" s="166" customFormat="1" x14ac:dyDescent="0.2"/>
    <row r="10987" s="166" customFormat="1" x14ac:dyDescent="0.2"/>
    <row r="10988" s="166" customFormat="1" x14ac:dyDescent="0.2"/>
    <row r="10989" s="166" customFormat="1" x14ac:dyDescent="0.2"/>
    <row r="10990" s="166" customFormat="1" x14ac:dyDescent="0.2"/>
    <row r="10991" s="166" customFormat="1" x14ac:dyDescent="0.2"/>
    <row r="10992" s="166" customFormat="1" x14ac:dyDescent="0.2"/>
    <row r="10993" s="166" customFormat="1" x14ac:dyDescent="0.2"/>
    <row r="10994" s="166" customFormat="1" x14ac:dyDescent="0.2"/>
    <row r="10995" s="166" customFormat="1" x14ac:dyDescent="0.2"/>
    <row r="10996" s="166" customFormat="1" x14ac:dyDescent="0.2"/>
    <row r="10997" s="166" customFormat="1" x14ac:dyDescent="0.2"/>
    <row r="10998" s="166" customFormat="1" x14ac:dyDescent="0.2"/>
    <row r="10999" s="166" customFormat="1" x14ac:dyDescent="0.2"/>
    <row r="11000" s="166" customFormat="1" x14ac:dyDescent="0.2"/>
    <row r="11001" s="166" customFormat="1" x14ac:dyDescent="0.2"/>
    <row r="11002" s="166" customFormat="1" x14ac:dyDescent="0.2"/>
    <row r="11003" s="166" customFormat="1" x14ac:dyDescent="0.2"/>
    <row r="11004" s="166" customFormat="1" x14ac:dyDescent="0.2"/>
    <row r="11005" s="166" customFormat="1" x14ac:dyDescent="0.2"/>
    <row r="11006" s="166" customFormat="1" x14ac:dyDescent="0.2"/>
    <row r="11007" s="166" customFormat="1" x14ac:dyDescent="0.2"/>
    <row r="11008" s="166" customFormat="1" x14ac:dyDescent="0.2"/>
    <row r="11009" s="166" customFormat="1" x14ac:dyDescent="0.2"/>
    <row r="11010" s="166" customFormat="1" x14ac:dyDescent="0.2"/>
    <row r="11011" s="166" customFormat="1" x14ac:dyDescent="0.2"/>
    <row r="11012" s="166" customFormat="1" x14ac:dyDescent="0.2"/>
    <row r="11013" s="166" customFormat="1" x14ac:dyDescent="0.2"/>
    <row r="11014" s="166" customFormat="1" x14ac:dyDescent="0.2"/>
    <row r="11015" s="166" customFormat="1" x14ac:dyDescent="0.2"/>
    <row r="11016" s="166" customFormat="1" x14ac:dyDescent="0.2"/>
    <row r="11017" s="166" customFormat="1" x14ac:dyDescent="0.2"/>
    <row r="11018" s="166" customFormat="1" x14ac:dyDescent="0.2"/>
    <row r="11019" s="166" customFormat="1" x14ac:dyDescent="0.2"/>
    <row r="11020" s="166" customFormat="1" x14ac:dyDescent="0.2"/>
    <row r="11021" s="166" customFormat="1" x14ac:dyDescent="0.2"/>
    <row r="11022" s="166" customFormat="1" x14ac:dyDescent="0.2"/>
    <row r="11023" s="166" customFormat="1" x14ac:dyDescent="0.2"/>
    <row r="11024" s="166" customFormat="1" x14ac:dyDescent="0.2"/>
    <row r="11025" s="166" customFormat="1" x14ac:dyDescent="0.2"/>
    <row r="11026" s="166" customFormat="1" x14ac:dyDescent="0.2"/>
    <row r="11027" s="166" customFormat="1" x14ac:dyDescent="0.2"/>
    <row r="11028" s="166" customFormat="1" x14ac:dyDescent="0.2"/>
    <row r="11029" s="166" customFormat="1" x14ac:dyDescent="0.2"/>
    <row r="11030" s="166" customFormat="1" x14ac:dyDescent="0.2"/>
    <row r="11031" s="166" customFormat="1" x14ac:dyDescent="0.2"/>
    <row r="11032" s="166" customFormat="1" x14ac:dyDescent="0.2"/>
    <row r="11033" s="166" customFormat="1" x14ac:dyDescent="0.2"/>
    <row r="11034" s="166" customFormat="1" x14ac:dyDescent="0.2"/>
    <row r="11035" s="166" customFormat="1" x14ac:dyDescent="0.2"/>
    <row r="11036" s="166" customFormat="1" x14ac:dyDescent="0.2"/>
    <row r="11037" s="166" customFormat="1" x14ac:dyDescent="0.2"/>
    <row r="11038" s="166" customFormat="1" x14ac:dyDescent="0.2"/>
    <row r="11039" s="166" customFormat="1" x14ac:dyDescent="0.2"/>
    <row r="11040" s="166" customFormat="1" x14ac:dyDescent="0.2"/>
    <row r="11041" s="166" customFormat="1" x14ac:dyDescent="0.2"/>
    <row r="11042" s="166" customFormat="1" x14ac:dyDescent="0.2"/>
    <row r="11043" s="166" customFormat="1" x14ac:dyDescent="0.2"/>
    <row r="11044" s="166" customFormat="1" x14ac:dyDescent="0.2"/>
    <row r="11045" s="166" customFormat="1" x14ac:dyDescent="0.2"/>
    <row r="11046" s="166" customFormat="1" x14ac:dyDescent="0.2"/>
    <row r="11047" s="166" customFormat="1" x14ac:dyDescent="0.2"/>
    <row r="11048" s="166" customFormat="1" x14ac:dyDescent="0.2"/>
    <row r="11049" s="166" customFormat="1" x14ac:dyDescent="0.2"/>
    <row r="11050" s="166" customFormat="1" x14ac:dyDescent="0.2"/>
    <row r="11051" s="166" customFormat="1" x14ac:dyDescent="0.2"/>
    <row r="11052" s="166" customFormat="1" x14ac:dyDescent="0.2"/>
    <row r="11053" s="166" customFormat="1" x14ac:dyDescent="0.2"/>
    <row r="11054" s="166" customFormat="1" x14ac:dyDescent="0.2"/>
    <row r="11055" s="166" customFormat="1" x14ac:dyDescent="0.2"/>
    <row r="11056" s="166" customFormat="1" x14ac:dyDescent="0.2"/>
    <row r="11057" s="166" customFormat="1" x14ac:dyDescent="0.2"/>
    <row r="11058" s="166" customFormat="1" x14ac:dyDescent="0.2"/>
    <row r="11059" s="166" customFormat="1" x14ac:dyDescent="0.2"/>
    <row r="11060" s="166" customFormat="1" x14ac:dyDescent="0.2"/>
    <row r="11061" s="166" customFormat="1" x14ac:dyDescent="0.2"/>
    <row r="11062" s="166" customFormat="1" x14ac:dyDescent="0.2"/>
    <row r="11063" s="166" customFormat="1" x14ac:dyDescent="0.2"/>
    <row r="11064" s="166" customFormat="1" x14ac:dyDescent="0.2"/>
    <row r="11065" s="166" customFormat="1" x14ac:dyDescent="0.2"/>
    <row r="11066" s="166" customFormat="1" x14ac:dyDescent="0.2"/>
    <row r="11067" s="166" customFormat="1" x14ac:dyDescent="0.2"/>
    <row r="11068" s="166" customFormat="1" x14ac:dyDescent="0.2"/>
    <row r="11069" s="166" customFormat="1" x14ac:dyDescent="0.2"/>
    <row r="11070" s="166" customFormat="1" x14ac:dyDescent="0.2"/>
    <row r="11071" s="166" customFormat="1" x14ac:dyDescent="0.2"/>
    <row r="11072" s="166" customFormat="1" x14ac:dyDescent="0.2"/>
    <row r="11073" s="166" customFormat="1" x14ac:dyDescent="0.2"/>
    <row r="11074" s="166" customFormat="1" x14ac:dyDescent="0.2"/>
    <row r="11075" s="166" customFormat="1" x14ac:dyDescent="0.2"/>
    <row r="11076" s="166" customFormat="1" x14ac:dyDescent="0.2"/>
    <row r="11077" s="166" customFormat="1" x14ac:dyDescent="0.2"/>
    <row r="11078" s="166" customFormat="1" x14ac:dyDescent="0.2"/>
    <row r="11079" s="166" customFormat="1" x14ac:dyDescent="0.2"/>
    <row r="11080" s="166" customFormat="1" x14ac:dyDescent="0.2"/>
    <row r="11081" s="166" customFormat="1" x14ac:dyDescent="0.2"/>
    <row r="11082" s="166" customFormat="1" x14ac:dyDescent="0.2"/>
    <row r="11083" s="166" customFormat="1" x14ac:dyDescent="0.2"/>
    <row r="11084" s="166" customFormat="1" x14ac:dyDescent="0.2"/>
    <row r="11085" s="166" customFormat="1" x14ac:dyDescent="0.2"/>
    <row r="11086" s="166" customFormat="1" x14ac:dyDescent="0.2"/>
    <row r="11087" s="166" customFormat="1" x14ac:dyDescent="0.2"/>
    <row r="11088" s="166" customFormat="1" x14ac:dyDescent="0.2"/>
    <row r="11089" s="166" customFormat="1" x14ac:dyDescent="0.2"/>
    <row r="11090" s="166" customFormat="1" x14ac:dyDescent="0.2"/>
    <row r="11091" s="166" customFormat="1" x14ac:dyDescent="0.2"/>
    <row r="11092" s="166" customFormat="1" x14ac:dyDescent="0.2"/>
    <row r="11093" s="166" customFormat="1" x14ac:dyDescent="0.2"/>
    <row r="11094" s="166" customFormat="1" x14ac:dyDescent="0.2"/>
    <row r="11095" s="166" customFormat="1" x14ac:dyDescent="0.2"/>
    <row r="11096" s="166" customFormat="1" x14ac:dyDescent="0.2"/>
    <row r="11097" s="166" customFormat="1" x14ac:dyDescent="0.2"/>
    <row r="11098" s="166" customFormat="1" x14ac:dyDescent="0.2"/>
    <row r="11099" s="166" customFormat="1" x14ac:dyDescent="0.2"/>
    <row r="11100" s="166" customFormat="1" x14ac:dyDescent="0.2"/>
    <row r="11101" s="166" customFormat="1" x14ac:dyDescent="0.2"/>
    <row r="11102" s="166" customFormat="1" x14ac:dyDescent="0.2"/>
    <row r="11103" s="166" customFormat="1" x14ac:dyDescent="0.2"/>
    <row r="11104" s="166" customFormat="1" x14ac:dyDescent="0.2"/>
    <row r="11105" s="166" customFormat="1" x14ac:dyDescent="0.2"/>
    <row r="11106" s="166" customFormat="1" x14ac:dyDescent="0.2"/>
    <row r="11107" s="166" customFormat="1" x14ac:dyDescent="0.2"/>
    <row r="11108" s="166" customFormat="1" x14ac:dyDescent="0.2"/>
    <row r="11109" s="166" customFormat="1" x14ac:dyDescent="0.2"/>
    <row r="11110" s="166" customFormat="1" x14ac:dyDescent="0.2"/>
    <row r="11111" s="166" customFormat="1" x14ac:dyDescent="0.2"/>
    <row r="11112" s="166" customFormat="1" x14ac:dyDescent="0.2"/>
    <row r="11113" s="166" customFormat="1" x14ac:dyDescent="0.2"/>
    <row r="11114" s="166" customFormat="1" x14ac:dyDescent="0.2"/>
    <row r="11115" s="166" customFormat="1" x14ac:dyDescent="0.2"/>
    <row r="11116" s="166" customFormat="1" x14ac:dyDescent="0.2"/>
    <row r="11117" s="166" customFormat="1" x14ac:dyDescent="0.2"/>
    <row r="11118" s="166" customFormat="1" x14ac:dyDescent="0.2"/>
    <row r="11119" s="166" customFormat="1" x14ac:dyDescent="0.2"/>
    <row r="11120" s="166" customFormat="1" x14ac:dyDescent="0.2"/>
    <row r="11121" s="166" customFormat="1" x14ac:dyDescent="0.2"/>
    <row r="11122" s="166" customFormat="1" x14ac:dyDescent="0.2"/>
    <row r="11123" s="166" customFormat="1" x14ac:dyDescent="0.2"/>
    <row r="11124" s="166" customFormat="1" x14ac:dyDescent="0.2"/>
    <row r="11125" s="166" customFormat="1" x14ac:dyDescent="0.2"/>
    <row r="11126" s="166" customFormat="1" x14ac:dyDescent="0.2"/>
    <row r="11127" s="166" customFormat="1" x14ac:dyDescent="0.2"/>
    <row r="11128" s="166" customFormat="1" x14ac:dyDescent="0.2"/>
    <row r="11129" s="166" customFormat="1" x14ac:dyDescent="0.2"/>
    <row r="11130" s="166" customFormat="1" x14ac:dyDescent="0.2"/>
    <row r="11131" s="166" customFormat="1" x14ac:dyDescent="0.2"/>
    <row r="11132" s="166" customFormat="1" x14ac:dyDescent="0.2"/>
    <row r="11133" s="166" customFormat="1" x14ac:dyDescent="0.2"/>
    <row r="11134" s="166" customFormat="1" x14ac:dyDescent="0.2"/>
    <row r="11135" s="166" customFormat="1" x14ac:dyDescent="0.2"/>
    <row r="11136" s="166" customFormat="1" x14ac:dyDescent="0.2"/>
    <row r="11137" s="166" customFormat="1" x14ac:dyDescent="0.2"/>
    <row r="11138" s="166" customFormat="1" x14ac:dyDescent="0.2"/>
    <row r="11139" s="166" customFormat="1" x14ac:dyDescent="0.2"/>
    <row r="11140" s="166" customFormat="1" x14ac:dyDescent="0.2"/>
    <row r="11141" s="166" customFormat="1" x14ac:dyDescent="0.2"/>
    <row r="11142" s="166" customFormat="1" x14ac:dyDescent="0.2"/>
    <row r="11143" s="166" customFormat="1" x14ac:dyDescent="0.2"/>
    <row r="11144" s="166" customFormat="1" x14ac:dyDescent="0.2"/>
    <row r="11145" s="166" customFormat="1" x14ac:dyDescent="0.2"/>
    <row r="11146" s="166" customFormat="1" x14ac:dyDescent="0.2"/>
    <row r="11147" s="166" customFormat="1" x14ac:dyDescent="0.2"/>
    <row r="11148" s="166" customFormat="1" x14ac:dyDescent="0.2"/>
    <row r="11149" s="166" customFormat="1" x14ac:dyDescent="0.2"/>
    <row r="11150" s="166" customFormat="1" x14ac:dyDescent="0.2"/>
    <row r="11151" s="166" customFormat="1" x14ac:dyDescent="0.2"/>
    <row r="11152" s="166" customFormat="1" x14ac:dyDescent="0.2"/>
    <row r="11153" s="166" customFormat="1" x14ac:dyDescent="0.2"/>
    <row r="11154" s="166" customFormat="1" x14ac:dyDescent="0.2"/>
    <row r="11155" s="166" customFormat="1" x14ac:dyDescent="0.2"/>
    <row r="11156" s="166" customFormat="1" x14ac:dyDescent="0.2"/>
    <row r="11157" s="166" customFormat="1" x14ac:dyDescent="0.2"/>
    <row r="11158" s="166" customFormat="1" x14ac:dyDescent="0.2"/>
    <row r="11159" s="166" customFormat="1" x14ac:dyDescent="0.2"/>
    <row r="11160" s="166" customFormat="1" x14ac:dyDescent="0.2"/>
    <row r="11161" s="166" customFormat="1" x14ac:dyDescent="0.2"/>
    <row r="11162" s="166" customFormat="1" x14ac:dyDescent="0.2"/>
    <row r="11163" s="166" customFormat="1" x14ac:dyDescent="0.2"/>
    <row r="11164" s="166" customFormat="1" x14ac:dyDescent="0.2"/>
    <row r="11165" s="166" customFormat="1" x14ac:dyDescent="0.2"/>
    <row r="11166" s="166" customFormat="1" x14ac:dyDescent="0.2"/>
    <row r="11167" s="166" customFormat="1" x14ac:dyDescent="0.2"/>
    <row r="11168" s="166" customFormat="1" x14ac:dyDescent="0.2"/>
    <row r="11169" s="166" customFormat="1" x14ac:dyDescent="0.2"/>
    <row r="11170" s="166" customFormat="1" x14ac:dyDescent="0.2"/>
    <row r="11171" s="166" customFormat="1" x14ac:dyDescent="0.2"/>
    <row r="11172" s="166" customFormat="1" x14ac:dyDescent="0.2"/>
    <row r="11173" s="166" customFormat="1" x14ac:dyDescent="0.2"/>
    <row r="11174" s="166" customFormat="1" x14ac:dyDescent="0.2"/>
    <row r="11175" s="166" customFormat="1" x14ac:dyDescent="0.2"/>
    <row r="11176" s="166" customFormat="1" x14ac:dyDescent="0.2"/>
    <row r="11177" s="166" customFormat="1" x14ac:dyDescent="0.2"/>
    <row r="11178" s="166" customFormat="1" x14ac:dyDescent="0.2"/>
    <row r="11179" s="166" customFormat="1" x14ac:dyDescent="0.2"/>
    <row r="11180" s="166" customFormat="1" x14ac:dyDescent="0.2"/>
    <row r="11181" s="166" customFormat="1" x14ac:dyDescent="0.2"/>
    <row r="11182" s="166" customFormat="1" x14ac:dyDescent="0.2"/>
    <row r="11183" s="166" customFormat="1" x14ac:dyDescent="0.2"/>
    <row r="11184" s="166" customFormat="1" x14ac:dyDescent="0.2"/>
    <row r="11185" s="166" customFormat="1" x14ac:dyDescent="0.2"/>
    <row r="11186" s="166" customFormat="1" x14ac:dyDescent="0.2"/>
    <row r="11187" s="166" customFormat="1" x14ac:dyDescent="0.2"/>
    <row r="11188" s="166" customFormat="1" x14ac:dyDescent="0.2"/>
    <row r="11189" s="166" customFormat="1" x14ac:dyDescent="0.2"/>
    <row r="11190" s="166" customFormat="1" x14ac:dyDescent="0.2"/>
    <row r="11191" s="166" customFormat="1" x14ac:dyDescent="0.2"/>
    <row r="11192" s="166" customFormat="1" x14ac:dyDescent="0.2"/>
    <row r="11193" s="166" customFormat="1" x14ac:dyDescent="0.2"/>
    <row r="11194" s="166" customFormat="1" x14ac:dyDescent="0.2"/>
    <row r="11195" s="166" customFormat="1" x14ac:dyDescent="0.2"/>
    <row r="11196" s="166" customFormat="1" x14ac:dyDescent="0.2"/>
    <row r="11197" s="166" customFormat="1" x14ac:dyDescent="0.2"/>
    <row r="11198" s="166" customFormat="1" x14ac:dyDescent="0.2"/>
    <row r="11199" s="166" customFormat="1" x14ac:dyDescent="0.2"/>
    <row r="11200" s="166" customFormat="1" x14ac:dyDescent="0.2"/>
    <row r="11201" s="166" customFormat="1" x14ac:dyDescent="0.2"/>
    <row r="11202" s="166" customFormat="1" x14ac:dyDescent="0.2"/>
    <row r="11203" s="166" customFormat="1" x14ac:dyDescent="0.2"/>
    <row r="11204" s="166" customFormat="1" x14ac:dyDescent="0.2"/>
    <row r="11205" s="166" customFormat="1" x14ac:dyDescent="0.2"/>
    <row r="11206" s="166" customFormat="1" x14ac:dyDescent="0.2"/>
    <row r="11207" s="166" customFormat="1" x14ac:dyDescent="0.2"/>
    <row r="11208" s="166" customFormat="1" x14ac:dyDescent="0.2"/>
    <row r="11209" s="166" customFormat="1" x14ac:dyDescent="0.2"/>
    <row r="11210" s="166" customFormat="1" x14ac:dyDescent="0.2"/>
    <row r="11211" s="166" customFormat="1" x14ac:dyDescent="0.2"/>
    <row r="11212" s="166" customFormat="1" x14ac:dyDescent="0.2"/>
    <row r="11213" s="166" customFormat="1" x14ac:dyDescent="0.2"/>
    <row r="11214" s="166" customFormat="1" x14ac:dyDescent="0.2"/>
    <row r="11215" s="166" customFormat="1" x14ac:dyDescent="0.2"/>
    <row r="11216" s="166" customFormat="1" x14ac:dyDescent="0.2"/>
    <row r="11217" s="166" customFormat="1" x14ac:dyDescent="0.2"/>
    <row r="11218" s="166" customFormat="1" x14ac:dyDescent="0.2"/>
    <row r="11219" s="166" customFormat="1" x14ac:dyDescent="0.2"/>
    <row r="11220" s="166" customFormat="1" x14ac:dyDescent="0.2"/>
    <row r="11221" s="166" customFormat="1" x14ac:dyDescent="0.2"/>
    <row r="11222" s="166" customFormat="1" x14ac:dyDescent="0.2"/>
    <row r="11223" s="166" customFormat="1" x14ac:dyDescent="0.2"/>
    <row r="11224" s="166" customFormat="1" x14ac:dyDescent="0.2"/>
    <row r="11225" s="166" customFormat="1" x14ac:dyDescent="0.2"/>
    <row r="11226" s="166" customFormat="1" x14ac:dyDescent="0.2"/>
    <row r="11227" s="166" customFormat="1" x14ac:dyDescent="0.2"/>
    <row r="11228" s="166" customFormat="1" x14ac:dyDescent="0.2"/>
    <row r="11229" s="166" customFormat="1" x14ac:dyDescent="0.2"/>
    <row r="11230" s="166" customFormat="1" x14ac:dyDescent="0.2"/>
    <row r="11231" s="166" customFormat="1" x14ac:dyDescent="0.2"/>
    <row r="11232" s="166" customFormat="1" x14ac:dyDescent="0.2"/>
    <row r="11233" s="166" customFormat="1" x14ac:dyDescent="0.2"/>
    <row r="11234" s="166" customFormat="1" x14ac:dyDescent="0.2"/>
    <row r="11235" s="166" customFormat="1" x14ac:dyDescent="0.2"/>
    <row r="11236" s="166" customFormat="1" x14ac:dyDescent="0.2"/>
    <row r="11237" s="166" customFormat="1" x14ac:dyDescent="0.2"/>
    <row r="11238" s="166" customFormat="1" x14ac:dyDescent="0.2"/>
    <row r="11239" s="166" customFormat="1" x14ac:dyDescent="0.2"/>
    <row r="11240" s="166" customFormat="1" x14ac:dyDescent="0.2"/>
    <row r="11241" s="166" customFormat="1" x14ac:dyDescent="0.2"/>
    <row r="11242" s="166" customFormat="1" x14ac:dyDescent="0.2"/>
    <row r="11243" s="166" customFormat="1" x14ac:dyDescent="0.2"/>
    <row r="11244" s="166" customFormat="1" x14ac:dyDescent="0.2"/>
    <row r="11245" s="166" customFormat="1" x14ac:dyDescent="0.2"/>
    <row r="11246" s="166" customFormat="1" x14ac:dyDescent="0.2"/>
    <row r="11247" s="166" customFormat="1" x14ac:dyDescent="0.2"/>
    <row r="11248" s="166" customFormat="1" x14ac:dyDescent="0.2"/>
    <row r="11249" s="166" customFormat="1" x14ac:dyDescent="0.2"/>
    <row r="11250" s="166" customFormat="1" x14ac:dyDescent="0.2"/>
    <row r="11251" s="166" customFormat="1" x14ac:dyDescent="0.2"/>
    <row r="11252" s="166" customFormat="1" x14ac:dyDescent="0.2"/>
    <row r="11253" s="166" customFormat="1" x14ac:dyDescent="0.2"/>
    <row r="11254" s="166" customFormat="1" x14ac:dyDescent="0.2"/>
    <row r="11255" s="166" customFormat="1" x14ac:dyDescent="0.2"/>
    <row r="11256" s="166" customFormat="1" x14ac:dyDescent="0.2"/>
    <row r="11257" s="166" customFormat="1" x14ac:dyDescent="0.2"/>
    <row r="11258" s="166" customFormat="1" x14ac:dyDescent="0.2"/>
    <row r="11259" s="166" customFormat="1" x14ac:dyDescent="0.2"/>
    <row r="11260" s="166" customFormat="1" x14ac:dyDescent="0.2"/>
    <row r="11261" s="166" customFormat="1" x14ac:dyDescent="0.2"/>
    <row r="11262" s="166" customFormat="1" x14ac:dyDescent="0.2"/>
    <row r="11263" s="166" customFormat="1" x14ac:dyDescent="0.2"/>
    <row r="11264" s="166" customFormat="1" x14ac:dyDescent="0.2"/>
    <row r="11265" s="166" customFormat="1" x14ac:dyDescent="0.2"/>
    <row r="11266" s="166" customFormat="1" x14ac:dyDescent="0.2"/>
    <row r="11267" s="166" customFormat="1" x14ac:dyDescent="0.2"/>
    <row r="11268" s="166" customFormat="1" x14ac:dyDescent="0.2"/>
    <row r="11269" s="166" customFormat="1" x14ac:dyDescent="0.2"/>
    <row r="11270" s="166" customFormat="1" x14ac:dyDescent="0.2"/>
    <row r="11271" s="166" customFormat="1" x14ac:dyDescent="0.2"/>
    <row r="11272" s="166" customFormat="1" x14ac:dyDescent="0.2"/>
    <row r="11273" s="166" customFormat="1" x14ac:dyDescent="0.2"/>
    <row r="11274" s="166" customFormat="1" x14ac:dyDescent="0.2"/>
    <row r="11275" s="166" customFormat="1" x14ac:dyDescent="0.2"/>
    <row r="11276" s="166" customFormat="1" x14ac:dyDescent="0.2"/>
    <row r="11277" s="166" customFormat="1" x14ac:dyDescent="0.2"/>
    <row r="11278" s="166" customFormat="1" x14ac:dyDescent="0.2"/>
    <row r="11279" s="166" customFormat="1" x14ac:dyDescent="0.2"/>
    <row r="11280" s="166" customFormat="1" x14ac:dyDescent="0.2"/>
    <row r="11281" s="166" customFormat="1" x14ac:dyDescent="0.2"/>
    <row r="11282" s="166" customFormat="1" x14ac:dyDescent="0.2"/>
    <row r="11283" s="166" customFormat="1" x14ac:dyDescent="0.2"/>
    <row r="11284" s="166" customFormat="1" x14ac:dyDescent="0.2"/>
    <row r="11285" s="166" customFormat="1" x14ac:dyDescent="0.2"/>
    <row r="11286" s="166" customFormat="1" x14ac:dyDescent="0.2"/>
    <row r="11287" s="166" customFormat="1" x14ac:dyDescent="0.2"/>
    <row r="11288" s="166" customFormat="1" x14ac:dyDescent="0.2"/>
    <row r="11289" s="166" customFormat="1" x14ac:dyDescent="0.2"/>
    <row r="11290" s="166" customFormat="1" x14ac:dyDescent="0.2"/>
    <row r="11291" s="166" customFormat="1" x14ac:dyDescent="0.2"/>
    <row r="11292" s="166" customFormat="1" x14ac:dyDescent="0.2"/>
    <row r="11293" s="166" customFormat="1" x14ac:dyDescent="0.2"/>
    <row r="11294" s="166" customFormat="1" x14ac:dyDescent="0.2"/>
    <row r="11295" s="166" customFormat="1" x14ac:dyDescent="0.2"/>
    <row r="11296" s="166" customFormat="1" x14ac:dyDescent="0.2"/>
    <row r="11297" s="166" customFormat="1" x14ac:dyDescent="0.2"/>
    <row r="11298" s="166" customFormat="1" x14ac:dyDescent="0.2"/>
    <row r="11299" s="166" customFormat="1" x14ac:dyDescent="0.2"/>
    <row r="11300" s="166" customFormat="1" x14ac:dyDescent="0.2"/>
    <row r="11301" s="166" customFormat="1" x14ac:dyDescent="0.2"/>
    <row r="11302" s="166" customFormat="1" x14ac:dyDescent="0.2"/>
    <row r="11303" s="166" customFormat="1" x14ac:dyDescent="0.2"/>
    <row r="11304" s="166" customFormat="1" x14ac:dyDescent="0.2"/>
    <row r="11305" s="166" customFormat="1" x14ac:dyDescent="0.2"/>
    <row r="11306" s="166" customFormat="1" x14ac:dyDescent="0.2"/>
    <row r="11307" s="166" customFormat="1" x14ac:dyDescent="0.2"/>
    <row r="11308" s="166" customFormat="1" x14ac:dyDescent="0.2"/>
    <row r="11309" s="166" customFormat="1" x14ac:dyDescent="0.2"/>
    <row r="11310" s="166" customFormat="1" x14ac:dyDescent="0.2"/>
    <row r="11311" s="166" customFormat="1" x14ac:dyDescent="0.2"/>
    <row r="11312" s="166" customFormat="1" x14ac:dyDescent="0.2"/>
    <row r="11313" s="166" customFormat="1" x14ac:dyDescent="0.2"/>
    <row r="11314" s="166" customFormat="1" x14ac:dyDescent="0.2"/>
    <row r="11315" s="166" customFormat="1" x14ac:dyDescent="0.2"/>
    <row r="11316" s="166" customFormat="1" x14ac:dyDescent="0.2"/>
    <row r="11317" s="166" customFormat="1" x14ac:dyDescent="0.2"/>
    <row r="11318" s="166" customFormat="1" x14ac:dyDescent="0.2"/>
    <row r="11319" s="166" customFormat="1" x14ac:dyDescent="0.2"/>
    <row r="11320" s="166" customFormat="1" x14ac:dyDescent="0.2"/>
    <row r="11321" s="166" customFormat="1" x14ac:dyDescent="0.2"/>
    <row r="11322" s="166" customFormat="1" x14ac:dyDescent="0.2"/>
    <row r="11323" s="166" customFormat="1" x14ac:dyDescent="0.2"/>
    <row r="11324" s="166" customFormat="1" x14ac:dyDescent="0.2"/>
    <row r="11325" s="166" customFormat="1" x14ac:dyDescent="0.2"/>
    <row r="11326" s="166" customFormat="1" x14ac:dyDescent="0.2"/>
    <row r="11327" s="166" customFormat="1" x14ac:dyDescent="0.2"/>
    <row r="11328" s="166" customFormat="1" x14ac:dyDescent="0.2"/>
    <row r="11329" s="166" customFormat="1" x14ac:dyDescent="0.2"/>
    <row r="11330" s="166" customFormat="1" x14ac:dyDescent="0.2"/>
    <row r="11331" s="166" customFormat="1" x14ac:dyDescent="0.2"/>
    <row r="11332" s="166" customFormat="1" x14ac:dyDescent="0.2"/>
    <row r="11333" s="166" customFormat="1" x14ac:dyDescent="0.2"/>
    <row r="11334" s="166" customFormat="1" x14ac:dyDescent="0.2"/>
    <row r="11335" s="166" customFormat="1" x14ac:dyDescent="0.2"/>
    <row r="11336" s="166" customFormat="1" x14ac:dyDescent="0.2"/>
    <row r="11337" s="166" customFormat="1" x14ac:dyDescent="0.2"/>
    <row r="11338" s="166" customFormat="1" x14ac:dyDescent="0.2"/>
    <row r="11339" s="166" customFormat="1" x14ac:dyDescent="0.2"/>
    <row r="11340" s="166" customFormat="1" x14ac:dyDescent="0.2"/>
    <row r="11341" s="166" customFormat="1" x14ac:dyDescent="0.2"/>
    <row r="11342" s="166" customFormat="1" x14ac:dyDescent="0.2"/>
    <row r="11343" s="166" customFormat="1" x14ac:dyDescent="0.2"/>
    <row r="11344" s="166" customFormat="1" x14ac:dyDescent="0.2"/>
    <row r="11345" s="166" customFormat="1" x14ac:dyDescent="0.2"/>
    <row r="11346" s="166" customFormat="1" x14ac:dyDescent="0.2"/>
    <row r="11347" s="166" customFormat="1" x14ac:dyDescent="0.2"/>
    <row r="11348" s="166" customFormat="1" x14ac:dyDescent="0.2"/>
    <row r="11349" s="166" customFormat="1" x14ac:dyDescent="0.2"/>
    <row r="11350" s="166" customFormat="1" x14ac:dyDescent="0.2"/>
    <row r="11351" s="166" customFormat="1" x14ac:dyDescent="0.2"/>
    <row r="11352" s="166" customFormat="1" x14ac:dyDescent="0.2"/>
    <row r="11353" s="166" customFormat="1" x14ac:dyDescent="0.2"/>
    <row r="11354" s="166" customFormat="1" x14ac:dyDescent="0.2"/>
    <row r="11355" s="166" customFormat="1" x14ac:dyDescent="0.2"/>
    <row r="11356" s="166" customFormat="1" x14ac:dyDescent="0.2"/>
    <row r="11357" s="166" customFormat="1" x14ac:dyDescent="0.2"/>
    <row r="11358" s="166" customFormat="1" x14ac:dyDescent="0.2"/>
    <row r="11359" s="166" customFormat="1" x14ac:dyDescent="0.2"/>
    <row r="11360" s="166" customFormat="1" x14ac:dyDescent="0.2"/>
    <row r="11361" s="166" customFormat="1" x14ac:dyDescent="0.2"/>
    <row r="11362" s="166" customFormat="1" x14ac:dyDescent="0.2"/>
    <row r="11363" s="166" customFormat="1" x14ac:dyDescent="0.2"/>
    <row r="11364" s="166" customFormat="1" x14ac:dyDescent="0.2"/>
    <row r="11365" s="166" customFormat="1" x14ac:dyDescent="0.2"/>
    <row r="11366" s="166" customFormat="1" x14ac:dyDescent="0.2"/>
    <row r="11367" s="166" customFormat="1" x14ac:dyDescent="0.2"/>
    <row r="11368" s="166" customFormat="1" x14ac:dyDescent="0.2"/>
    <row r="11369" s="166" customFormat="1" x14ac:dyDescent="0.2"/>
    <row r="11370" s="166" customFormat="1" x14ac:dyDescent="0.2"/>
    <row r="11371" s="166" customFormat="1" x14ac:dyDescent="0.2"/>
    <row r="11372" s="166" customFormat="1" x14ac:dyDescent="0.2"/>
    <row r="11373" s="166" customFormat="1" x14ac:dyDescent="0.2"/>
    <row r="11374" s="166" customFormat="1" x14ac:dyDescent="0.2"/>
    <row r="11375" s="166" customFormat="1" x14ac:dyDescent="0.2"/>
    <row r="11376" s="166" customFormat="1" x14ac:dyDescent="0.2"/>
    <row r="11377" s="166" customFormat="1" x14ac:dyDescent="0.2"/>
    <row r="11378" s="166" customFormat="1" x14ac:dyDescent="0.2"/>
    <row r="11379" s="166" customFormat="1" x14ac:dyDescent="0.2"/>
    <row r="11380" s="166" customFormat="1" x14ac:dyDescent="0.2"/>
    <row r="11381" s="166" customFormat="1" x14ac:dyDescent="0.2"/>
    <row r="11382" s="166" customFormat="1" x14ac:dyDescent="0.2"/>
    <row r="11383" s="166" customFormat="1" x14ac:dyDescent="0.2"/>
    <row r="11384" s="166" customFormat="1" x14ac:dyDescent="0.2"/>
    <row r="11385" s="166" customFormat="1" x14ac:dyDescent="0.2"/>
    <row r="11386" s="166" customFormat="1" x14ac:dyDescent="0.2"/>
    <row r="11387" s="166" customFormat="1" x14ac:dyDescent="0.2"/>
    <row r="11388" s="166" customFormat="1" x14ac:dyDescent="0.2"/>
    <row r="11389" s="166" customFormat="1" x14ac:dyDescent="0.2"/>
    <row r="11390" s="166" customFormat="1" x14ac:dyDescent="0.2"/>
    <row r="11391" s="166" customFormat="1" x14ac:dyDescent="0.2"/>
    <row r="11392" s="166" customFormat="1" x14ac:dyDescent="0.2"/>
    <row r="11393" s="166" customFormat="1" x14ac:dyDescent="0.2"/>
    <row r="11394" s="166" customFormat="1" x14ac:dyDescent="0.2"/>
    <row r="11395" s="166" customFormat="1" x14ac:dyDescent="0.2"/>
    <row r="11396" s="166" customFormat="1" x14ac:dyDescent="0.2"/>
    <row r="11397" s="166" customFormat="1" x14ac:dyDescent="0.2"/>
    <row r="11398" s="166" customFormat="1" x14ac:dyDescent="0.2"/>
    <row r="11399" s="166" customFormat="1" x14ac:dyDescent="0.2"/>
    <row r="11400" s="166" customFormat="1" x14ac:dyDescent="0.2"/>
    <row r="11401" s="166" customFormat="1" x14ac:dyDescent="0.2"/>
    <row r="11402" s="166" customFormat="1" x14ac:dyDescent="0.2"/>
    <row r="11403" s="166" customFormat="1" x14ac:dyDescent="0.2"/>
    <row r="11404" s="166" customFormat="1" x14ac:dyDescent="0.2"/>
    <row r="11405" s="166" customFormat="1" x14ac:dyDescent="0.2"/>
    <row r="11406" s="166" customFormat="1" x14ac:dyDescent="0.2"/>
    <row r="11407" s="166" customFormat="1" x14ac:dyDescent="0.2"/>
    <row r="11408" s="166" customFormat="1" x14ac:dyDescent="0.2"/>
    <row r="11409" s="166" customFormat="1" x14ac:dyDescent="0.2"/>
    <row r="11410" s="166" customFormat="1" x14ac:dyDescent="0.2"/>
    <row r="11411" s="166" customFormat="1" x14ac:dyDescent="0.2"/>
    <row r="11412" s="166" customFormat="1" x14ac:dyDescent="0.2"/>
    <row r="11413" s="166" customFormat="1" x14ac:dyDescent="0.2"/>
    <row r="11414" s="166" customFormat="1" x14ac:dyDescent="0.2"/>
    <row r="11415" s="166" customFormat="1" x14ac:dyDescent="0.2"/>
    <row r="11416" s="166" customFormat="1" x14ac:dyDescent="0.2"/>
    <row r="11417" s="166" customFormat="1" x14ac:dyDescent="0.2"/>
    <row r="11418" s="166" customFormat="1" x14ac:dyDescent="0.2"/>
    <row r="11419" s="166" customFormat="1" x14ac:dyDescent="0.2"/>
    <row r="11420" s="166" customFormat="1" x14ac:dyDescent="0.2"/>
    <row r="11421" s="166" customFormat="1" x14ac:dyDescent="0.2"/>
    <row r="11422" s="166" customFormat="1" x14ac:dyDescent="0.2"/>
    <row r="11423" s="166" customFormat="1" x14ac:dyDescent="0.2"/>
    <row r="11424" s="166" customFormat="1" x14ac:dyDescent="0.2"/>
    <row r="11425" s="166" customFormat="1" x14ac:dyDescent="0.2"/>
    <row r="11426" s="166" customFormat="1" x14ac:dyDescent="0.2"/>
    <row r="11427" s="166" customFormat="1" x14ac:dyDescent="0.2"/>
    <row r="11428" s="166" customFormat="1" x14ac:dyDescent="0.2"/>
    <row r="11429" s="166" customFormat="1" x14ac:dyDescent="0.2"/>
    <row r="11430" s="166" customFormat="1" x14ac:dyDescent="0.2"/>
    <row r="11431" s="166" customFormat="1" x14ac:dyDescent="0.2"/>
    <row r="11432" s="166" customFormat="1" x14ac:dyDescent="0.2"/>
    <row r="11433" s="166" customFormat="1" x14ac:dyDescent="0.2"/>
    <row r="11434" s="166" customFormat="1" x14ac:dyDescent="0.2"/>
    <row r="11435" s="166" customFormat="1" x14ac:dyDescent="0.2"/>
    <row r="11436" s="166" customFormat="1" x14ac:dyDescent="0.2"/>
    <row r="11437" s="166" customFormat="1" x14ac:dyDescent="0.2"/>
    <row r="11438" s="166" customFormat="1" x14ac:dyDescent="0.2"/>
    <row r="11439" s="166" customFormat="1" x14ac:dyDescent="0.2"/>
    <row r="11440" s="166" customFormat="1" x14ac:dyDescent="0.2"/>
    <row r="11441" s="166" customFormat="1" x14ac:dyDescent="0.2"/>
    <row r="11442" s="166" customFormat="1" x14ac:dyDescent="0.2"/>
    <row r="11443" s="166" customFormat="1" x14ac:dyDescent="0.2"/>
    <row r="11444" s="166" customFormat="1" x14ac:dyDescent="0.2"/>
    <row r="11445" s="166" customFormat="1" x14ac:dyDescent="0.2"/>
    <row r="11446" s="166" customFormat="1" x14ac:dyDescent="0.2"/>
    <row r="11447" s="166" customFormat="1" x14ac:dyDescent="0.2"/>
    <row r="11448" s="166" customFormat="1" x14ac:dyDescent="0.2"/>
    <row r="11449" s="166" customFormat="1" x14ac:dyDescent="0.2"/>
    <row r="11450" s="166" customFormat="1" x14ac:dyDescent="0.2"/>
    <row r="11451" s="166" customFormat="1" x14ac:dyDescent="0.2"/>
    <row r="11452" s="166" customFormat="1" x14ac:dyDescent="0.2"/>
    <row r="11453" s="166" customFormat="1" x14ac:dyDescent="0.2"/>
    <row r="11454" s="166" customFormat="1" x14ac:dyDescent="0.2"/>
    <row r="11455" s="166" customFormat="1" x14ac:dyDescent="0.2"/>
    <row r="11456" s="166" customFormat="1" x14ac:dyDescent="0.2"/>
    <row r="11457" s="166" customFormat="1" x14ac:dyDescent="0.2"/>
    <row r="11458" s="166" customFormat="1" x14ac:dyDescent="0.2"/>
    <row r="11459" s="166" customFormat="1" x14ac:dyDescent="0.2"/>
    <row r="11460" s="166" customFormat="1" x14ac:dyDescent="0.2"/>
    <row r="11461" s="166" customFormat="1" x14ac:dyDescent="0.2"/>
    <row r="11462" s="166" customFormat="1" x14ac:dyDescent="0.2"/>
    <row r="11463" s="166" customFormat="1" x14ac:dyDescent="0.2"/>
    <row r="11464" s="166" customFormat="1" x14ac:dyDescent="0.2"/>
    <row r="11465" s="166" customFormat="1" x14ac:dyDescent="0.2"/>
    <row r="11466" s="166" customFormat="1" x14ac:dyDescent="0.2"/>
    <row r="11467" s="166" customFormat="1" x14ac:dyDescent="0.2"/>
    <row r="11468" s="166" customFormat="1" x14ac:dyDescent="0.2"/>
    <row r="11469" s="166" customFormat="1" x14ac:dyDescent="0.2"/>
    <row r="11470" s="166" customFormat="1" x14ac:dyDescent="0.2"/>
    <row r="11471" s="166" customFormat="1" x14ac:dyDescent="0.2"/>
    <row r="11472" s="166" customFormat="1" x14ac:dyDescent="0.2"/>
    <row r="11473" s="166" customFormat="1" x14ac:dyDescent="0.2"/>
    <row r="11474" s="166" customFormat="1" x14ac:dyDescent="0.2"/>
    <row r="11475" s="166" customFormat="1" x14ac:dyDescent="0.2"/>
    <row r="11476" s="166" customFormat="1" x14ac:dyDescent="0.2"/>
    <row r="11477" s="166" customFormat="1" x14ac:dyDescent="0.2"/>
    <row r="11478" s="166" customFormat="1" x14ac:dyDescent="0.2"/>
    <row r="11479" s="166" customFormat="1" x14ac:dyDescent="0.2"/>
    <row r="11480" s="166" customFormat="1" x14ac:dyDescent="0.2"/>
    <row r="11481" s="166" customFormat="1" x14ac:dyDescent="0.2"/>
    <row r="11482" s="166" customFormat="1" x14ac:dyDescent="0.2"/>
    <row r="11483" s="166" customFormat="1" x14ac:dyDescent="0.2"/>
    <row r="11484" s="166" customFormat="1" x14ac:dyDescent="0.2"/>
    <row r="11485" s="166" customFormat="1" x14ac:dyDescent="0.2"/>
    <row r="11486" s="166" customFormat="1" x14ac:dyDescent="0.2"/>
    <row r="11487" s="166" customFormat="1" x14ac:dyDescent="0.2"/>
    <row r="11488" s="166" customFormat="1" x14ac:dyDescent="0.2"/>
    <row r="11489" s="166" customFormat="1" x14ac:dyDescent="0.2"/>
    <row r="11490" s="166" customFormat="1" x14ac:dyDescent="0.2"/>
    <row r="11491" s="166" customFormat="1" x14ac:dyDescent="0.2"/>
    <row r="11492" s="166" customFormat="1" x14ac:dyDescent="0.2"/>
    <row r="11493" s="166" customFormat="1" x14ac:dyDescent="0.2"/>
    <row r="11494" s="166" customFormat="1" x14ac:dyDescent="0.2"/>
    <row r="11495" s="166" customFormat="1" x14ac:dyDescent="0.2"/>
    <row r="11496" s="166" customFormat="1" x14ac:dyDescent="0.2"/>
    <row r="11497" s="166" customFormat="1" x14ac:dyDescent="0.2"/>
    <row r="11498" s="166" customFormat="1" x14ac:dyDescent="0.2"/>
    <row r="11499" s="166" customFormat="1" x14ac:dyDescent="0.2"/>
    <row r="11500" s="166" customFormat="1" x14ac:dyDescent="0.2"/>
    <row r="11501" s="166" customFormat="1" x14ac:dyDescent="0.2"/>
    <row r="11502" s="166" customFormat="1" x14ac:dyDescent="0.2"/>
    <row r="11503" s="166" customFormat="1" x14ac:dyDescent="0.2"/>
    <row r="11504" s="166" customFormat="1" x14ac:dyDescent="0.2"/>
    <row r="11505" s="166" customFormat="1" x14ac:dyDescent="0.2"/>
    <row r="11506" s="166" customFormat="1" x14ac:dyDescent="0.2"/>
    <row r="11507" s="166" customFormat="1" x14ac:dyDescent="0.2"/>
    <row r="11508" s="166" customFormat="1" x14ac:dyDescent="0.2"/>
    <row r="11509" s="166" customFormat="1" x14ac:dyDescent="0.2"/>
    <row r="11510" s="166" customFormat="1" x14ac:dyDescent="0.2"/>
    <row r="11511" s="166" customFormat="1" x14ac:dyDescent="0.2"/>
    <row r="11512" s="166" customFormat="1" x14ac:dyDescent="0.2"/>
    <row r="11513" s="166" customFormat="1" x14ac:dyDescent="0.2"/>
    <row r="11514" s="166" customFormat="1" x14ac:dyDescent="0.2"/>
    <row r="11515" s="166" customFormat="1" x14ac:dyDescent="0.2"/>
    <row r="11516" s="166" customFormat="1" x14ac:dyDescent="0.2"/>
    <row r="11517" s="166" customFormat="1" x14ac:dyDescent="0.2"/>
    <row r="11518" s="166" customFormat="1" x14ac:dyDescent="0.2"/>
    <row r="11519" s="166" customFormat="1" x14ac:dyDescent="0.2"/>
    <row r="11520" s="166" customFormat="1" x14ac:dyDescent="0.2"/>
    <row r="11521" s="166" customFormat="1" x14ac:dyDescent="0.2"/>
    <row r="11522" s="166" customFormat="1" x14ac:dyDescent="0.2"/>
    <row r="11523" s="166" customFormat="1" x14ac:dyDescent="0.2"/>
    <row r="11524" s="166" customFormat="1" x14ac:dyDescent="0.2"/>
    <row r="11525" s="166" customFormat="1" x14ac:dyDescent="0.2"/>
    <row r="11526" s="166" customFormat="1" x14ac:dyDescent="0.2"/>
    <row r="11527" s="166" customFormat="1" x14ac:dyDescent="0.2"/>
    <row r="11528" s="166" customFormat="1" x14ac:dyDescent="0.2"/>
    <row r="11529" s="166" customFormat="1" x14ac:dyDescent="0.2"/>
    <row r="11530" s="166" customFormat="1" x14ac:dyDescent="0.2"/>
    <row r="11531" s="166" customFormat="1" x14ac:dyDescent="0.2"/>
    <row r="11532" s="166" customFormat="1" x14ac:dyDescent="0.2"/>
    <row r="11533" s="166" customFormat="1" x14ac:dyDescent="0.2"/>
    <row r="11534" s="166" customFormat="1" x14ac:dyDescent="0.2"/>
    <row r="11535" s="166" customFormat="1" x14ac:dyDescent="0.2"/>
    <row r="11536" s="166" customFormat="1" x14ac:dyDescent="0.2"/>
    <row r="11537" s="166" customFormat="1" x14ac:dyDescent="0.2"/>
    <row r="11538" s="166" customFormat="1" x14ac:dyDescent="0.2"/>
    <row r="11539" s="166" customFormat="1" x14ac:dyDescent="0.2"/>
    <row r="11540" s="166" customFormat="1" x14ac:dyDescent="0.2"/>
    <row r="11541" s="166" customFormat="1" x14ac:dyDescent="0.2"/>
    <row r="11542" s="166" customFormat="1" x14ac:dyDescent="0.2"/>
    <row r="11543" s="166" customFormat="1" x14ac:dyDescent="0.2"/>
    <row r="11544" s="166" customFormat="1" x14ac:dyDescent="0.2"/>
    <row r="11545" s="166" customFormat="1" x14ac:dyDescent="0.2"/>
    <row r="11546" s="166" customFormat="1" x14ac:dyDescent="0.2"/>
    <row r="11547" s="166" customFormat="1" x14ac:dyDescent="0.2"/>
    <row r="11548" s="166" customFormat="1" x14ac:dyDescent="0.2"/>
    <row r="11549" s="166" customFormat="1" x14ac:dyDescent="0.2"/>
    <row r="11550" s="166" customFormat="1" x14ac:dyDescent="0.2"/>
    <row r="11551" s="166" customFormat="1" x14ac:dyDescent="0.2"/>
    <row r="11552" s="166" customFormat="1" x14ac:dyDescent="0.2"/>
    <row r="11553" s="166" customFormat="1" x14ac:dyDescent="0.2"/>
    <row r="11554" s="166" customFormat="1" x14ac:dyDescent="0.2"/>
    <row r="11555" s="166" customFormat="1" x14ac:dyDescent="0.2"/>
    <row r="11556" s="166" customFormat="1" x14ac:dyDescent="0.2"/>
    <row r="11557" s="166" customFormat="1" x14ac:dyDescent="0.2"/>
    <row r="11558" s="166" customFormat="1" x14ac:dyDescent="0.2"/>
    <row r="11559" s="166" customFormat="1" x14ac:dyDescent="0.2"/>
    <row r="11560" s="166" customFormat="1" x14ac:dyDescent="0.2"/>
    <row r="11561" s="166" customFormat="1" x14ac:dyDescent="0.2"/>
    <row r="11562" s="166" customFormat="1" x14ac:dyDescent="0.2"/>
    <row r="11563" s="166" customFormat="1" x14ac:dyDescent="0.2"/>
    <row r="11564" s="166" customFormat="1" x14ac:dyDescent="0.2"/>
    <row r="11565" s="166" customFormat="1" x14ac:dyDescent="0.2"/>
    <row r="11566" s="166" customFormat="1" x14ac:dyDescent="0.2"/>
    <row r="11567" s="166" customFormat="1" x14ac:dyDescent="0.2"/>
    <row r="11568" s="166" customFormat="1" x14ac:dyDescent="0.2"/>
    <row r="11569" s="166" customFormat="1" x14ac:dyDescent="0.2"/>
    <row r="11570" s="166" customFormat="1" x14ac:dyDescent="0.2"/>
    <row r="11571" s="166" customFormat="1" x14ac:dyDescent="0.2"/>
    <row r="11572" s="166" customFormat="1" x14ac:dyDescent="0.2"/>
    <row r="11573" s="166" customFormat="1" x14ac:dyDescent="0.2"/>
    <row r="11574" s="166" customFormat="1" x14ac:dyDescent="0.2"/>
    <row r="11575" s="166" customFormat="1" x14ac:dyDescent="0.2"/>
    <row r="11576" s="166" customFormat="1" x14ac:dyDescent="0.2"/>
    <row r="11577" s="166" customFormat="1" x14ac:dyDescent="0.2"/>
    <row r="11578" s="166" customFormat="1" x14ac:dyDescent="0.2"/>
    <row r="11579" s="166" customFormat="1" x14ac:dyDescent="0.2"/>
    <row r="11580" s="166" customFormat="1" x14ac:dyDescent="0.2"/>
    <row r="11581" s="166" customFormat="1" x14ac:dyDescent="0.2"/>
    <row r="11582" s="166" customFormat="1" x14ac:dyDescent="0.2"/>
    <row r="11583" s="166" customFormat="1" x14ac:dyDescent="0.2"/>
    <row r="11584" s="166" customFormat="1" x14ac:dyDescent="0.2"/>
    <row r="11585" s="166" customFormat="1" x14ac:dyDescent="0.2"/>
    <row r="11586" s="166" customFormat="1" x14ac:dyDescent="0.2"/>
    <row r="11587" s="166" customFormat="1" x14ac:dyDescent="0.2"/>
    <row r="11588" s="166" customFormat="1" x14ac:dyDescent="0.2"/>
    <row r="11589" s="166" customFormat="1" x14ac:dyDescent="0.2"/>
    <row r="11590" s="166" customFormat="1" x14ac:dyDescent="0.2"/>
    <row r="11591" s="166" customFormat="1" x14ac:dyDescent="0.2"/>
    <row r="11592" s="166" customFormat="1" x14ac:dyDescent="0.2"/>
    <row r="11593" s="166" customFormat="1" x14ac:dyDescent="0.2"/>
    <row r="11594" s="166" customFormat="1" x14ac:dyDescent="0.2"/>
    <row r="11595" s="166" customFormat="1" x14ac:dyDescent="0.2"/>
    <row r="11596" s="166" customFormat="1" x14ac:dyDescent="0.2"/>
    <row r="11597" s="166" customFormat="1" x14ac:dyDescent="0.2"/>
    <row r="11598" s="166" customFormat="1" x14ac:dyDescent="0.2"/>
    <row r="11599" s="166" customFormat="1" x14ac:dyDescent="0.2"/>
    <row r="11600" s="166" customFormat="1" x14ac:dyDescent="0.2"/>
    <row r="11601" s="166" customFormat="1" x14ac:dyDescent="0.2"/>
    <row r="11602" s="166" customFormat="1" x14ac:dyDescent="0.2"/>
    <row r="11603" s="166" customFormat="1" x14ac:dyDescent="0.2"/>
    <row r="11604" s="166" customFormat="1" x14ac:dyDescent="0.2"/>
    <row r="11605" s="166" customFormat="1" x14ac:dyDescent="0.2"/>
    <row r="11606" s="166" customFormat="1" x14ac:dyDescent="0.2"/>
    <row r="11607" s="166" customFormat="1" x14ac:dyDescent="0.2"/>
    <row r="11608" s="166" customFormat="1" x14ac:dyDescent="0.2"/>
    <row r="11609" s="166" customFormat="1" x14ac:dyDescent="0.2"/>
    <row r="11610" s="166" customFormat="1" x14ac:dyDescent="0.2"/>
    <row r="11611" s="166" customFormat="1" x14ac:dyDescent="0.2"/>
    <row r="11612" s="166" customFormat="1" x14ac:dyDescent="0.2"/>
    <row r="11613" s="166" customFormat="1" x14ac:dyDescent="0.2"/>
    <row r="11614" s="166" customFormat="1" x14ac:dyDescent="0.2"/>
    <row r="11615" s="166" customFormat="1" x14ac:dyDescent="0.2"/>
    <row r="11616" s="166" customFormat="1" x14ac:dyDescent="0.2"/>
    <row r="11617" s="166" customFormat="1" x14ac:dyDescent="0.2"/>
    <row r="11618" s="166" customFormat="1" x14ac:dyDescent="0.2"/>
    <row r="11619" s="166" customFormat="1" x14ac:dyDescent="0.2"/>
    <row r="11620" s="166" customFormat="1" x14ac:dyDescent="0.2"/>
    <row r="11621" s="166" customFormat="1" x14ac:dyDescent="0.2"/>
    <row r="11622" s="166" customFormat="1" x14ac:dyDescent="0.2"/>
    <row r="11623" s="166" customFormat="1" x14ac:dyDescent="0.2"/>
    <row r="11624" s="166" customFormat="1" x14ac:dyDescent="0.2"/>
    <row r="11625" s="166" customFormat="1" x14ac:dyDescent="0.2"/>
    <row r="11626" s="166" customFormat="1" x14ac:dyDescent="0.2"/>
    <row r="11627" s="166" customFormat="1" x14ac:dyDescent="0.2"/>
    <row r="11628" s="166" customFormat="1" x14ac:dyDescent="0.2"/>
    <row r="11629" s="166" customFormat="1" x14ac:dyDescent="0.2"/>
    <row r="11630" s="166" customFormat="1" x14ac:dyDescent="0.2"/>
    <row r="11631" s="166" customFormat="1" x14ac:dyDescent="0.2"/>
    <row r="11632" s="166" customFormat="1" x14ac:dyDescent="0.2"/>
    <row r="11633" s="166" customFormat="1" x14ac:dyDescent="0.2"/>
    <row r="11634" s="166" customFormat="1" x14ac:dyDescent="0.2"/>
    <row r="11635" s="166" customFormat="1" x14ac:dyDescent="0.2"/>
    <row r="11636" s="166" customFormat="1" x14ac:dyDescent="0.2"/>
    <row r="11637" s="166" customFormat="1" x14ac:dyDescent="0.2"/>
    <row r="11638" s="166" customFormat="1" x14ac:dyDescent="0.2"/>
    <row r="11639" s="166" customFormat="1" x14ac:dyDescent="0.2"/>
    <row r="11640" s="166" customFormat="1" x14ac:dyDescent="0.2"/>
    <row r="11641" s="166" customFormat="1" x14ac:dyDescent="0.2"/>
    <row r="11642" s="166" customFormat="1" x14ac:dyDescent="0.2"/>
    <row r="11643" s="166" customFormat="1" x14ac:dyDescent="0.2"/>
    <row r="11644" s="166" customFormat="1" x14ac:dyDescent="0.2"/>
    <row r="11645" s="166" customFormat="1" x14ac:dyDescent="0.2"/>
    <row r="11646" s="166" customFormat="1" x14ac:dyDescent="0.2"/>
    <row r="11647" s="166" customFormat="1" x14ac:dyDescent="0.2"/>
    <row r="11648" s="166" customFormat="1" x14ac:dyDescent="0.2"/>
    <row r="11649" s="166" customFormat="1" x14ac:dyDescent="0.2"/>
    <row r="11650" s="166" customFormat="1" x14ac:dyDescent="0.2"/>
    <row r="11651" s="166" customFormat="1" x14ac:dyDescent="0.2"/>
    <row r="11652" s="166" customFormat="1" x14ac:dyDescent="0.2"/>
    <row r="11653" s="166" customFormat="1" x14ac:dyDescent="0.2"/>
    <row r="11654" s="166" customFormat="1" x14ac:dyDescent="0.2"/>
    <row r="11655" s="166" customFormat="1" x14ac:dyDescent="0.2"/>
    <row r="11656" s="166" customFormat="1" x14ac:dyDescent="0.2"/>
    <row r="11657" s="166" customFormat="1" x14ac:dyDescent="0.2"/>
    <row r="11658" s="166" customFormat="1" x14ac:dyDescent="0.2"/>
    <row r="11659" s="166" customFormat="1" x14ac:dyDescent="0.2"/>
    <row r="11660" s="166" customFormat="1" x14ac:dyDescent="0.2"/>
    <row r="11661" s="166" customFormat="1" x14ac:dyDescent="0.2"/>
    <row r="11662" s="166" customFormat="1" x14ac:dyDescent="0.2"/>
    <row r="11663" s="166" customFormat="1" x14ac:dyDescent="0.2"/>
    <row r="11664" s="166" customFormat="1" x14ac:dyDescent="0.2"/>
    <row r="11665" s="166" customFormat="1" x14ac:dyDescent="0.2"/>
    <row r="11666" s="166" customFormat="1" x14ac:dyDescent="0.2"/>
    <row r="11667" s="166" customFormat="1" x14ac:dyDescent="0.2"/>
    <row r="11668" s="166" customFormat="1" x14ac:dyDescent="0.2"/>
    <row r="11669" s="166" customFormat="1" x14ac:dyDescent="0.2"/>
    <row r="11670" s="166" customFormat="1" x14ac:dyDescent="0.2"/>
    <row r="11671" s="166" customFormat="1" x14ac:dyDescent="0.2"/>
    <row r="11672" s="166" customFormat="1" x14ac:dyDescent="0.2"/>
    <row r="11673" s="166" customFormat="1" x14ac:dyDescent="0.2"/>
    <row r="11674" s="166" customFormat="1" x14ac:dyDescent="0.2"/>
    <row r="11675" s="166" customFormat="1" x14ac:dyDescent="0.2"/>
    <row r="11676" s="166" customFormat="1" x14ac:dyDescent="0.2"/>
    <row r="11677" s="166" customFormat="1" x14ac:dyDescent="0.2"/>
    <row r="11678" s="166" customFormat="1" x14ac:dyDescent="0.2"/>
    <row r="11679" s="166" customFormat="1" x14ac:dyDescent="0.2"/>
    <row r="11680" s="166" customFormat="1" x14ac:dyDescent="0.2"/>
    <row r="11681" s="166" customFormat="1" x14ac:dyDescent="0.2"/>
    <row r="11682" s="166" customFormat="1" x14ac:dyDescent="0.2"/>
    <row r="11683" s="166" customFormat="1" x14ac:dyDescent="0.2"/>
    <row r="11684" s="166" customFormat="1" x14ac:dyDescent="0.2"/>
    <row r="11685" s="166" customFormat="1" x14ac:dyDescent="0.2"/>
    <row r="11686" s="166" customFormat="1" x14ac:dyDescent="0.2"/>
    <row r="11687" s="166" customFormat="1" x14ac:dyDescent="0.2"/>
    <row r="11688" s="166" customFormat="1" x14ac:dyDescent="0.2"/>
    <row r="11689" s="166" customFormat="1" x14ac:dyDescent="0.2"/>
    <row r="11690" s="166" customFormat="1" x14ac:dyDescent="0.2"/>
    <row r="11691" s="166" customFormat="1" x14ac:dyDescent="0.2"/>
    <row r="11692" s="166" customFormat="1" x14ac:dyDescent="0.2"/>
    <row r="11693" s="166" customFormat="1" x14ac:dyDescent="0.2"/>
    <row r="11694" s="166" customFormat="1" x14ac:dyDescent="0.2"/>
    <row r="11695" s="166" customFormat="1" x14ac:dyDescent="0.2"/>
    <row r="11696" s="166" customFormat="1" x14ac:dyDescent="0.2"/>
    <row r="11697" s="166" customFormat="1" x14ac:dyDescent="0.2"/>
    <row r="11698" s="166" customFormat="1" x14ac:dyDescent="0.2"/>
    <row r="11699" s="166" customFormat="1" x14ac:dyDescent="0.2"/>
    <row r="11700" s="166" customFormat="1" x14ac:dyDescent="0.2"/>
    <row r="11701" s="166" customFormat="1" x14ac:dyDescent="0.2"/>
    <row r="11702" s="166" customFormat="1" x14ac:dyDescent="0.2"/>
    <row r="11703" s="166" customFormat="1" x14ac:dyDescent="0.2"/>
    <row r="11704" s="166" customFormat="1" x14ac:dyDescent="0.2"/>
    <row r="11705" s="166" customFormat="1" x14ac:dyDescent="0.2"/>
    <row r="11706" s="166" customFormat="1" x14ac:dyDescent="0.2"/>
    <row r="11707" s="166" customFormat="1" x14ac:dyDescent="0.2"/>
    <row r="11708" s="166" customFormat="1" x14ac:dyDescent="0.2"/>
    <row r="11709" s="166" customFormat="1" x14ac:dyDescent="0.2"/>
    <row r="11710" s="166" customFormat="1" x14ac:dyDescent="0.2"/>
    <row r="11711" s="166" customFormat="1" x14ac:dyDescent="0.2"/>
    <row r="11712" s="166" customFormat="1" x14ac:dyDescent="0.2"/>
    <row r="11713" s="166" customFormat="1" x14ac:dyDescent="0.2"/>
    <row r="11714" s="166" customFormat="1" x14ac:dyDescent="0.2"/>
    <row r="11715" s="166" customFormat="1" x14ac:dyDescent="0.2"/>
    <row r="11716" s="166" customFormat="1" x14ac:dyDescent="0.2"/>
    <row r="11717" s="166" customFormat="1" x14ac:dyDescent="0.2"/>
    <row r="11718" s="166" customFormat="1" x14ac:dyDescent="0.2"/>
    <row r="11719" s="166" customFormat="1" x14ac:dyDescent="0.2"/>
    <row r="11720" s="166" customFormat="1" x14ac:dyDescent="0.2"/>
    <row r="11721" s="166" customFormat="1" x14ac:dyDescent="0.2"/>
    <row r="11722" s="166" customFormat="1" x14ac:dyDescent="0.2"/>
    <row r="11723" s="166" customFormat="1" x14ac:dyDescent="0.2"/>
    <row r="11724" s="166" customFormat="1" x14ac:dyDescent="0.2"/>
    <row r="11725" s="166" customFormat="1" x14ac:dyDescent="0.2"/>
    <row r="11726" s="166" customFormat="1" x14ac:dyDescent="0.2"/>
    <row r="11727" s="166" customFormat="1" x14ac:dyDescent="0.2"/>
    <row r="11728" s="166" customFormat="1" x14ac:dyDescent="0.2"/>
    <row r="11729" s="166" customFormat="1" x14ac:dyDescent="0.2"/>
    <row r="11730" s="166" customFormat="1" x14ac:dyDescent="0.2"/>
    <row r="11731" s="166" customFormat="1" x14ac:dyDescent="0.2"/>
    <row r="11732" s="166" customFormat="1" x14ac:dyDescent="0.2"/>
    <row r="11733" s="166" customFormat="1" x14ac:dyDescent="0.2"/>
    <row r="11734" s="166" customFormat="1" x14ac:dyDescent="0.2"/>
    <row r="11735" s="166" customFormat="1" x14ac:dyDescent="0.2"/>
    <row r="11736" s="166" customFormat="1" x14ac:dyDescent="0.2"/>
    <row r="11737" s="166" customFormat="1" x14ac:dyDescent="0.2"/>
    <row r="11738" s="166" customFormat="1" x14ac:dyDescent="0.2"/>
    <row r="11739" s="166" customFormat="1" x14ac:dyDescent="0.2"/>
    <row r="11740" s="166" customFormat="1" x14ac:dyDescent="0.2"/>
    <row r="11741" s="166" customFormat="1" x14ac:dyDescent="0.2"/>
    <row r="11742" s="166" customFormat="1" x14ac:dyDescent="0.2"/>
    <row r="11743" s="166" customFormat="1" x14ac:dyDescent="0.2"/>
    <row r="11744" s="166" customFormat="1" x14ac:dyDescent="0.2"/>
    <row r="11745" s="166" customFormat="1" x14ac:dyDescent="0.2"/>
    <row r="11746" s="166" customFormat="1" x14ac:dyDescent="0.2"/>
    <row r="11747" s="166" customFormat="1" x14ac:dyDescent="0.2"/>
    <row r="11748" s="166" customFormat="1" x14ac:dyDescent="0.2"/>
    <row r="11749" s="166" customFormat="1" x14ac:dyDescent="0.2"/>
    <row r="11750" s="166" customFormat="1" x14ac:dyDescent="0.2"/>
    <row r="11751" s="166" customFormat="1" x14ac:dyDescent="0.2"/>
    <row r="11752" s="166" customFormat="1" x14ac:dyDescent="0.2"/>
    <row r="11753" s="166" customFormat="1" x14ac:dyDescent="0.2"/>
    <row r="11754" s="166" customFormat="1" x14ac:dyDescent="0.2"/>
    <row r="11755" s="166" customFormat="1" x14ac:dyDescent="0.2"/>
    <row r="11756" s="166" customFormat="1" x14ac:dyDescent="0.2"/>
    <row r="11757" s="166" customFormat="1" x14ac:dyDescent="0.2"/>
    <row r="11758" s="166" customFormat="1" x14ac:dyDescent="0.2"/>
    <row r="11759" s="166" customFormat="1" x14ac:dyDescent="0.2"/>
    <row r="11760" s="166" customFormat="1" x14ac:dyDescent="0.2"/>
    <row r="11761" s="166" customFormat="1" x14ac:dyDescent="0.2"/>
    <row r="11762" s="166" customFormat="1" x14ac:dyDescent="0.2"/>
    <row r="11763" s="166" customFormat="1" x14ac:dyDescent="0.2"/>
    <row r="11764" s="166" customFormat="1" x14ac:dyDescent="0.2"/>
    <row r="11765" s="166" customFormat="1" x14ac:dyDescent="0.2"/>
    <row r="11766" s="166" customFormat="1" x14ac:dyDescent="0.2"/>
    <row r="11767" s="166" customFormat="1" x14ac:dyDescent="0.2"/>
    <row r="11768" s="166" customFormat="1" x14ac:dyDescent="0.2"/>
    <row r="11769" s="166" customFormat="1" x14ac:dyDescent="0.2"/>
    <row r="11770" s="166" customFormat="1" x14ac:dyDescent="0.2"/>
    <row r="11771" s="166" customFormat="1" x14ac:dyDescent="0.2"/>
    <row r="11772" s="166" customFormat="1" x14ac:dyDescent="0.2"/>
    <row r="11773" s="166" customFormat="1" x14ac:dyDescent="0.2"/>
    <row r="11774" s="166" customFormat="1" x14ac:dyDescent="0.2"/>
    <row r="11775" s="166" customFormat="1" x14ac:dyDescent="0.2"/>
    <row r="11776" s="166" customFormat="1" x14ac:dyDescent="0.2"/>
    <row r="11777" s="166" customFormat="1" x14ac:dyDescent="0.2"/>
    <row r="11778" s="166" customFormat="1" x14ac:dyDescent="0.2"/>
    <row r="11779" s="166" customFormat="1" x14ac:dyDescent="0.2"/>
    <row r="11780" s="166" customFormat="1" x14ac:dyDescent="0.2"/>
    <row r="11781" s="166" customFormat="1" x14ac:dyDescent="0.2"/>
    <row r="11782" s="166" customFormat="1" x14ac:dyDescent="0.2"/>
    <row r="11783" s="166" customFormat="1" x14ac:dyDescent="0.2"/>
    <row r="11784" s="166" customFormat="1" x14ac:dyDescent="0.2"/>
    <row r="11785" s="166" customFormat="1" x14ac:dyDescent="0.2"/>
    <row r="11786" s="166" customFormat="1" x14ac:dyDescent="0.2"/>
    <row r="11787" s="166" customFormat="1" x14ac:dyDescent="0.2"/>
    <row r="11788" s="166" customFormat="1" x14ac:dyDescent="0.2"/>
    <row r="11789" s="166" customFormat="1" x14ac:dyDescent="0.2"/>
    <row r="11790" s="166" customFormat="1" x14ac:dyDescent="0.2"/>
    <row r="11791" s="166" customFormat="1" x14ac:dyDescent="0.2"/>
    <row r="11792" s="166" customFormat="1" x14ac:dyDescent="0.2"/>
    <row r="11793" s="166" customFormat="1" x14ac:dyDescent="0.2"/>
    <row r="11794" s="166" customFormat="1" x14ac:dyDescent="0.2"/>
    <row r="11795" s="166" customFormat="1" x14ac:dyDescent="0.2"/>
    <row r="11796" s="166" customFormat="1" x14ac:dyDescent="0.2"/>
    <row r="11797" s="166" customFormat="1" x14ac:dyDescent="0.2"/>
    <row r="11798" s="166" customFormat="1" x14ac:dyDescent="0.2"/>
    <row r="11799" s="166" customFormat="1" x14ac:dyDescent="0.2"/>
    <row r="11800" s="166" customFormat="1" x14ac:dyDescent="0.2"/>
    <row r="11801" s="166" customFormat="1" x14ac:dyDescent="0.2"/>
    <row r="11802" s="166" customFormat="1" x14ac:dyDescent="0.2"/>
    <row r="11803" s="166" customFormat="1" x14ac:dyDescent="0.2"/>
    <row r="11804" s="166" customFormat="1" x14ac:dyDescent="0.2"/>
    <row r="11805" s="166" customFormat="1" x14ac:dyDescent="0.2"/>
    <row r="11806" s="166" customFormat="1" x14ac:dyDescent="0.2"/>
    <row r="11807" s="166" customFormat="1" x14ac:dyDescent="0.2"/>
    <row r="11808" s="166" customFormat="1" x14ac:dyDescent="0.2"/>
    <row r="11809" s="166" customFormat="1" x14ac:dyDescent="0.2"/>
    <row r="11810" s="166" customFormat="1" x14ac:dyDescent="0.2"/>
    <row r="11811" s="166" customFormat="1" x14ac:dyDescent="0.2"/>
    <row r="11812" s="166" customFormat="1" x14ac:dyDescent="0.2"/>
    <row r="11813" s="166" customFormat="1" x14ac:dyDescent="0.2"/>
    <row r="11814" s="166" customFormat="1" x14ac:dyDescent="0.2"/>
    <row r="11815" s="166" customFormat="1" x14ac:dyDescent="0.2"/>
    <row r="11816" s="166" customFormat="1" x14ac:dyDescent="0.2"/>
    <row r="11817" s="166" customFormat="1" x14ac:dyDescent="0.2"/>
    <row r="11818" s="166" customFormat="1" x14ac:dyDescent="0.2"/>
    <row r="11819" s="166" customFormat="1" x14ac:dyDescent="0.2"/>
    <row r="11820" s="166" customFormat="1" x14ac:dyDescent="0.2"/>
    <row r="11821" s="166" customFormat="1" x14ac:dyDescent="0.2"/>
    <row r="11822" s="166" customFormat="1" x14ac:dyDescent="0.2"/>
    <row r="11823" s="166" customFormat="1" x14ac:dyDescent="0.2"/>
    <row r="11824" s="166" customFormat="1" x14ac:dyDescent="0.2"/>
    <row r="11825" s="166" customFormat="1" x14ac:dyDescent="0.2"/>
    <row r="11826" s="166" customFormat="1" x14ac:dyDescent="0.2"/>
    <row r="11827" s="166" customFormat="1" x14ac:dyDescent="0.2"/>
    <row r="11828" s="166" customFormat="1" x14ac:dyDescent="0.2"/>
    <row r="11829" s="166" customFormat="1" x14ac:dyDescent="0.2"/>
    <row r="11830" s="166" customFormat="1" x14ac:dyDescent="0.2"/>
    <row r="11831" s="166" customFormat="1" x14ac:dyDescent="0.2"/>
    <row r="11832" s="166" customFormat="1" x14ac:dyDescent="0.2"/>
    <row r="11833" s="166" customFormat="1" x14ac:dyDescent="0.2"/>
    <row r="11834" s="166" customFormat="1" x14ac:dyDescent="0.2"/>
    <row r="11835" s="166" customFormat="1" x14ac:dyDescent="0.2"/>
    <row r="11836" s="166" customFormat="1" x14ac:dyDescent="0.2"/>
    <row r="11837" s="166" customFormat="1" x14ac:dyDescent="0.2"/>
    <row r="11838" s="166" customFormat="1" x14ac:dyDescent="0.2"/>
    <row r="11839" s="166" customFormat="1" x14ac:dyDescent="0.2"/>
    <row r="11840" s="166" customFormat="1" x14ac:dyDescent="0.2"/>
    <row r="11841" s="166" customFormat="1" x14ac:dyDescent="0.2"/>
    <row r="11842" s="166" customFormat="1" x14ac:dyDescent="0.2"/>
    <row r="11843" s="166" customFormat="1" x14ac:dyDescent="0.2"/>
    <row r="11844" s="166" customFormat="1" x14ac:dyDescent="0.2"/>
    <row r="11845" s="166" customFormat="1" x14ac:dyDescent="0.2"/>
    <row r="11846" s="166" customFormat="1" x14ac:dyDescent="0.2"/>
    <row r="11847" s="166" customFormat="1" x14ac:dyDescent="0.2"/>
    <row r="11848" s="166" customFormat="1" x14ac:dyDescent="0.2"/>
    <row r="11849" s="166" customFormat="1" x14ac:dyDescent="0.2"/>
    <row r="11850" s="166" customFormat="1" x14ac:dyDescent="0.2"/>
    <row r="11851" s="166" customFormat="1" x14ac:dyDescent="0.2"/>
    <row r="11852" s="166" customFormat="1" x14ac:dyDescent="0.2"/>
    <row r="11853" s="166" customFormat="1" x14ac:dyDescent="0.2"/>
    <row r="11854" s="166" customFormat="1" x14ac:dyDescent="0.2"/>
    <row r="11855" s="166" customFormat="1" x14ac:dyDescent="0.2"/>
    <row r="11856" s="166" customFormat="1" x14ac:dyDescent="0.2"/>
    <row r="11857" s="166" customFormat="1" x14ac:dyDescent="0.2"/>
    <row r="11858" s="166" customFormat="1" x14ac:dyDescent="0.2"/>
    <row r="11859" s="166" customFormat="1" x14ac:dyDescent="0.2"/>
    <row r="11860" s="166" customFormat="1" x14ac:dyDescent="0.2"/>
    <row r="11861" s="166" customFormat="1" x14ac:dyDescent="0.2"/>
    <row r="11862" s="166" customFormat="1" x14ac:dyDescent="0.2"/>
    <row r="11863" s="166" customFormat="1" x14ac:dyDescent="0.2"/>
    <row r="11864" s="166" customFormat="1" x14ac:dyDescent="0.2"/>
    <row r="11865" s="166" customFormat="1" x14ac:dyDescent="0.2"/>
    <row r="11866" s="166" customFormat="1" x14ac:dyDescent="0.2"/>
    <row r="11867" s="166" customFormat="1" x14ac:dyDescent="0.2"/>
    <row r="11868" s="166" customFormat="1" x14ac:dyDescent="0.2"/>
    <row r="11869" s="166" customFormat="1" x14ac:dyDescent="0.2"/>
    <row r="11870" s="166" customFormat="1" x14ac:dyDescent="0.2"/>
    <row r="11871" s="166" customFormat="1" x14ac:dyDescent="0.2"/>
    <row r="11872" s="166" customFormat="1" x14ac:dyDescent="0.2"/>
    <row r="11873" s="166" customFormat="1" x14ac:dyDescent="0.2"/>
    <row r="11874" s="166" customFormat="1" x14ac:dyDescent="0.2"/>
    <row r="11875" s="166" customFormat="1" x14ac:dyDescent="0.2"/>
    <row r="11876" s="166" customFormat="1" x14ac:dyDescent="0.2"/>
    <row r="11877" s="166" customFormat="1" x14ac:dyDescent="0.2"/>
    <row r="11878" s="166" customFormat="1" x14ac:dyDescent="0.2"/>
    <row r="11879" s="166" customFormat="1" x14ac:dyDescent="0.2"/>
    <row r="11880" s="166" customFormat="1" x14ac:dyDescent="0.2"/>
    <row r="11881" s="166" customFormat="1" x14ac:dyDescent="0.2"/>
    <row r="11882" s="166" customFormat="1" x14ac:dyDescent="0.2"/>
    <row r="11883" s="166" customFormat="1" x14ac:dyDescent="0.2"/>
    <row r="11884" s="166" customFormat="1" x14ac:dyDescent="0.2"/>
    <row r="11885" s="166" customFormat="1" x14ac:dyDescent="0.2"/>
    <row r="11886" s="166" customFormat="1" x14ac:dyDescent="0.2"/>
    <row r="11887" s="166" customFormat="1" x14ac:dyDescent="0.2"/>
    <row r="11888" s="166" customFormat="1" x14ac:dyDescent="0.2"/>
    <row r="11889" s="166" customFormat="1" x14ac:dyDescent="0.2"/>
    <row r="11890" s="166" customFormat="1" x14ac:dyDescent="0.2"/>
    <row r="11891" s="166" customFormat="1" x14ac:dyDescent="0.2"/>
    <row r="11892" s="166" customFormat="1" x14ac:dyDescent="0.2"/>
    <row r="11893" s="166" customFormat="1" x14ac:dyDescent="0.2"/>
    <row r="11894" s="166" customFormat="1" x14ac:dyDescent="0.2"/>
    <row r="11895" s="166" customFormat="1" x14ac:dyDescent="0.2"/>
    <row r="11896" s="166" customFormat="1" x14ac:dyDescent="0.2"/>
    <row r="11897" s="166" customFormat="1" x14ac:dyDescent="0.2"/>
    <row r="11898" s="166" customFormat="1" x14ac:dyDescent="0.2"/>
    <row r="11899" s="166" customFormat="1" x14ac:dyDescent="0.2"/>
    <row r="11900" s="166" customFormat="1" x14ac:dyDescent="0.2"/>
    <row r="11901" s="166" customFormat="1" x14ac:dyDescent="0.2"/>
    <row r="11902" s="166" customFormat="1" x14ac:dyDescent="0.2"/>
    <row r="11903" s="166" customFormat="1" x14ac:dyDescent="0.2"/>
    <row r="11904" s="166" customFormat="1" x14ac:dyDescent="0.2"/>
    <row r="11905" s="166" customFormat="1" x14ac:dyDescent="0.2"/>
    <row r="11906" s="166" customFormat="1" x14ac:dyDescent="0.2"/>
    <row r="11907" s="166" customFormat="1" x14ac:dyDescent="0.2"/>
    <row r="11908" s="166" customFormat="1" x14ac:dyDescent="0.2"/>
    <row r="11909" s="166" customFormat="1" x14ac:dyDescent="0.2"/>
    <row r="11910" s="166" customFormat="1" x14ac:dyDescent="0.2"/>
    <row r="11911" s="166" customFormat="1" x14ac:dyDescent="0.2"/>
    <row r="11912" s="166" customFormat="1" x14ac:dyDescent="0.2"/>
    <row r="11913" s="166" customFormat="1" x14ac:dyDescent="0.2"/>
    <row r="11914" s="166" customFormat="1" x14ac:dyDescent="0.2"/>
    <row r="11915" s="166" customFormat="1" x14ac:dyDescent="0.2"/>
    <row r="11916" s="166" customFormat="1" x14ac:dyDescent="0.2"/>
    <row r="11917" s="166" customFormat="1" x14ac:dyDescent="0.2"/>
    <row r="11918" s="166" customFormat="1" x14ac:dyDescent="0.2"/>
    <row r="11919" s="166" customFormat="1" x14ac:dyDescent="0.2"/>
    <row r="11920" s="166" customFormat="1" x14ac:dyDescent="0.2"/>
    <row r="11921" s="166" customFormat="1" x14ac:dyDescent="0.2"/>
    <row r="11922" s="166" customFormat="1" x14ac:dyDescent="0.2"/>
    <row r="11923" s="166" customFormat="1" x14ac:dyDescent="0.2"/>
    <row r="11924" s="166" customFormat="1" x14ac:dyDescent="0.2"/>
    <row r="11925" s="166" customFormat="1" x14ac:dyDescent="0.2"/>
    <row r="11926" s="166" customFormat="1" x14ac:dyDescent="0.2"/>
    <row r="11927" s="166" customFormat="1" x14ac:dyDescent="0.2"/>
    <row r="11928" s="166" customFormat="1" x14ac:dyDescent="0.2"/>
    <row r="11929" s="166" customFormat="1" x14ac:dyDescent="0.2"/>
    <row r="11930" s="166" customFormat="1" x14ac:dyDescent="0.2"/>
    <row r="11931" s="166" customFormat="1" x14ac:dyDescent="0.2"/>
    <row r="11932" s="166" customFormat="1" x14ac:dyDescent="0.2"/>
    <row r="11933" s="166" customFormat="1" x14ac:dyDescent="0.2"/>
    <row r="11934" s="166" customFormat="1" x14ac:dyDescent="0.2"/>
    <row r="11935" s="166" customFormat="1" x14ac:dyDescent="0.2"/>
    <row r="11936" s="166" customFormat="1" x14ac:dyDescent="0.2"/>
    <row r="11937" s="166" customFormat="1" x14ac:dyDescent="0.2"/>
    <row r="11938" s="166" customFormat="1" x14ac:dyDescent="0.2"/>
    <row r="11939" s="166" customFormat="1" x14ac:dyDescent="0.2"/>
    <row r="11940" s="166" customFormat="1" x14ac:dyDescent="0.2"/>
    <row r="11941" s="166" customFormat="1" x14ac:dyDescent="0.2"/>
    <row r="11942" s="166" customFormat="1" x14ac:dyDescent="0.2"/>
    <row r="11943" s="166" customFormat="1" x14ac:dyDescent="0.2"/>
    <row r="11944" s="166" customFormat="1" x14ac:dyDescent="0.2"/>
    <row r="11945" s="166" customFormat="1" x14ac:dyDescent="0.2"/>
    <row r="11946" s="166" customFormat="1" x14ac:dyDescent="0.2"/>
    <row r="11947" s="166" customFormat="1" x14ac:dyDescent="0.2"/>
    <row r="11948" s="166" customFormat="1" x14ac:dyDescent="0.2"/>
    <row r="11949" s="166" customFormat="1" x14ac:dyDescent="0.2"/>
    <row r="11950" s="166" customFormat="1" x14ac:dyDescent="0.2"/>
    <row r="11951" s="166" customFormat="1" x14ac:dyDescent="0.2"/>
    <row r="11952" s="166" customFormat="1" x14ac:dyDescent="0.2"/>
    <row r="11953" s="166" customFormat="1" x14ac:dyDescent="0.2"/>
    <row r="11954" s="166" customFormat="1" x14ac:dyDescent="0.2"/>
    <row r="11955" s="166" customFormat="1" x14ac:dyDescent="0.2"/>
    <row r="11956" s="166" customFormat="1" x14ac:dyDescent="0.2"/>
    <row r="11957" s="166" customFormat="1" x14ac:dyDescent="0.2"/>
    <row r="11958" s="166" customFormat="1" x14ac:dyDescent="0.2"/>
    <row r="11959" s="166" customFormat="1" x14ac:dyDescent="0.2"/>
    <row r="11960" s="166" customFormat="1" x14ac:dyDescent="0.2"/>
    <row r="11961" s="166" customFormat="1" x14ac:dyDescent="0.2"/>
    <row r="11962" s="166" customFormat="1" x14ac:dyDescent="0.2"/>
    <row r="11963" s="166" customFormat="1" x14ac:dyDescent="0.2"/>
    <row r="11964" s="166" customFormat="1" x14ac:dyDescent="0.2"/>
    <row r="11965" s="166" customFormat="1" x14ac:dyDescent="0.2"/>
    <row r="11966" s="166" customFormat="1" x14ac:dyDescent="0.2"/>
    <row r="11967" s="166" customFormat="1" x14ac:dyDescent="0.2"/>
    <row r="11968" s="166" customFormat="1" x14ac:dyDescent="0.2"/>
    <row r="11969" s="166" customFormat="1" x14ac:dyDescent="0.2"/>
    <row r="11970" s="166" customFormat="1" x14ac:dyDescent="0.2"/>
    <row r="11971" s="166" customFormat="1" x14ac:dyDescent="0.2"/>
    <row r="11972" s="166" customFormat="1" x14ac:dyDescent="0.2"/>
    <row r="11973" s="166" customFormat="1" x14ac:dyDescent="0.2"/>
    <row r="11974" s="166" customFormat="1" x14ac:dyDescent="0.2"/>
    <row r="11975" s="166" customFormat="1" x14ac:dyDescent="0.2"/>
    <row r="11976" s="166" customFormat="1" x14ac:dyDescent="0.2"/>
    <row r="11977" s="166" customFormat="1" x14ac:dyDescent="0.2"/>
    <row r="11978" s="166" customFormat="1" x14ac:dyDescent="0.2"/>
    <row r="11979" s="166" customFormat="1" x14ac:dyDescent="0.2"/>
    <row r="11980" s="166" customFormat="1" x14ac:dyDescent="0.2"/>
    <row r="11981" s="166" customFormat="1" x14ac:dyDescent="0.2"/>
    <row r="11982" s="166" customFormat="1" x14ac:dyDescent="0.2"/>
    <row r="11983" s="166" customFormat="1" x14ac:dyDescent="0.2"/>
    <row r="11984" s="166" customFormat="1" x14ac:dyDescent="0.2"/>
    <row r="11985" s="166" customFormat="1" x14ac:dyDescent="0.2"/>
    <row r="11986" s="166" customFormat="1" x14ac:dyDescent="0.2"/>
    <row r="11987" s="166" customFormat="1" x14ac:dyDescent="0.2"/>
    <row r="11988" s="166" customFormat="1" x14ac:dyDescent="0.2"/>
    <row r="11989" s="166" customFormat="1" x14ac:dyDescent="0.2"/>
    <row r="11990" s="166" customFormat="1" x14ac:dyDescent="0.2"/>
    <row r="11991" s="166" customFormat="1" x14ac:dyDescent="0.2"/>
    <row r="11992" s="166" customFormat="1" x14ac:dyDescent="0.2"/>
    <row r="11993" s="166" customFormat="1" x14ac:dyDescent="0.2"/>
    <row r="11994" s="166" customFormat="1" x14ac:dyDescent="0.2"/>
    <row r="11995" s="166" customFormat="1" x14ac:dyDescent="0.2"/>
    <row r="11996" s="166" customFormat="1" x14ac:dyDescent="0.2"/>
    <row r="11997" s="166" customFormat="1" x14ac:dyDescent="0.2"/>
    <row r="11998" s="166" customFormat="1" x14ac:dyDescent="0.2"/>
    <row r="11999" s="166" customFormat="1" x14ac:dyDescent="0.2"/>
    <row r="12000" s="166" customFormat="1" x14ac:dyDescent="0.2"/>
    <row r="12001" s="166" customFormat="1" x14ac:dyDescent="0.2"/>
    <row r="12002" s="166" customFormat="1" x14ac:dyDescent="0.2"/>
    <row r="12003" s="166" customFormat="1" x14ac:dyDescent="0.2"/>
    <row r="12004" s="166" customFormat="1" x14ac:dyDescent="0.2"/>
    <row r="12005" s="166" customFormat="1" x14ac:dyDescent="0.2"/>
    <row r="12006" s="166" customFormat="1" x14ac:dyDescent="0.2"/>
    <row r="12007" s="166" customFormat="1" x14ac:dyDescent="0.2"/>
    <row r="12008" s="166" customFormat="1" x14ac:dyDescent="0.2"/>
    <row r="12009" s="166" customFormat="1" x14ac:dyDescent="0.2"/>
    <row r="12010" s="166" customFormat="1" x14ac:dyDescent="0.2"/>
    <row r="12011" s="166" customFormat="1" x14ac:dyDescent="0.2"/>
    <row r="12012" s="166" customFormat="1" x14ac:dyDescent="0.2"/>
    <row r="12013" s="166" customFormat="1" x14ac:dyDescent="0.2"/>
    <row r="12014" s="166" customFormat="1" x14ac:dyDescent="0.2"/>
    <row r="12015" s="166" customFormat="1" x14ac:dyDescent="0.2"/>
    <row r="12016" s="166" customFormat="1" x14ac:dyDescent="0.2"/>
    <row r="12017" s="166" customFormat="1" x14ac:dyDescent="0.2"/>
    <row r="12018" s="166" customFormat="1" x14ac:dyDescent="0.2"/>
    <row r="12019" s="166" customFormat="1" x14ac:dyDescent="0.2"/>
    <row r="12020" s="166" customFormat="1" x14ac:dyDescent="0.2"/>
    <row r="12021" s="166" customFormat="1" x14ac:dyDescent="0.2"/>
    <row r="12022" s="166" customFormat="1" x14ac:dyDescent="0.2"/>
    <row r="12023" s="166" customFormat="1" x14ac:dyDescent="0.2"/>
    <row r="12024" s="166" customFormat="1" x14ac:dyDescent="0.2"/>
    <row r="12025" s="166" customFormat="1" x14ac:dyDescent="0.2"/>
    <row r="12026" s="166" customFormat="1" x14ac:dyDescent="0.2"/>
    <row r="12027" s="166" customFormat="1" x14ac:dyDescent="0.2"/>
    <row r="12028" s="166" customFormat="1" x14ac:dyDescent="0.2"/>
    <row r="12029" s="166" customFormat="1" x14ac:dyDescent="0.2"/>
    <row r="12030" s="166" customFormat="1" x14ac:dyDescent="0.2"/>
    <row r="12031" s="166" customFormat="1" x14ac:dyDescent="0.2"/>
    <row r="12032" s="166" customFormat="1" x14ac:dyDescent="0.2"/>
    <row r="12033" s="166" customFormat="1" x14ac:dyDescent="0.2"/>
    <row r="12034" s="166" customFormat="1" x14ac:dyDescent="0.2"/>
    <row r="12035" s="166" customFormat="1" x14ac:dyDescent="0.2"/>
    <row r="12036" s="166" customFormat="1" x14ac:dyDescent="0.2"/>
    <row r="12037" s="166" customFormat="1" x14ac:dyDescent="0.2"/>
    <row r="12038" s="166" customFormat="1" x14ac:dyDescent="0.2"/>
    <row r="12039" s="166" customFormat="1" x14ac:dyDescent="0.2"/>
    <row r="12040" s="166" customFormat="1" x14ac:dyDescent="0.2"/>
    <row r="12041" s="166" customFormat="1" x14ac:dyDescent="0.2"/>
    <row r="12042" s="166" customFormat="1" x14ac:dyDescent="0.2"/>
    <row r="12043" s="166" customFormat="1" x14ac:dyDescent="0.2"/>
    <row r="12044" s="166" customFormat="1" x14ac:dyDescent="0.2"/>
    <row r="12045" s="166" customFormat="1" x14ac:dyDescent="0.2"/>
    <row r="12046" s="166" customFormat="1" x14ac:dyDescent="0.2"/>
    <row r="12047" s="166" customFormat="1" x14ac:dyDescent="0.2"/>
    <row r="12048" s="166" customFormat="1" x14ac:dyDescent="0.2"/>
    <row r="12049" s="166" customFormat="1" x14ac:dyDescent="0.2"/>
    <row r="12050" s="166" customFormat="1" x14ac:dyDescent="0.2"/>
    <row r="12051" s="166" customFormat="1" x14ac:dyDescent="0.2"/>
    <row r="12052" s="166" customFormat="1" x14ac:dyDescent="0.2"/>
    <row r="12053" s="166" customFormat="1" x14ac:dyDescent="0.2"/>
    <row r="12054" s="166" customFormat="1" x14ac:dyDescent="0.2"/>
    <row r="12055" s="166" customFormat="1" x14ac:dyDescent="0.2"/>
    <row r="12056" s="166" customFormat="1" x14ac:dyDescent="0.2"/>
    <row r="12057" s="166" customFormat="1" x14ac:dyDescent="0.2"/>
    <row r="12058" s="166" customFormat="1" x14ac:dyDescent="0.2"/>
    <row r="12059" s="166" customFormat="1" x14ac:dyDescent="0.2"/>
    <row r="12060" s="166" customFormat="1" x14ac:dyDescent="0.2"/>
    <row r="12061" s="166" customFormat="1" x14ac:dyDescent="0.2"/>
    <row r="12062" s="166" customFormat="1" x14ac:dyDescent="0.2"/>
    <row r="12063" s="166" customFormat="1" x14ac:dyDescent="0.2"/>
    <row r="12064" s="166" customFormat="1" x14ac:dyDescent="0.2"/>
    <row r="12065" s="166" customFormat="1" x14ac:dyDescent="0.2"/>
    <row r="12066" s="166" customFormat="1" x14ac:dyDescent="0.2"/>
    <row r="12067" s="166" customFormat="1" x14ac:dyDescent="0.2"/>
    <row r="12068" s="166" customFormat="1" x14ac:dyDescent="0.2"/>
    <row r="12069" s="166" customFormat="1" x14ac:dyDescent="0.2"/>
    <row r="12070" s="166" customFormat="1" x14ac:dyDescent="0.2"/>
    <row r="12071" s="166" customFormat="1" x14ac:dyDescent="0.2"/>
    <row r="12072" s="166" customFormat="1" x14ac:dyDescent="0.2"/>
    <row r="12073" s="166" customFormat="1" x14ac:dyDescent="0.2"/>
    <row r="12074" s="166" customFormat="1" x14ac:dyDescent="0.2"/>
    <row r="12075" s="166" customFormat="1" x14ac:dyDescent="0.2"/>
    <row r="12076" s="166" customFormat="1" x14ac:dyDescent="0.2"/>
    <row r="12077" s="166" customFormat="1" x14ac:dyDescent="0.2"/>
    <row r="12078" s="166" customFormat="1" x14ac:dyDescent="0.2"/>
    <row r="12079" s="166" customFormat="1" x14ac:dyDescent="0.2"/>
    <row r="12080" s="166" customFormat="1" x14ac:dyDescent="0.2"/>
    <row r="12081" s="166" customFormat="1" x14ac:dyDescent="0.2"/>
    <row r="12082" s="166" customFormat="1" x14ac:dyDescent="0.2"/>
    <row r="12083" s="166" customFormat="1" x14ac:dyDescent="0.2"/>
    <row r="12084" s="166" customFormat="1" x14ac:dyDescent="0.2"/>
    <row r="12085" s="166" customFormat="1" x14ac:dyDescent="0.2"/>
    <row r="12086" s="166" customFormat="1" x14ac:dyDescent="0.2"/>
    <row r="12087" s="166" customFormat="1" x14ac:dyDescent="0.2"/>
    <row r="12088" s="166" customFormat="1" x14ac:dyDescent="0.2"/>
    <row r="12089" s="166" customFormat="1" x14ac:dyDescent="0.2"/>
    <row r="12090" s="166" customFormat="1" x14ac:dyDescent="0.2"/>
    <row r="12091" s="166" customFormat="1" x14ac:dyDescent="0.2"/>
    <row r="12092" s="166" customFormat="1" x14ac:dyDescent="0.2"/>
    <row r="12093" s="166" customFormat="1" x14ac:dyDescent="0.2"/>
    <row r="12094" s="166" customFormat="1" x14ac:dyDescent="0.2"/>
    <row r="12095" s="166" customFormat="1" x14ac:dyDescent="0.2"/>
    <row r="12096" s="166" customFormat="1" x14ac:dyDescent="0.2"/>
    <row r="12097" s="166" customFormat="1" x14ac:dyDescent="0.2"/>
    <row r="12098" s="166" customFormat="1" x14ac:dyDescent="0.2"/>
    <row r="12099" s="166" customFormat="1" x14ac:dyDescent="0.2"/>
    <row r="12100" s="166" customFormat="1" x14ac:dyDescent="0.2"/>
    <row r="12101" s="166" customFormat="1" x14ac:dyDescent="0.2"/>
    <row r="12102" s="166" customFormat="1" x14ac:dyDescent="0.2"/>
    <row r="12103" s="166" customFormat="1" x14ac:dyDescent="0.2"/>
    <row r="12104" s="166" customFormat="1" x14ac:dyDescent="0.2"/>
    <row r="12105" s="166" customFormat="1" x14ac:dyDescent="0.2"/>
    <row r="12106" s="166" customFormat="1" x14ac:dyDescent="0.2"/>
    <row r="12107" s="166" customFormat="1" x14ac:dyDescent="0.2"/>
    <row r="12108" s="166" customFormat="1" x14ac:dyDescent="0.2"/>
    <row r="12109" s="166" customFormat="1" x14ac:dyDescent="0.2"/>
    <row r="12110" s="166" customFormat="1" x14ac:dyDescent="0.2"/>
    <row r="12111" s="166" customFormat="1" x14ac:dyDescent="0.2"/>
    <row r="12112" s="166" customFormat="1" x14ac:dyDescent="0.2"/>
    <row r="12113" s="166" customFormat="1" x14ac:dyDescent="0.2"/>
    <row r="12114" s="166" customFormat="1" x14ac:dyDescent="0.2"/>
    <row r="12115" s="166" customFormat="1" x14ac:dyDescent="0.2"/>
    <row r="12116" s="166" customFormat="1" x14ac:dyDescent="0.2"/>
    <row r="12117" s="166" customFormat="1" x14ac:dyDescent="0.2"/>
    <row r="12118" s="166" customFormat="1" x14ac:dyDescent="0.2"/>
    <row r="12119" s="166" customFormat="1" x14ac:dyDescent="0.2"/>
    <row r="12120" s="166" customFormat="1" x14ac:dyDescent="0.2"/>
    <row r="12121" s="166" customFormat="1" x14ac:dyDescent="0.2"/>
    <row r="12122" s="166" customFormat="1" x14ac:dyDescent="0.2"/>
    <row r="12123" s="166" customFormat="1" x14ac:dyDescent="0.2"/>
    <row r="12124" s="166" customFormat="1" x14ac:dyDescent="0.2"/>
    <row r="12125" s="166" customFormat="1" x14ac:dyDescent="0.2"/>
    <row r="12126" s="166" customFormat="1" x14ac:dyDescent="0.2"/>
    <row r="12127" s="166" customFormat="1" x14ac:dyDescent="0.2"/>
    <row r="12128" s="166" customFormat="1" x14ac:dyDescent="0.2"/>
    <row r="12129" s="166" customFormat="1" x14ac:dyDescent="0.2"/>
    <row r="12130" s="166" customFormat="1" x14ac:dyDescent="0.2"/>
    <row r="12131" s="166" customFormat="1" x14ac:dyDescent="0.2"/>
    <row r="12132" s="166" customFormat="1" x14ac:dyDescent="0.2"/>
    <row r="12133" s="166" customFormat="1" x14ac:dyDescent="0.2"/>
    <row r="12134" s="166" customFormat="1" x14ac:dyDescent="0.2"/>
    <row r="12135" s="166" customFormat="1" x14ac:dyDescent="0.2"/>
    <row r="12136" s="166" customFormat="1" x14ac:dyDescent="0.2"/>
    <row r="12137" s="166" customFormat="1" x14ac:dyDescent="0.2"/>
    <row r="12138" s="166" customFormat="1" x14ac:dyDescent="0.2"/>
    <row r="12139" s="166" customFormat="1" x14ac:dyDescent="0.2"/>
    <row r="12140" s="166" customFormat="1" x14ac:dyDescent="0.2"/>
    <row r="12141" s="166" customFormat="1" x14ac:dyDescent="0.2"/>
    <row r="12142" s="166" customFormat="1" x14ac:dyDescent="0.2"/>
    <row r="12143" s="166" customFormat="1" x14ac:dyDescent="0.2"/>
    <row r="12144" s="166" customFormat="1" x14ac:dyDescent="0.2"/>
    <row r="12145" s="166" customFormat="1" x14ac:dyDescent="0.2"/>
    <row r="12146" s="166" customFormat="1" x14ac:dyDescent="0.2"/>
    <row r="12147" s="166" customFormat="1" x14ac:dyDescent="0.2"/>
    <row r="12148" s="166" customFormat="1" x14ac:dyDescent="0.2"/>
    <row r="12149" s="166" customFormat="1" x14ac:dyDescent="0.2"/>
    <row r="12150" s="166" customFormat="1" x14ac:dyDescent="0.2"/>
    <row r="12151" s="166" customFormat="1" x14ac:dyDescent="0.2"/>
    <row r="12152" s="166" customFormat="1" x14ac:dyDescent="0.2"/>
    <row r="12153" s="166" customFormat="1" x14ac:dyDescent="0.2"/>
    <row r="12154" s="166" customFormat="1" x14ac:dyDescent="0.2"/>
    <row r="12155" s="166" customFormat="1" x14ac:dyDescent="0.2"/>
    <row r="12156" s="166" customFormat="1" x14ac:dyDescent="0.2"/>
    <row r="12157" s="166" customFormat="1" x14ac:dyDescent="0.2"/>
    <row r="12158" s="166" customFormat="1" x14ac:dyDescent="0.2"/>
    <row r="12159" s="166" customFormat="1" x14ac:dyDescent="0.2"/>
    <row r="12160" s="166" customFormat="1" x14ac:dyDescent="0.2"/>
    <row r="12161" s="166" customFormat="1" x14ac:dyDescent="0.2"/>
    <row r="12162" s="166" customFormat="1" x14ac:dyDescent="0.2"/>
    <row r="12163" s="166" customFormat="1" x14ac:dyDescent="0.2"/>
    <row r="12164" s="166" customFormat="1" x14ac:dyDescent="0.2"/>
    <row r="12165" s="166" customFormat="1" x14ac:dyDescent="0.2"/>
    <row r="12166" s="166" customFormat="1" x14ac:dyDescent="0.2"/>
    <row r="12167" s="166" customFormat="1" x14ac:dyDescent="0.2"/>
    <row r="12168" s="166" customFormat="1" x14ac:dyDescent="0.2"/>
    <row r="12169" s="166" customFormat="1" x14ac:dyDescent="0.2"/>
    <row r="12170" s="166" customFormat="1" x14ac:dyDescent="0.2"/>
    <row r="12171" s="166" customFormat="1" x14ac:dyDescent="0.2"/>
    <row r="12172" s="166" customFormat="1" x14ac:dyDescent="0.2"/>
    <row r="12173" s="166" customFormat="1" x14ac:dyDescent="0.2"/>
    <row r="12174" s="166" customFormat="1" x14ac:dyDescent="0.2"/>
    <row r="12175" s="166" customFormat="1" x14ac:dyDescent="0.2"/>
    <row r="12176" s="166" customFormat="1" x14ac:dyDescent="0.2"/>
    <row r="12177" s="166" customFormat="1" x14ac:dyDescent="0.2"/>
    <row r="12178" s="166" customFormat="1" x14ac:dyDescent="0.2"/>
    <row r="12179" s="166" customFormat="1" x14ac:dyDescent="0.2"/>
    <row r="12180" s="166" customFormat="1" x14ac:dyDescent="0.2"/>
    <row r="12181" s="166" customFormat="1" x14ac:dyDescent="0.2"/>
    <row r="12182" s="166" customFormat="1" x14ac:dyDescent="0.2"/>
    <row r="12183" s="166" customFormat="1" x14ac:dyDescent="0.2"/>
    <row r="12184" s="166" customFormat="1" x14ac:dyDescent="0.2"/>
    <row r="12185" s="166" customFormat="1" x14ac:dyDescent="0.2"/>
    <row r="12186" s="166" customFormat="1" x14ac:dyDescent="0.2"/>
    <row r="12187" s="166" customFormat="1" x14ac:dyDescent="0.2"/>
    <row r="12188" s="166" customFormat="1" x14ac:dyDescent="0.2"/>
    <row r="12189" s="166" customFormat="1" x14ac:dyDescent="0.2"/>
    <row r="12190" s="166" customFormat="1" x14ac:dyDescent="0.2"/>
    <row r="12191" s="166" customFormat="1" x14ac:dyDescent="0.2"/>
    <row r="12192" s="166" customFormat="1" x14ac:dyDescent="0.2"/>
    <row r="12193" s="166" customFormat="1" x14ac:dyDescent="0.2"/>
    <row r="12194" s="166" customFormat="1" x14ac:dyDescent="0.2"/>
    <row r="12195" s="166" customFormat="1" x14ac:dyDescent="0.2"/>
    <row r="12196" s="166" customFormat="1" x14ac:dyDescent="0.2"/>
    <row r="12197" s="166" customFormat="1" x14ac:dyDescent="0.2"/>
    <row r="12198" s="166" customFormat="1" x14ac:dyDescent="0.2"/>
    <row r="12199" s="166" customFormat="1" x14ac:dyDescent="0.2"/>
    <row r="12200" s="166" customFormat="1" x14ac:dyDescent="0.2"/>
    <row r="12201" s="166" customFormat="1" x14ac:dyDescent="0.2"/>
    <row r="12202" s="166" customFormat="1" x14ac:dyDescent="0.2"/>
    <row r="12203" s="166" customFormat="1" x14ac:dyDescent="0.2"/>
    <row r="12204" s="166" customFormat="1" x14ac:dyDescent="0.2"/>
    <row r="12205" s="166" customFormat="1" x14ac:dyDescent="0.2"/>
    <row r="12206" s="166" customFormat="1" x14ac:dyDescent="0.2"/>
    <row r="12207" s="166" customFormat="1" x14ac:dyDescent="0.2"/>
    <row r="12208" s="166" customFormat="1" x14ac:dyDescent="0.2"/>
    <row r="12209" s="166" customFormat="1" x14ac:dyDescent="0.2"/>
    <row r="12210" s="166" customFormat="1" x14ac:dyDescent="0.2"/>
    <row r="12211" s="166" customFormat="1" x14ac:dyDescent="0.2"/>
    <row r="12212" s="166" customFormat="1" x14ac:dyDescent="0.2"/>
    <row r="12213" s="166" customFormat="1" x14ac:dyDescent="0.2"/>
    <row r="12214" s="166" customFormat="1" x14ac:dyDescent="0.2"/>
    <row r="12215" s="166" customFormat="1" x14ac:dyDescent="0.2"/>
    <row r="12216" s="166" customFormat="1" x14ac:dyDescent="0.2"/>
    <row r="12217" s="166" customFormat="1" x14ac:dyDescent="0.2"/>
    <row r="12218" s="166" customFormat="1" x14ac:dyDescent="0.2"/>
    <row r="12219" s="166" customFormat="1" x14ac:dyDescent="0.2"/>
    <row r="12220" s="166" customFormat="1" x14ac:dyDescent="0.2"/>
    <row r="12221" s="166" customFormat="1" x14ac:dyDescent="0.2"/>
    <row r="12222" s="166" customFormat="1" x14ac:dyDescent="0.2"/>
    <row r="12223" s="166" customFormat="1" x14ac:dyDescent="0.2"/>
    <row r="12224" s="166" customFormat="1" x14ac:dyDescent="0.2"/>
    <row r="12225" s="166" customFormat="1" x14ac:dyDescent="0.2"/>
    <row r="12226" s="166" customFormat="1" x14ac:dyDescent="0.2"/>
    <row r="12227" s="166" customFormat="1" x14ac:dyDescent="0.2"/>
    <row r="12228" s="166" customFormat="1" x14ac:dyDescent="0.2"/>
    <row r="12229" s="166" customFormat="1" x14ac:dyDescent="0.2"/>
    <row r="12230" s="166" customFormat="1" x14ac:dyDescent="0.2"/>
    <row r="12231" s="166" customFormat="1" x14ac:dyDescent="0.2"/>
    <row r="12232" s="166" customFormat="1" x14ac:dyDescent="0.2"/>
    <row r="12233" s="166" customFormat="1" x14ac:dyDescent="0.2"/>
    <row r="12234" s="166" customFormat="1" x14ac:dyDescent="0.2"/>
    <row r="12235" s="166" customFormat="1" x14ac:dyDescent="0.2"/>
    <row r="12236" s="166" customFormat="1" x14ac:dyDescent="0.2"/>
    <row r="12237" s="166" customFormat="1" x14ac:dyDescent="0.2"/>
    <row r="12238" s="166" customFormat="1" x14ac:dyDescent="0.2"/>
    <row r="12239" s="166" customFormat="1" x14ac:dyDescent="0.2"/>
    <row r="12240" s="166" customFormat="1" x14ac:dyDescent="0.2"/>
    <row r="12241" s="166" customFormat="1" x14ac:dyDescent="0.2"/>
    <row r="12242" s="166" customFormat="1" x14ac:dyDescent="0.2"/>
    <row r="12243" s="166" customFormat="1" x14ac:dyDescent="0.2"/>
    <row r="12244" s="166" customFormat="1" x14ac:dyDescent="0.2"/>
    <row r="12245" s="166" customFormat="1" x14ac:dyDescent="0.2"/>
    <row r="12246" s="166" customFormat="1" x14ac:dyDescent="0.2"/>
    <row r="12247" s="166" customFormat="1" x14ac:dyDescent="0.2"/>
    <row r="12248" s="166" customFormat="1" x14ac:dyDescent="0.2"/>
    <row r="12249" s="166" customFormat="1" x14ac:dyDescent="0.2"/>
    <row r="12250" s="166" customFormat="1" x14ac:dyDescent="0.2"/>
    <row r="12251" s="166" customFormat="1" x14ac:dyDescent="0.2"/>
    <row r="12252" s="166" customFormat="1" x14ac:dyDescent="0.2"/>
    <row r="12253" s="166" customFormat="1" x14ac:dyDescent="0.2"/>
    <row r="12254" s="166" customFormat="1" x14ac:dyDescent="0.2"/>
    <row r="12255" s="166" customFormat="1" x14ac:dyDescent="0.2"/>
    <row r="12256" s="166" customFormat="1" x14ac:dyDescent="0.2"/>
    <row r="12257" s="166" customFormat="1" x14ac:dyDescent="0.2"/>
    <row r="12258" s="166" customFormat="1" x14ac:dyDescent="0.2"/>
    <row r="12259" s="166" customFormat="1" x14ac:dyDescent="0.2"/>
    <row r="12260" s="166" customFormat="1" x14ac:dyDescent="0.2"/>
    <row r="12261" s="166" customFormat="1" x14ac:dyDescent="0.2"/>
    <row r="12262" s="166" customFormat="1" x14ac:dyDescent="0.2"/>
    <row r="12263" s="166" customFormat="1" x14ac:dyDescent="0.2"/>
    <row r="12264" s="166" customFormat="1" x14ac:dyDescent="0.2"/>
    <row r="12265" s="166" customFormat="1" x14ac:dyDescent="0.2"/>
    <row r="12266" s="166" customFormat="1" x14ac:dyDescent="0.2"/>
    <row r="12267" s="166" customFormat="1" x14ac:dyDescent="0.2"/>
    <row r="12268" s="166" customFormat="1" x14ac:dyDescent="0.2"/>
    <row r="12269" s="166" customFormat="1" x14ac:dyDescent="0.2"/>
    <row r="12270" s="166" customFormat="1" x14ac:dyDescent="0.2"/>
    <row r="12271" s="166" customFormat="1" x14ac:dyDescent="0.2"/>
    <row r="12272" s="166" customFormat="1" x14ac:dyDescent="0.2"/>
    <row r="12273" s="166" customFormat="1" x14ac:dyDescent="0.2"/>
    <row r="12274" s="166" customFormat="1" x14ac:dyDescent="0.2"/>
    <row r="12275" s="166" customFormat="1" x14ac:dyDescent="0.2"/>
    <row r="12276" s="166" customFormat="1" x14ac:dyDescent="0.2"/>
    <row r="12277" s="166" customFormat="1" x14ac:dyDescent="0.2"/>
    <row r="12278" s="166" customFormat="1" x14ac:dyDescent="0.2"/>
    <row r="12279" s="166" customFormat="1" x14ac:dyDescent="0.2"/>
    <row r="12280" s="166" customFormat="1" x14ac:dyDescent="0.2"/>
    <row r="12281" s="166" customFormat="1" x14ac:dyDescent="0.2"/>
    <row r="12282" s="166" customFormat="1" x14ac:dyDescent="0.2"/>
    <row r="12283" s="166" customFormat="1" x14ac:dyDescent="0.2"/>
    <row r="12284" s="166" customFormat="1" x14ac:dyDescent="0.2"/>
    <row r="12285" s="166" customFormat="1" x14ac:dyDescent="0.2"/>
    <row r="12286" s="166" customFormat="1" x14ac:dyDescent="0.2"/>
    <row r="12287" s="166" customFormat="1" x14ac:dyDescent="0.2"/>
    <row r="12288" s="166" customFormat="1" x14ac:dyDescent="0.2"/>
    <row r="12289" s="166" customFormat="1" x14ac:dyDescent="0.2"/>
    <row r="12290" s="166" customFormat="1" x14ac:dyDescent="0.2"/>
    <row r="12291" s="166" customFormat="1" x14ac:dyDescent="0.2"/>
    <row r="12292" s="166" customFormat="1" x14ac:dyDescent="0.2"/>
    <row r="12293" s="166" customFormat="1" x14ac:dyDescent="0.2"/>
    <row r="12294" s="166" customFormat="1" x14ac:dyDescent="0.2"/>
    <row r="12295" s="166" customFormat="1" x14ac:dyDescent="0.2"/>
    <row r="12296" s="166" customFormat="1" x14ac:dyDescent="0.2"/>
    <row r="12297" s="166" customFormat="1" x14ac:dyDescent="0.2"/>
    <row r="12298" s="166" customFormat="1" x14ac:dyDescent="0.2"/>
    <row r="12299" s="166" customFormat="1" x14ac:dyDescent="0.2"/>
    <row r="12300" s="166" customFormat="1" x14ac:dyDescent="0.2"/>
    <row r="12301" s="166" customFormat="1" x14ac:dyDescent="0.2"/>
    <row r="12302" s="166" customFormat="1" x14ac:dyDescent="0.2"/>
    <row r="12303" s="166" customFormat="1" x14ac:dyDescent="0.2"/>
    <row r="12304" s="166" customFormat="1" x14ac:dyDescent="0.2"/>
    <row r="12305" s="166" customFormat="1" x14ac:dyDescent="0.2"/>
    <row r="12306" s="166" customFormat="1" x14ac:dyDescent="0.2"/>
    <row r="12307" s="166" customFormat="1" x14ac:dyDescent="0.2"/>
    <row r="12308" s="166" customFormat="1" x14ac:dyDescent="0.2"/>
    <row r="12309" s="166" customFormat="1" x14ac:dyDescent="0.2"/>
    <row r="12310" s="166" customFormat="1" x14ac:dyDescent="0.2"/>
    <row r="12311" s="166" customFormat="1" x14ac:dyDescent="0.2"/>
    <row r="12312" s="166" customFormat="1" x14ac:dyDescent="0.2"/>
    <row r="12313" s="166" customFormat="1" x14ac:dyDescent="0.2"/>
    <row r="12314" s="166" customFormat="1" x14ac:dyDescent="0.2"/>
    <row r="12315" s="166" customFormat="1" x14ac:dyDescent="0.2"/>
    <row r="12316" s="166" customFormat="1" x14ac:dyDescent="0.2"/>
    <row r="12317" s="166" customFormat="1" x14ac:dyDescent="0.2"/>
    <row r="12318" s="166" customFormat="1" x14ac:dyDescent="0.2"/>
    <row r="12319" s="166" customFormat="1" x14ac:dyDescent="0.2"/>
    <row r="12320" s="166" customFormat="1" x14ac:dyDescent="0.2"/>
    <row r="12321" s="166" customFormat="1" x14ac:dyDescent="0.2"/>
    <row r="12322" s="166" customFormat="1" x14ac:dyDescent="0.2"/>
    <row r="12323" s="166" customFormat="1" x14ac:dyDescent="0.2"/>
    <row r="12324" s="166" customFormat="1" x14ac:dyDescent="0.2"/>
    <row r="12325" s="166" customFormat="1" x14ac:dyDescent="0.2"/>
    <row r="12326" s="166" customFormat="1" x14ac:dyDescent="0.2"/>
    <row r="12327" s="166" customFormat="1" x14ac:dyDescent="0.2"/>
    <row r="12328" s="166" customFormat="1" x14ac:dyDescent="0.2"/>
    <row r="12329" s="166" customFormat="1" x14ac:dyDescent="0.2"/>
    <row r="12330" s="166" customFormat="1" x14ac:dyDescent="0.2"/>
    <row r="12331" s="166" customFormat="1" x14ac:dyDescent="0.2"/>
    <row r="12332" s="166" customFormat="1" x14ac:dyDescent="0.2"/>
    <row r="12333" s="166" customFormat="1" x14ac:dyDescent="0.2"/>
    <row r="12334" s="166" customFormat="1" x14ac:dyDescent="0.2"/>
    <row r="12335" s="166" customFormat="1" x14ac:dyDescent="0.2"/>
    <row r="12336" s="166" customFormat="1" x14ac:dyDescent="0.2"/>
    <row r="12337" s="166" customFormat="1" x14ac:dyDescent="0.2"/>
    <row r="12338" s="166" customFormat="1" x14ac:dyDescent="0.2"/>
    <row r="12339" s="166" customFormat="1" x14ac:dyDescent="0.2"/>
    <row r="12340" s="166" customFormat="1" x14ac:dyDescent="0.2"/>
    <row r="12341" s="166" customFormat="1" x14ac:dyDescent="0.2"/>
    <row r="12342" s="166" customFormat="1" x14ac:dyDescent="0.2"/>
    <row r="12343" s="166" customFormat="1" x14ac:dyDescent="0.2"/>
    <row r="12344" s="166" customFormat="1" x14ac:dyDescent="0.2"/>
    <row r="12345" s="166" customFormat="1" x14ac:dyDescent="0.2"/>
    <row r="12346" s="166" customFormat="1" x14ac:dyDescent="0.2"/>
    <row r="12347" s="166" customFormat="1" x14ac:dyDescent="0.2"/>
    <row r="12348" s="166" customFormat="1" x14ac:dyDescent="0.2"/>
    <row r="12349" s="166" customFormat="1" x14ac:dyDescent="0.2"/>
    <row r="12350" s="166" customFormat="1" x14ac:dyDescent="0.2"/>
    <row r="12351" s="166" customFormat="1" x14ac:dyDescent="0.2"/>
    <row r="12352" s="166" customFormat="1" x14ac:dyDescent="0.2"/>
    <row r="12353" s="166" customFormat="1" x14ac:dyDescent="0.2"/>
    <row r="12354" s="166" customFormat="1" x14ac:dyDescent="0.2"/>
    <row r="12355" s="166" customFormat="1" x14ac:dyDescent="0.2"/>
    <row r="12356" s="166" customFormat="1" x14ac:dyDescent="0.2"/>
    <row r="12357" s="166" customFormat="1" x14ac:dyDescent="0.2"/>
    <row r="12358" s="166" customFormat="1" x14ac:dyDescent="0.2"/>
    <row r="12359" s="166" customFormat="1" x14ac:dyDescent="0.2"/>
    <row r="12360" s="166" customFormat="1" x14ac:dyDescent="0.2"/>
    <row r="12361" s="166" customFormat="1" x14ac:dyDescent="0.2"/>
    <row r="12362" s="166" customFormat="1" x14ac:dyDescent="0.2"/>
    <row r="12363" s="166" customFormat="1" x14ac:dyDescent="0.2"/>
    <row r="12364" s="166" customFormat="1" x14ac:dyDescent="0.2"/>
    <row r="12365" s="166" customFormat="1" x14ac:dyDescent="0.2"/>
    <row r="12366" s="166" customFormat="1" x14ac:dyDescent="0.2"/>
    <row r="12367" s="166" customFormat="1" x14ac:dyDescent="0.2"/>
    <row r="12368" s="166" customFormat="1" x14ac:dyDescent="0.2"/>
    <row r="12369" s="166" customFormat="1" x14ac:dyDescent="0.2"/>
    <row r="12370" s="166" customFormat="1" x14ac:dyDescent="0.2"/>
    <row r="12371" s="166" customFormat="1" x14ac:dyDescent="0.2"/>
    <row r="12372" s="166" customFormat="1" x14ac:dyDescent="0.2"/>
    <row r="12373" s="166" customFormat="1" x14ac:dyDescent="0.2"/>
    <row r="12374" s="166" customFormat="1" x14ac:dyDescent="0.2"/>
    <row r="12375" s="166" customFormat="1" x14ac:dyDescent="0.2"/>
    <row r="12376" s="166" customFormat="1" x14ac:dyDescent="0.2"/>
    <row r="12377" s="166" customFormat="1" x14ac:dyDescent="0.2"/>
    <row r="12378" s="166" customFormat="1" x14ac:dyDescent="0.2"/>
    <row r="12379" s="166" customFormat="1" x14ac:dyDescent="0.2"/>
    <row r="12380" s="166" customFormat="1" x14ac:dyDescent="0.2"/>
    <row r="12381" s="166" customFormat="1" x14ac:dyDescent="0.2"/>
    <row r="12382" s="166" customFormat="1" x14ac:dyDescent="0.2"/>
    <row r="12383" s="166" customFormat="1" x14ac:dyDescent="0.2"/>
    <row r="12384" s="166" customFormat="1" x14ac:dyDescent="0.2"/>
    <row r="12385" s="166" customFormat="1" x14ac:dyDescent="0.2"/>
    <row r="12386" s="166" customFormat="1" x14ac:dyDescent="0.2"/>
    <row r="12387" s="166" customFormat="1" x14ac:dyDescent="0.2"/>
    <row r="12388" s="166" customFormat="1" x14ac:dyDescent="0.2"/>
    <row r="12389" s="166" customFormat="1" x14ac:dyDescent="0.2"/>
    <row r="12390" s="166" customFormat="1" x14ac:dyDescent="0.2"/>
    <row r="12391" s="166" customFormat="1" x14ac:dyDescent="0.2"/>
    <row r="12392" s="166" customFormat="1" x14ac:dyDescent="0.2"/>
    <row r="12393" s="166" customFormat="1" x14ac:dyDescent="0.2"/>
    <row r="12394" s="166" customFormat="1" x14ac:dyDescent="0.2"/>
    <row r="12395" s="166" customFormat="1" x14ac:dyDescent="0.2"/>
    <row r="12396" s="166" customFormat="1" x14ac:dyDescent="0.2"/>
    <row r="12397" s="166" customFormat="1" x14ac:dyDescent="0.2"/>
    <row r="12398" s="166" customFormat="1" x14ac:dyDescent="0.2"/>
    <row r="12399" s="166" customFormat="1" x14ac:dyDescent="0.2"/>
    <row r="12400" s="166" customFormat="1" x14ac:dyDescent="0.2"/>
    <row r="12401" s="166" customFormat="1" x14ac:dyDescent="0.2"/>
    <row r="12402" s="166" customFormat="1" x14ac:dyDescent="0.2"/>
    <row r="12403" s="166" customFormat="1" x14ac:dyDescent="0.2"/>
    <row r="12404" s="166" customFormat="1" x14ac:dyDescent="0.2"/>
    <row r="12405" s="166" customFormat="1" x14ac:dyDescent="0.2"/>
    <row r="12406" s="166" customFormat="1" x14ac:dyDescent="0.2"/>
    <row r="12407" s="166" customFormat="1" x14ac:dyDescent="0.2"/>
    <row r="12408" s="166" customFormat="1" x14ac:dyDescent="0.2"/>
    <row r="12409" s="166" customFormat="1" x14ac:dyDescent="0.2"/>
    <row r="12410" s="166" customFormat="1" x14ac:dyDescent="0.2"/>
    <row r="12411" s="166" customFormat="1" x14ac:dyDescent="0.2"/>
    <row r="12412" s="166" customFormat="1" x14ac:dyDescent="0.2"/>
    <row r="12413" s="166" customFormat="1" x14ac:dyDescent="0.2"/>
    <row r="12414" s="166" customFormat="1" x14ac:dyDescent="0.2"/>
    <row r="12415" s="166" customFormat="1" x14ac:dyDescent="0.2"/>
    <row r="12416" s="166" customFormat="1" x14ac:dyDescent="0.2"/>
    <row r="12417" s="166" customFormat="1" x14ac:dyDescent="0.2"/>
    <row r="12418" s="166" customFormat="1" x14ac:dyDescent="0.2"/>
    <row r="12419" s="166" customFormat="1" x14ac:dyDescent="0.2"/>
    <row r="12420" s="166" customFormat="1" x14ac:dyDescent="0.2"/>
    <row r="12421" s="166" customFormat="1" x14ac:dyDescent="0.2"/>
    <row r="12422" s="166" customFormat="1" x14ac:dyDescent="0.2"/>
    <row r="12423" s="166" customFormat="1" x14ac:dyDescent="0.2"/>
    <row r="12424" s="166" customFormat="1" x14ac:dyDescent="0.2"/>
    <row r="12425" s="166" customFormat="1" x14ac:dyDescent="0.2"/>
    <row r="12426" s="166" customFormat="1" x14ac:dyDescent="0.2"/>
    <row r="12427" s="166" customFormat="1" x14ac:dyDescent="0.2"/>
    <row r="12428" s="166" customFormat="1" x14ac:dyDescent="0.2"/>
    <row r="12429" s="166" customFormat="1" x14ac:dyDescent="0.2"/>
    <row r="12430" s="166" customFormat="1" x14ac:dyDescent="0.2"/>
    <row r="12431" s="166" customFormat="1" x14ac:dyDescent="0.2"/>
    <row r="12432" s="166" customFormat="1" x14ac:dyDescent="0.2"/>
    <row r="12433" s="166" customFormat="1" x14ac:dyDescent="0.2"/>
    <row r="12434" s="166" customFormat="1" x14ac:dyDescent="0.2"/>
    <row r="12435" s="166" customFormat="1" x14ac:dyDescent="0.2"/>
    <row r="12436" s="166" customFormat="1" x14ac:dyDescent="0.2"/>
    <row r="12437" s="166" customFormat="1" x14ac:dyDescent="0.2"/>
    <row r="12438" s="166" customFormat="1" x14ac:dyDescent="0.2"/>
    <row r="12439" s="166" customFormat="1" x14ac:dyDescent="0.2"/>
    <row r="12440" s="166" customFormat="1" x14ac:dyDescent="0.2"/>
    <row r="12441" s="166" customFormat="1" x14ac:dyDescent="0.2"/>
    <row r="12442" s="166" customFormat="1" x14ac:dyDescent="0.2"/>
    <row r="12443" s="166" customFormat="1" x14ac:dyDescent="0.2"/>
    <row r="12444" s="166" customFormat="1" x14ac:dyDescent="0.2"/>
    <row r="12445" s="166" customFormat="1" x14ac:dyDescent="0.2"/>
    <row r="12446" s="166" customFormat="1" x14ac:dyDescent="0.2"/>
    <row r="12447" s="166" customFormat="1" x14ac:dyDescent="0.2"/>
    <row r="12448" s="166" customFormat="1" x14ac:dyDescent="0.2"/>
    <row r="12449" s="166" customFormat="1" x14ac:dyDescent="0.2"/>
    <row r="12450" s="166" customFormat="1" x14ac:dyDescent="0.2"/>
    <row r="12451" s="166" customFormat="1" x14ac:dyDescent="0.2"/>
    <row r="12452" s="166" customFormat="1" x14ac:dyDescent="0.2"/>
    <row r="12453" s="166" customFormat="1" x14ac:dyDescent="0.2"/>
    <row r="12454" s="166" customFormat="1" x14ac:dyDescent="0.2"/>
    <row r="12455" s="166" customFormat="1" x14ac:dyDescent="0.2"/>
    <row r="12456" s="166" customFormat="1" x14ac:dyDescent="0.2"/>
    <row r="12457" s="166" customFormat="1" x14ac:dyDescent="0.2"/>
    <row r="12458" s="166" customFormat="1" x14ac:dyDescent="0.2"/>
    <row r="12459" s="166" customFormat="1" x14ac:dyDescent="0.2"/>
    <row r="12460" s="166" customFormat="1" x14ac:dyDescent="0.2"/>
    <row r="12461" s="166" customFormat="1" x14ac:dyDescent="0.2"/>
    <row r="12462" s="166" customFormat="1" x14ac:dyDescent="0.2"/>
    <row r="12463" s="166" customFormat="1" x14ac:dyDescent="0.2"/>
    <row r="12464" s="166" customFormat="1" x14ac:dyDescent="0.2"/>
    <row r="12465" s="166" customFormat="1" x14ac:dyDescent="0.2"/>
    <row r="12466" s="166" customFormat="1" x14ac:dyDescent="0.2"/>
    <row r="12467" s="166" customFormat="1" x14ac:dyDescent="0.2"/>
    <row r="12468" s="166" customFormat="1" x14ac:dyDescent="0.2"/>
    <row r="12469" s="166" customFormat="1" x14ac:dyDescent="0.2"/>
    <row r="12470" s="166" customFormat="1" x14ac:dyDescent="0.2"/>
    <row r="12471" s="166" customFormat="1" x14ac:dyDescent="0.2"/>
    <row r="12472" s="166" customFormat="1" x14ac:dyDescent="0.2"/>
    <row r="12473" s="166" customFormat="1" x14ac:dyDescent="0.2"/>
    <row r="12474" s="166" customFormat="1" x14ac:dyDescent="0.2"/>
    <row r="12475" s="166" customFormat="1" x14ac:dyDescent="0.2"/>
    <row r="12476" s="166" customFormat="1" x14ac:dyDescent="0.2"/>
    <row r="12477" s="166" customFormat="1" x14ac:dyDescent="0.2"/>
    <row r="12478" s="166" customFormat="1" x14ac:dyDescent="0.2"/>
    <row r="12479" s="166" customFormat="1" x14ac:dyDescent="0.2"/>
    <row r="12480" s="166" customFormat="1" x14ac:dyDescent="0.2"/>
    <row r="12481" s="166" customFormat="1" x14ac:dyDescent="0.2"/>
    <row r="12482" s="166" customFormat="1" x14ac:dyDescent="0.2"/>
    <row r="12483" s="166" customFormat="1" x14ac:dyDescent="0.2"/>
    <row r="12484" s="166" customFormat="1" x14ac:dyDescent="0.2"/>
    <row r="12485" s="166" customFormat="1" x14ac:dyDescent="0.2"/>
    <row r="12486" s="166" customFormat="1" x14ac:dyDescent="0.2"/>
    <row r="12487" s="166" customFormat="1" x14ac:dyDescent="0.2"/>
    <row r="12488" s="166" customFormat="1" x14ac:dyDescent="0.2"/>
    <row r="12489" s="166" customFormat="1" x14ac:dyDescent="0.2"/>
    <row r="12490" s="166" customFormat="1" x14ac:dyDescent="0.2"/>
    <row r="12491" s="166" customFormat="1" x14ac:dyDescent="0.2"/>
    <row r="12492" s="166" customFormat="1" x14ac:dyDescent="0.2"/>
    <row r="12493" s="166" customFormat="1" x14ac:dyDescent="0.2"/>
    <row r="12494" s="166" customFormat="1" x14ac:dyDescent="0.2"/>
    <row r="12495" s="166" customFormat="1" x14ac:dyDescent="0.2"/>
    <row r="12496" s="166" customFormat="1" x14ac:dyDescent="0.2"/>
    <row r="12497" s="166" customFormat="1" x14ac:dyDescent="0.2"/>
    <row r="12498" s="166" customFormat="1" x14ac:dyDescent="0.2"/>
    <row r="12499" s="166" customFormat="1" x14ac:dyDescent="0.2"/>
    <row r="12500" s="166" customFormat="1" x14ac:dyDescent="0.2"/>
    <row r="12501" s="166" customFormat="1" x14ac:dyDescent="0.2"/>
    <row r="12502" s="166" customFormat="1" x14ac:dyDescent="0.2"/>
    <row r="12503" s="166" customFormat="1" x14ac:dyDescent="0.2"/>
    <row r="12504" s="166" customFormat="1" x14ac:dyDescent="0.2"/>
    <row r="12505" s="166" customFormat="1" x14ac:dyDescent="0.2"/>
    <row r="12506" s="166" customFormat="1" x14ac:dyDescent="0.2"/>
    <row r="12507" s="166" customFormat="1" x14ac:dyDescent="0.2"/>
    <row r="12508" s="166" customFormat="1" x14ac:dyDescent="0.2"/>
    <row r="12509" s="166" customFormat="1" x14ac:dyDescent="0.2"/>
    <row r="12510" s="166" customFormat="1" x14ac:dyDescent="0.2"/>
    <row r="12511" s="166" customFormat="1" x14ac:dyDescent="0.2"/>
    <row r="12512" s="166" customFormat="1" x14ac:dyDescent="0.2"/>
    <row r="12513" s="166" customFormat="1" x14ac:dyDescent="0.2"/>
    <row r="12514" s="166" customFormat="1" x14ac:dyDescent="0.2"/>
    <row r="12515" s="166" customFormat="1" x14ac:dyDescent="0.2"/>
    <row r="12516" s="166" customFormat="1" x14ac:dyDescent="0.2"/>
    <row r="12517" s="166" customFormat="1" x14ac:dyDescent="0.2"/>
    <row r="12518" s="166" customFormat="1" x14ac:dyDescent="0.2"/>
    <row r="12519" s="166" customFormat="1" x14ac:dyDescent="0.2"/>
    <row r="12520" s="166" customFormat="1" x14ac:dyDescent="0.2"/>
    <row r="12521" s="166" customFormat="1" x14ac:dyDescent="0.2"/>
    <row r="12522" s="166" customFormat="1" x14ac:dyDescent="0.2"/>
    <row r="12523" s="166" customFormat="1" x14ac:dyDescent="0.2"/>
    <row r="12524" s="166" customFormat="1" x14ac:dyDescent="0.2"/>
    <row r="12525" s="166" customFormat="1" x14ac:dyDescent="0.2"/>
    <row r="12526" s="166" customFormat="1" x14ac:dyDescent="0.2"/>
    <row r="12527" s="166" customFormat="1" x14ac:dyDescent="0.2"/>
    <row r="12528" s="166" customFormat="1" x14ac:dyDescent="0.2"/>
    <row r="12529" s="166" customFormat="1" x14ac:dyDescent="0.2"/>
    <row r="12530" s="166" customFormat="1" x14ac:dyDescent="0.2"/>
    <row r="12531" s="166" customFormat="1" x14ac:dyDescent="0.2"/>
    <row r="12532" s="166" customFormat="1" x14ac:dyDescent="0.2"/>
    <row r="12533" s="166" customFormat="1" x14ac:dyDescent="0.2"/>
    <row r="12534" s="166" customFormat="1" x14ac:dyDescent="0.2"/>
    <row r="12535" s="166" customFormat="1" x14ac:dyDescent="0.2"/>
    <row r="12536" s="166" customFormat="1" x14ac:dyDescent="0.2"/>
    <row r="12537" s="166" customFormat="1" x14ac:dyDescent="0.2"/>
    <row r="12538" s="166" customFormat="1" x14ac:dyDescent="0.2"/>
    <row r="12539" s="166" customFormat="1" x14ac:dyDescent="0.2"/>
    <row r="12540" s="166" customFormat="1" x14ac:dyDescent="0.2"/>
    <row r="12541" s="166" customFormat="1" x14ac:dyDescent="0.2"/>
    <row r="12542" s="166" customFormat="1" x14ac:dyDescent="0.2"/>
    <row r="12543" s="166" customFormat="1" x14ac:dyDescent="0.2"/>
    <row r="12544" s="166" customFormat="1" x14ac:dyDescent="0.2"/>
    <row r="12545" s="166" customFormat="1" x14ac:dyDescent="0.2"/>
    <row r="12546" s="166" customFormat="1" x14ac:dyDescent="0.2"/>
    <row r="12547" s="166" customFormat="1" x14ac:dyDescent="0.2"/>
    <row r="12548" s="166" customFormat="1" x14ac:dyDescent="0.2"/>
    <row r="12549" s="166" customFormat="1" x14ac:dyDescent="0.2"/>
    <row r="12550" s="166" customFormat="1" x14ac:dyDescent="0.2"/>
    <row r="12551" s="166" customFormat="1" x14ac:dyDescent="0.2"/>
    <row r="12552" s="166" customFormat="1" x14ac:dyDescent="0.2"/>
    <row r="12553" s="166" customFormat="1" x14ac:dyDescent="0.2"/>
    <row r="12554" s="166" customFormat="1" x14ac:dyDescent="0.2"/>
    <row r="12555" s="166" customFormat="1" x14ac:dyDescent="0.2"/>
    <row r="12556" s="166" customFormat="1" x14ac:dyDescent="0.2"/>
    <row r="12557" s="166" customFormat="1" x14ac:dyDescent="0.2"/>
    <row r="12558" s="166" customFormat="1" x14ac:dyDescent="0.2"/>
    <row r="12559" s="166" customFormat="1" x14ac:dyDescent="0.2"/>
    <row r="12560" s="166" customFormat="1" x14ac:dyDescent="0.2"/>
    <row r="12561" s="166" customFormat="1" x14ac:dyDescent="0.2"/>
    <row r="12562" s="166" customFormat="1" x14ac:dyDescent="0.2"/>
    <row r="12563" s="166" customFormat="1" x14ac:dyDescent="0.2"/>
    <row r="12564" s="166" customFormat="1" x14ac:dyDescent="0.2"/>
    <row r="12565" s="166" customFormat="1" x14ac:dyDescent="0.2"/>
    <row r="12566" s="166" customFormat="1" x14ac:dyDescent="0.2"/>
    <row r="12567" s="166" customFormat="1" x14ac:dyDescent="0.2"/>
    <row r="12568" s="166" customFormat="1" x14ac:dyDescent="0.2"/>
    <row r="12569" s="166" customFormat="1" x14ac:dyDescent="0.2"/>
    <row r="12570" s="166" customFormat="1" x14ac:dyDescent="0.2"/>
    <row r="12571" s="166" customFormat="1" x14ac:dyDescent="0.2"/>
    <row r="12572" s="166" customFormat="1" x14ac:dyDescent="0.2"/>
    <row r="12573" s="166" customFormat="1" x14ac:dyDescent="0.2"/>
    <row r="12574" s="166" customFormat="1" x14ac:dyDescent="0.2"/>
    <row r="12575" s="166" customFormat="1" x14ac:dyDescent="0.2"/>
    <row r="12576" s="166" customFormat="1" x14ac:dyDescent="0.2"/>
    <row r="12577" s="166" customFormat="1" x14ac:dyDescent="0.2"/>
    <row r="12578" s="166" customFormat="1" x14ac:dyDescent="0.2"/>
    <row r="12579" s="166" customFormat="1" x14ac:dyDescent="0.2"/>
    <row r="12580" s="166" customFormat="1" x14ac:dyDescent="0.2"/>
    <row r="12581" s="166" customFormat="1" x14ac:dyDescent="0.2"/>
    <row r="12582" s="166" customFormat="1" x14ac:dyDescent="0.2"/>
    <row r="12583" s="166" customFormat="1" x14ac:dyDescent="0.2"/>
    <row r="12584" s="166" customFormat="1" x14ac:dyDescent="0.2"/>
    <row r="12585" s="166" customFormat="1" x14ac:dyDescent="0.2"/>
    <row r="12586" s="166" customFormat="1" x14ac:dyDescent="0.2"/>
    <row r="12587" s="166" customFormat="1" x14ac:dyDescent="0.2"/>
    <row r="12588" s="166" customFormat="1" x14ac:dyDescent="0.2"/>
    <row r="12589" s="166" customFormat="1" x14ac:dyDescent="0.2"/>
    <row r="12590" s="166" customFormat="1" x14ac:dyDescent="0.2"/>
    <row r="12591" s="166" customFormat="1" x14ac:dyDescent="0.2"/>
    <row r="12592" s="166" customFormat="1" x14ac:dyDescent="0.2"/>
    <row r="12593" s="166" customFormat="1" x14ac:dyDescent="0.2"/>
    <row r="12594" s="166" customFormat="1" x14ac:dyDescent="0.2"/>
    <row r="12595" s="166" customFormat="1" x14ac:dyDescent="0.2"/>
    <row r="12596" s="166" customFormat="1" x14ac:dyDescent="0.2"/>
    <row r="12597" s="166" customFormat="1" x14ac:dyDescent="0.2"/>
    <row r="12598" s="166" customFormat="1" x14ac:dyDescent="0.2"/>
    <row r="12599" s="166" customFormat="1" x14ac:dyDescent="0.2"/>
    <row r="12600" s="166" customFormat="1" x14ac:dyDescent="0.2"/>
    <row r="12601" s="166" customFormat="1" x14ac:dyDescent="0.2"/>
    <row r="12602" s="166" customFormat="1" x14ac:dyDescent="0.2"/>
    <row r="12603" s="166" customFormat="1" x14ac:dyDescent="0.2"/>
    <row r="12604" s="166" customFormat="1" x14ac:dyDescent="0.2"/>
    <row r="12605" s="166" customFormat="1" x14ac:dyDescent="0.2"/>
    <row r="12606" s="166" customFormat="1" x14ac:dyDescent="0.2"/>
    <row r="12607" s="166" customFormat="1" x14ac:dyDescent="0.2"/>
    <row r="12608" s="166" customFormat="1" x14ac:dyDescent="0.2"/>
    <row r="12609" s="166" customFormat="1" x14ac:dyDescent="0.2"/>
    <row r="12610" s="166" customFormat="1" x14ac:dyDescent="0.2"/>
    <row r="12611" s="166" customFormat="1" x14ac:dyDescent="0.2"/>
    <row r="12612" s="166" customFormat="1" x14ac:dyDescent="0.2"/>
    <row r="12613" s="166" customFormat="1" x14ac:dyDescent="0.2"/>
    <row r="12614" s="166" customFormat="1" x14ac:dyDescent="0.2"/>
    <row r="12615" s="166" customFormat="1" x14ac:dyDescent="0.2"/>
    <row r="12616" s="166" customFormat="1" x14ac:dyDescent="0.2"/>
    <row r="12617" s="166" customFormat="1" x14ac:dyDescent="0.2"/>
    <row r="12618" s="166" customFormat="1" x14ac:dyDescent="0.2"/>
    <row r="12619" s="166" customFormat="1" x14ac:dyDescent="0.2"/>
    <row r="12620" s="166" customFormat="1" x14ac:dyDescent="0.2"/>
    <row r="12621" s="166" customFormat="1" x14ac:dyDescent="0.2"/>
    <row r="12622" s="166" customFormat="1" x14ac:dyDescent="0.2"/>
    <row r="12623" s="166" customFormat="1" x14ac:dyDescent="0.2"/>
    <row r="12624" s="166" customFormat="1" x14ac:dyDescent="0.2"/>
    <row r="12625" s="166" customFormat="1" x14ac:dyDescent="0.2"/>
    <row r="12626" s="166" customFormat="1" x14ac:dyDescent="0.2"/>
    <row r="12627" s="166" customFormat="1" x14ac:dyDescent="0.2"/>
    <row r="12628" s="166" customFormat="1" x14ac:dyDescent="0.2"/>
    <row r="12629" s="166" customFormat="1" x14ac:dyDescent="0.2"/>
    <row r="12630" s="166" customFormat="1" x14ac:dyDescent="0.2"/>
    <row r="12631" s="166" customFormat="1" x14ac:dyDescent="0.2"/>
    <row r="12632" s="166" customFormat="1" x14ac:dyDescent="0.2"/>
    <row r="12633" s="166" customFormat="1" x14ac:dyDescent="0.2"/>
    <row r="12634" s="166" customFormat="1" x14ac:dyDescent="0.2"/>
    <row r="12635" s="166" customFormat="1" x14ac:dyDescent="0.2"/>
    <row r="12636" s="166" customFormat="1" x14ac:dyDescent="0.2"/>
    <row r="12637" s="166" customFormat="1" x14ac:dyDescent="0.2"/>
    <row r="12638" s="166" customFormat="1" x14ac:dyDescent="0.2"/>
    <row r="12639" s="166" customFormat="1" x14ac:dyDescent="0.2"/>
    <row r="12640" s="166" customFormat="1" x14ac:dyDescent="0.2"/>
    <row r="12641" s="166" customFormat="1" x14ac:dyDescent="0.2"/>
    <row r="12642" s="166" customFormat="1" x14ac:dyDescent="0.2"/>
    <row r="12643" s="166" customFormat="1" x14ac:dyDescent="0.2"/>
    <row r="12644" s="166" customFormat="1" x14ac:dyDescent="0.2"/>
    <row r="12645" s="166" customFormat="1" x14ac:dyDescent="0.2"/>
    <row r="12646" s="166" customFormat="1" x14ac:dyDescent="0.2"/>
    <row r="12647" s="166" customFormat="1" x14ac:dyDescent="0.2"/>
    <row r="12648" s="166" customFormat="1" x14ac:dyDescent="0.2"/>
    <row r="12649" s="166" customFormat="1" x14ac:dyDescent="0.2"/>
    <row r="12650" s="166" customFormat="1" x14ac:dyDescent="0.2"/>
    <row r="12651" s="166" customFormat="1" x14ac:dyDescent="0.2"/>
    <row r="12652" s="166" customFormat="1" x14ac:dyDescent="0.2"/>
    <row r="12653" s="166" customFormat="1" x14ac:dyDescent="0.2"/>
    <row r="12654" s="166" customFormat="1" x14ac:dyDescent="0.2"/>
    <row r="12655" s="166" customFormat="1" x14ac:dyDescent="0.2"/>
    <row r="12656" s="166" customFormat="1" x14ac:dyDescent="0.2"/>
    <row r="12657" s="166" customFormat="1" x14ac:dyDescent="0.2"/>
    <row r="12658" s="166" customFormat="1" x14ac:dyDescent="0.2"/>
    <row r="12659" s="166" customFormat="1" x14ac:dyDescent="0.2"/>
    <row r="12660" s="166" customFormat="1" x14ac:dyDescent="0.2"/>
    <row r="12661" s="166" customFormat="1" x14ac:dyDescent="0.2"/>
    <row r="12662" s="166" customFormat="1" x14ac:dyDescent="0.2"/>
    <row r="12663" s="166" customFormat="1" x14ac:dyDescent="0.2"/>
    <row r="12664" s="166" customFormat="1" x14ac:dyDescent="0.2"/>
    <row r="12665" s="166" customFormat="1" x14ac:dyDescent="0.2"/>
    <row r="12666" s="166" customFormat="1" x14ac:dyDescent="0.2"/>
    <row r="12667" s="166" customFormat="1" x14ac:dyDescent="0.2"/>
    <row r="12668" s="166" customFormat="1" x14ac:dyDescent="0.2"/>
    <row r="12669" s="166" customFormat="1" x14ac:dyDescent="0.2"/>
    <row r="12670" s="166" customFormat="1" x14ac:dyDescent="0.2"/>
    <row r="12671" s="166" customFormat="1" x14ac:dyDescent="0.2"/>
    <row r="12672" s="166" customFormat="1" x14ac:dyDescent="0.2"/>
    <row r="12673" s="166" customFormat="1" x14ac:dyDescent="0.2"/>
    <row r="12674" s="166" customFormat="1" x14ac:dyDescent="0.2"/>
    <row r="12675" s="166" customFormat="1" x14ac:dyDescent="0.2"/>
    <row r="12676" s="166" customFormat="1" x14ac:dyDescent="0.2"/>
    <row r="12677" s="166" customFormat="1" x14ac:dyDescent="0.2"/>
    <row r="12678" s="166" customFormat="1" x14ac:dyDescent="0.2"/>
    <row r="12679" s="166" customFormat="1" x14ac:dyDescent="0.2"/>
    <row r="12680" s="166" customFormat="1" x14ac:dyDescent="0.2"/>
    <row r="12681" s="166" customFormat="1" x14ac:dyDescent="0.2"/>
    <row r="12682" s="166" customFormat="1" x14ac:dyDescent="0.2"/>
    <row r="12683" s="166" customFormat="1" x14ac:dyDescent="0.2"/>
    <row r="12684" s="166" customFormat="1" x14ac:dyDescent="0.2"/>
    <row r="12685" s="166" customFormat="1" x14ac:dyDescent="0.2"/>
    <row r="12686" s="166" customFormat="1" x14ac:dyDescent="0.2"/>
    <row r="12687" s="166" customFormat="1" x14ac:dyDescent="0.2"/>
    <row r="12688" s="166" customFormat="1" x14ac:dyDescent="0.2"/>
    <row r="12689" s="166" customFormat="1" x14ac:dyDescent="0.2"/>
    <row r="12690" s="166" customFormat="1" x14ac:dyDescent="0.2"/>
    <row r="12691" s="166" customFormat="1" x14ac:dyDescent="0.2"/>
    <row r="12692" s="166" customFormat="1" x14ac:dyDescent="0.2"/>
    <row r="12693" s="166" customFormat="1" x14ac:dyDescent="0.2"/>
    <row r="12694" s="166" customFormat="1" x14ac:dyDescent="0.2"/>
    <row r="12695" s="166" customFormat="1" x14ac:dyDescent="0.2"/>
    <row r="12696" s="166" customFormat="1" x14ac:dyDescent="0.2"/>
    <row r="12697" s="166" customFormat="1" x14ac:dyDescent="0.2"/>
    <row r="12698" s="166" customFormat="1" x14ac:dyDescent="0.2"/>
    <row r="12699" s="166" customFormat="1" x14ac:dyDescent="0.2"/>
    <row r="12700" s="166" customFormat="1" x14ac:dyDescent="0.2"/>
    <row r="12701" s="166" customFormat="1" x14ac:dyDescent="0.2"/>
    <row r="12702" s="166" customFormat="1" x14ac:dyDescent="0.2"/>
    <row r="12703" s="166" customFormat="1" x14ac:dyDescent="0.2"/>
    <row r="12704" s="166" customFormat="1" x14ac:dyDescent="0.2"/>
    <row r="12705" s="166" customFormat="1" x14ac:dyDescent="0.2"/>
    <row r="12706" s="166" customFormat="1" x14ac:dyDescent="0.2"/>
    <row r="12707" s="166" customFormat="1" x14ac:dyDescent="0.2"/>
    <row r="12708" s="166" customFormat="1" x14ac:dyDescent="0.2"/>
    <row r="12709" s="166" customFormat="1" x14ac:dyDescent="0.2"/>
    <row r="12710" s="166" customFormat="1" x14ac:dyDescent="0.2"/>
    <row r="12711" s="166" customFormat="1" x14ac:dyDescent="0.2"/>
    <row r="12712" s="166" customFormat="1" x14ac:dyDescent="0.2"/>
    <row r="12713" s="166" customFormat="1" x14ac:dyDescent="0.2"/>
    <row r="12714" s="166" customFormat="1" x14ac:dyDescent="0.2"/>
    <row r="12715" s="166" customFormat="1" x14ac:dyDescent="0.2"/>
    <row r="12716" s="166" customFormat="1" x14ac:dyDescent="0.2"/>
    <row r="12717" s="166" customFormat="1" x14ac:dyDescent="0.2"/>
    <row r="12718" s="166" customFormat="1" x14ac:dyDescent="0.2"/>
    <row r="12719" s="166" customFormat="1" x14ac:dyDescent="0.2"/>
    <row r="12720" s="166" customFormat="1" x14ac:dyDescent="0.2"/>
    <row r="12721" s="166" customFormat="1" x14ac:dyDescent="0.2"/>
    <row r="12722" s="166" customFormat="1" x14ac:dyDescent="0.2"/>
    <row r="12723" s="166" customFormat="1" x14ac:dyDescent="0.2"/>
    <row r="12724" s="166" customFormat="1" x14ac:dyDescent="0.2"/>
    <row r="12725" s="166" customFormat="1" x14ac:dyDescent="0.2"/>
    <row r="12726" s="166" customFormat="1" x14ac:dyDescent="0.2"/>
    <row r="12727" s="166" customFormat="1" x14ac:dyDescent="0.2"/>
    <row r="12728" s="166" customFormat="1" x14ac:dyDescent="0.2"/>
    <row r="12729" s="166" customFormat="1" x14ac:dyDescent="0.2"/>
    <row r="12730" s="166" customFormat="1" x14ac:dyDescent="0.2"/>
    <row r="12731" s="166" customFormat="1" x14ac:dyDescent="0.2"/>
    <row r="12732" s="166" customFormat="1" x14ac:dyDescent="0.2"/>
    <row r="12733" s="166" customFormat="1" x14ac:dyDescent="0.2"/>
    <row r="12734" s="166" customFormat="1" x14ac:dyDescent="0.2"/>
    <row r="12735" s="166" customFormat="1" x14ac:dyDescent="0.2"/>
    <row r="12736" s="166" customFormat="1" x14ac:dyDescent="0.2"/>
    <row r="12737" s="166" customFormat="1" x14ac:dyDescent="0.2"/>
    <row r="12738" s="166" customFormat="1" x14ac:dyDescent="0.2"/>
    <row r="12739" s="166" customFormat="1" x14ac:dyDescent="0.2"/>
    <row r="12740" s="166" customFormat="1" x14ac:dyDescent="0.2"/>
    <row r="12741" s="166" customFormat="1" x14ac:dyDescent="0.2"/>
    <row r="12742" s="166" customFormat="1" x14ac:dyDescent="0.2"/>
    <row r="12743" s="166" customFormat="1" x14ac:dyDescent="0.2"/>
    <row r="12744" s="166" customFormat="1" x14ac:dyDescent="0.2"/>
    <row r="12745" s="166" customFormat="1" x14ac:dyDescent="0.2"/>
    <row r="12746" s="166" customFormat="1" x14ac:dyDescent="0.2"/>
    <row r="12747" s="166" customFormat="1" x14ac:dyDescent="0.2"/>
    <row r="12748" s="166" customFormat="1" x14ac:dyDescent="0.2"/>
    <row r="12749" s="166" customFormat="1" x14ac:dyDescent="0.2"/>
    <row r="12750" s="166" customFormat="1" x14ac:dyDescent="0.2"/>
    <row r="12751" s="166" customFormat="1" x14ac:dyDescent="0.2"/>
    <row r="12752" s="166" customFormat="1" x14ac:dyDescent="0.2"/>
    <row r="12753" s="166" customFormat="1" x14ac:dyDescent="0.2"/>
    <row r="12754" s="166" customFormat="1" x14ac:dyDescent="0.2"/>
    <row r="12755" s="166" customFormat="1" x14ac:dyDescent="0.2"/>
    <row r="12756" s="166" customFormat="1" x14ac:dyDescent="0.2"/>
    <row r="12757" s="166" customFormat="1" x14ac:dyDescent="0.2"/>
    <row r="12758" s="166" customFormat="1" x14ac:dyDescent="0.2"/>
    <row r="12759" s="166" customFormat="1" x14ac:dyDescent="0.2"/>
    <row r="12760" s="166" customFormat="1" x14ac:dyDescent="0.2"/>
    <row r="12761" s="166" customFormat="1" x14ac:dyDescent="0.2"/>
    <row r="12762" s="166" customFormat="1" x14ac:dyDescent="0.2"/>
    <row r="12763" s="166" customFormat="1" x14ac:dyDescent="0.2"/>
    <row r="12764" s="166" customFormat="1" x14ac:dyDescent="0.2"/>
    <row r="12765" s="166" customFormat="1" x14ac:dyDescent="0.2"/>
    <row r="12766" s="166" customFormat="1" x14ac:dyDescent="0.2"/>
    <row r="12767" s="166" customFormat="1" x14ac:dyDescent="0.2"/>
    <row r="12768" s="166" customFormat="1" x14ac:dyDescent="0.2"/>
    <row r="12769" s="166" customFormat="1" x14ac:dyDescent="0.2"/>
    <row r="12770" s="166" customFormat="1" x14ac:dyDescent="0.2"/>
    <row r="12771" s="166" customFormat="1" x14ac:dyDescent="0.2"/>
    <row r="12772" s="166" customFormat="1" x14ac:dyDescent="0.2"/>
    <row r="12773" s="166" customFormat="1" x14ac:dyDescent="0.2"/>
    <row r="12774" s="166" customFormat="1" x14ac:dyDescent="0.2"/>
    <row r="12775" s="166" customFormat="1" x14ac:dyDescent="0.2"/>
    <row r="12776" s="166" customFormat="1" x14ac:dyDescent="0.2"/>
    <row r="12777" s="166" customFormat="1" x14ac:dyDescent="0.2"/>
    <row r="12778" s="166" customFormat="1" x14ac:dyDescent="0.2"/>
    <row r="12779" s="166" customFormat="1" x14ac:dyDescent="0.2"/>
    <row r="12780" s="166" customFormat="1" x14ac:dyDescent="0.2"/>
    <row r="12781" s="166" customFormat="1" x14ac:dyDescent="0.2"/>
    <row r="12782" s="166" customFormat="1" x14ac:dyDescent="0.2"/>
    <row r="12783" s="166" customFormat="1" x14ac:dyDescent="0.2"/>
    <row r="12784" s="166" customFormat="1" x14ac:dyDescent="0.2"/>
    <row r="12785" s="166" customFormat="1" x14ac:dyDescent="0.2"/>
    <row r="12786" s="166" customFormat="1" x14ac:dyDescent="0.2"/>
    <row r="12787" s="166" customFormat="1" x14ac:dyDescent="0.2"/>
    <row r="12788" s="166" customFormat="1" x14ac:dyDescent="0.2"/>
    <row r="12789" s="166" customFormat="1" x14ac:dyDescent="0.2"/>
    <row r="12790" s="166" customFormat="1" x14ac:dyDescent="0.2"/>
    <row r="12791" s="166" customFormat="1" x14ac:dyDescent="0.2"/>
    <row r="12792" s="166" customFormat="1" x14ac:dyDescent="0.2"/>
    <row r="12793" s="166" customFormat="1" x14ac:dyDescent="0.2"/>
    <row r="12794" s="166" customFormat="1" x14ac:dyDescent="0.2"/>
    <row r="12795" s="166" customFormat="1" x14ac:dyDescent="0.2"/>
    <row r="12796" s="166" customFormat="1" x14ac:dyDescent="0.2"/>
    <row r="12797" s="166" customFormat="1" x14ac:dyDescent="0.2"/>
    <row r="12798" s="166" customFormat="1" x14ac:dyDescent="0.2"/>
    <row r="12799" s="166" customFormat="1" x14ac:dyDescent="0.2"/>
    <row r="12800" s="166" customFormat="1" x14ac:dyDescent="0.2"/>
    <row r="12801" s="166" customFormat="1" x14ac:dyDescent="0.2"/>
    <row r="12802" s="166" customFormat="1" x14ac:dyDescent="0.2"/>
    <row r="12803" s="166" customFormat="1" x14ac:dyDescent="0.2"/>
    <row r="12804" s="166" customFormat="1" x14ac:dyDescent="0.2"/>
    <row r="12805" s="166" customFormat="1" x14ac:dyDescent="0.2"/>
    <row r="12806" s="166" customFormat="1" x14ac:dyDescent="0.2"/>
    <row r="12807" s="166" customFormat="1" x14ac:dyDescent="0.2"/>
    <row r="12808" s="166" customFormat="1" x14ac:dyDescent="0.2"/>
    <row r="12809" s="166" customFormat="1" x14ac:dyDescent="0.2"/>
    <row r="12810" s="166" customFormat="1" x14ac:dyDescent="0.2"/>
    <row r="12811" s="166" customFormat="1" x14ac:dyDescent="0.2"/>
    <row r="12812" s="166" customFormat="1" x14ac:dyDescent="0.2"/>
    <row r="12813" s="166" customFormat="1" x14ac:dyDescent="0.2"/>
    <row r="12814" s="166" customFormat="1" x14ac:dyDescent="0.2"/>
    <row r="12815" s="166" customFormat="1" x14ac:dyDescent="0.2"/>
    <row r="12816" s="166" customFormat="1" x14ac:dyDescent="0.2"/>
    <row r="12817" s="166" customFormat="1" x14ac:dyDescent="0.2"/>
    <row r="12818" s="166" customFormat="1" x14ac:dyDescent="0.2"/>
    <row r="12819" s="166" customFormat="1" x14ac:dyDescent="0.2"/>
    <row r="12820" s="166" customFormat="1" x14ac:dyDescent="0.2"/>
    <row r="12821" s="166" customFormat="1" x14ac:dyDescent="0.2"/>
    <row r="12822" s="166" customFormat="1" x14ac:dyDescent="0.2"/>
    <row r="12823" s="166" customFormat="1" x14ac:dyDescent="0.2"/>
    <row r="12824" s="166" customFormat="1" x14ac:dyDescent="0.2"/>
    <row r="12825" s="166" customFormat="1" x14ac:dyDescent="0.2"/>
    <row r="12826" s="166" customFormat="1" x14ac:dyDescent="0.2"/>
    <row r="12827" s="166" customFormat="1" x14ac:dyDescent="0.2"/>
    <row r="12828" s="166" customFormat="1" x14ac:dyDescent="0.2"/>
    <row r="12829" s="166" customFormat="1" x14ac:dyDescent="0.2"/>
    <row r="12830" s="166" customFormat="1" x14ac:dyDescent="0.2"/>
    <row r="12831" s="166" customFormat="1" x14ac:dyDescent="0.2"/>
    <row r="12832" s="166" customFormat="1" x14ac:dyDescent="0.2"/>
    <row r="12833" s="166" customFormat="1" x14ac:dyDescent="0.2"/>
    <row r="12834" s="166" customFormat="1" x14ac:dyDescent="0.2"/>
    <row r="12835" s="166" customFormat="1" x14ac:dyDescent="0.2"/>
    <row r="12836" s="166" customFormat="1" x14ac:dyDescent="0.2"/>
    <row r="12837" s="166" customFormat="1" x14ac:dyDescent="0.2"/>
    <row r="12838" s="166" customFormat="1" x14ac:dyDescent="0.2"/>
    <row r="12839" s="166" customFormat="1" x14ac:dyDescent="0.2"/>
    <row r="12840" s="166" customFormat="1" x14ac:dyDescent="0.2"/>
    <row r="12841" s="166" customFormat="1" x14ac:dyDescent="0.2"/>
    <row r="12842" s="166" customFormat="1" x14ac:dyDescent="0.2"/>
    <row r="12843" s="166" customFormat="1" x14ac:dyDescent="0.2"/>
    <row r="12844" s="166" customFormat="1" x14ac:dyDescent="0.2"/>
    <row r="12845" s="166" customFormat="1" x14ac:dyDescent="0.2"/>
    <row r="12846" s="166" customFormat="1" x14ac:dyDescent="0.2"/>
    <row r="12847" s="166" customFormat="1" x14ac:dyDescent="0.2"/>
    <row r="12848" s="166" customFormat="1" x14ac:dyDescent="0.2"/>
    <row r="12849" s="166" customFormat="1" x14ac:dyDescent="0.2"/>
    <row r="12850" s="166" customFormat="1" x14ac:dyDescent="0.2"/>
    <row r="12851" s="166" customFormat="1" x14ac:dyDescent="0.2"/>
    <row r="12852" s="166" customFormat="1" x14ac:dyDescent="0.2"/>
    <row r="12853" s="166" customFormat="1" x14ac:dyDescent="0.2"/>
    <row r="12854" s="166" customFormat="1" x14ac:dyDescent="0.2"/>
    <row r="12855" s="166" customFormat="1" x14ac:dyDescent="0.2"/>
    <row r="12856" s="166" customFormat="1" x14ac:dyDescent="0.2"/>
    <row r="12857" s="166" customFormat="1" x14ac:dyDescent="0.2"/>
    <row r="12858" s="166" customFormat="1" x14ac:dyDescent="0.2"/>
    <row r="12859" s="166" customFormat="1" x14ac:dyDescent="0.2"/>
    <row r="12860" s="166" customFormat="1" x14ac:dyDescent="0.2"/>
    <row r="12861" s="166" customFormat="1" x14ac:dyDescent="0.2"/>
    <row r="12862" s="166" customFormat="1" x14ac:dyDescent="0.2"/>
    <row r="12863" s="166" customFormat="1" x14ac:dyDescent="0.2"/>
    <row r="12864" s="166" customFormat="1" x14ac:dyDescent="0.2"/>
    <row r="12865" s="166" customFormat="1" x14ac:dyDescent="0.2"/>
    <row r="12866" s="166" customFormat="1" x14ac:dyDescent="0.2"/>
    <row r="12867" s="166" customFormat="1" x14ac:dyDescent="0.2"/>
    <row r="12868" s="166" customFormat="1" x14ac:dyDescent="0.2"/>
    <row r="12869" s="166" customFormat="1" x14ac:dyDescent="0.2"/>
    <row r="12870" s="166" customFormat="1" x14ac:dyDescent="0.2"/>
    <row r="12871" s="166" customFormat="1" x14ac:dyDescent="0.2"/>
    <row r="12872" s="166" customFormat="1" x14ac:dyDescent="0.2"/>
    <row r="12873" s="166" customFormat="1" x14ac:dyDescent="0.2"/>
    <row r="12874" s="166" customFormat="1" x14ac:dyDescent="0.2"/>
    <row r="12875" s="166" customFormat="1" x14ac:dyDescent="0.2"/>
    <row r="12876" s="166" customFormat="1" x14ac:dyDescent="0.2"/>
    <row r="12877" s="166" customFormat="1" x14ac:dyDescent="0.2"/>
    <row r="12878" s="166" customFormat="1" x14ac:dyDescent="0.2"/>
    <row r="12879" s="166" customFormat="1" x14ac:dyDescent="0.2"/>
    <row r="12880" s="166" customFormat="1" x14ac:dyDescent="0.2"/>
    <row r="12881" s="166" customFormat="1" x14ac:dyDescent="0.2"/>
    <row r="12882" s="166" customFormat="1" x14ac:dyDescent="0.2"/>
    <row r="12883" s="166" customFormat="1" x14ac:dyDescent="0.2"/>
    <row r="12884" s="166" customFormat="1" x14ac:dyDescent="0.2"/>
    <row r="12885" s="166" customFormat="1" x14ac:dyDescent="0.2"/>
    <row r="12886" s="166" customFormat="1" x14ac:dyDescent="0.2"/>
    <row r="12887" s="166" customFormat="1" x14ac:dyDescent="0.2"/>
    <row r="12888" s="166" customFormat="1" x14ac:dyDescent="0.2"/>
    <row r="12889" s="166" customFormat="1" x14ac:dyDescent="0.2"/>
    <row r="12890" s="166" customFormat="1" x14ac:dyDescent="0.2"/>
    <row r="12891" s="166" customFormat="1" x14ac:dyDescent="0.2"/>
    <row r="12892" s="166" customFormat="1" x14ac:dyDescent="0.2"/>
    <row r="12893" s="166" customFormat="1" x14ac:dyDescent="0.2"/>
    <row r="12894" s="166" customFormat="1" x14ac:dyDescent="0.2"/>
    <row r="12895" s="166" customFormat="1" x14ac:dyDescent="0.2"/>
    <row r="12896" s="166" customFormat="1" x14ac:dyDescent="0.2"/>
    <row r="12897" s="166" customFormat="1" x14ac:dyDescent="0.2"/>
    <row r="12898" s="166" customFormat="1" x14ac:dyDescent="0.2"/>
    <row r="12899" s="166" customFormat="1" x14ac:dyDescent="0.2"/>
    <row r="12900" s="166" customFormat="1" x14ac:dyDescent="0.2"/>
    <row r="12901" s="166" customFormat="1" x14ac:dyDescent="0.2"/>
    <row r="12902" s="166" customFormat="1" x14ac:dyDescent="0.2"/>
    <row r="12903" s="166" customFormat="1" x14ac:dyDescent="0.2"/>
    <row r="12904" s="166" customFormat="1" x14ac:dyDescent="0.2"/>
    <row r="12905" s="166" customFormat="1" x14ac:dyDescent="0.2"/>
    <row r="12906" s="166" customFormat="1" x14ac:dyDescent="0.2"/>
    <row r="12907" s="166" customFormat="1" x14ac:dyDescent="0.2"/>
    <row r="12908" s="166" customFormat="1" x14ac:dyDescent="0.2"/>
    <row r="12909" s="166" customFormat="1" x14ac:dyDescent="0.2"/>
    <row r="12910" s="166" customFormat="1" x14ac:dyDescent="0.2"/>
    <row r="12911" s="166" customFormat="1" x14ac:dyDescent="0.2"/>
    <row r="12912" s="166" customFormat="1" x14ac:dyDescent="0.2"/>
    <row r="12913" s="166" customFormat="1" x14ac:dyDescent="0.2"/>
    <row r="12914" s="166" customFormat="1" x14ac:dyDescent="0.2"/>
    <row r="12915" s="166" customFormat="1" x14ac:dyDescent="0.2"/>
    <row r="12916" s="166" customFormat="1" x14ac:dyDescent="0.2"/>
    <row r="12917" s="166" customFormat="1" x14ac:dyDescent="0.2"/>
    <row r="12918" s="166" customFormat="1" x14ac:dyDescent="0.2"/>
    <row r="12919" s="166" customFormat="1" x14ac:dyDescent="0.2"/>
    <row r="12920" s="166" customFormat="1" x14ac:dyDescent="0.2"/>
    <row r="12921" s="166" customFormat="1" x14ac:dyDescent="0.2"/>
    <row r="12922" s="166" customFormat="1" x14ac:dyDescent="0.2"/>
    <row r="12923" s="166" customFormat="1" x14ac:dyDescent="0.2"/>
    <row r="12924" s="166" customFormat="1" x14ac:dyDescent="0.2"/>
    <row r="12925" s="166" customFormat="1" x14ac:dyDescent="0.2"/>
    <row r="12926" s="166" customFormat="1" x14ac:dyDescent="0.2"/>
    <row r="12927" s="166" customFormat="1" x14ac:dyDescent="0.2"/>
    <row r="12928" s="166" customFormat="1" x14ac:dyDescent="0.2"/>
    <row r="12929" s="166" customFormat="1" x14ac:dyDescent="0.2"/>
    <row r="12930" s="166" customFormat="1" x14ac:dyDescent="0.2"/>
    <row r="12931" s="166" customFormat="1" x14ac:dyDescent="0.2"/>
    <row r="12932" s="166" customFormat="1" x14ac:dyDescent="0.2"/>
    <row r="12933" s="166" customFormat="1" x14ac:dyDescent="0.2"/>
    <row r="12934" s="166" customFormat="1" x14ac:dyDescent="0.2"/>
    <row r="12935" s="166" customFormat="1" x14ac:dyDescent="0.2"/>
    <row r="12936" s="166" customFormat="1" x14ac:dyDescent="0.2"/>
    <row r="12937" s="166" customFormat="1" x14ac:dyDescent="0.2"/>
    <row r="12938" s="166" customFormat="1" x14ac:dyDescent="0.2"/>
    <row r="12939" s="166" customFormat="1" x14ac:dyDescent="0.2"/>
    <row r="12940" s="166" customFormat="1" x14ac:dyDescent="0.2"/>
    <row r="12941" s="166" customFormat="1" x14ac:dyDescent="0.2"/>
    <row r="12942" s="166" customFormat="1" x14ac:dyDescent="0.2"/>
    <row r="12943" s="166" customFormat="1" x14ac:dyDescent="0.2"/>
    <row r="12944" s="166" customFormat="1" x14ac:dyDescent="0.2"/>
    <row r="12945" s="166" customFormat="1" x14ac:dyDescent="0.2"/>
    <row r="12946" s="166" customFormat="1" x14ac:dyDescent="0.2"/>
    <row r="12947" s="166" customFormat="1" x14ac:dyDescent="0.2"/>
    <row r="12948" s="166" customFormat="1" x14ac:dyDescent="0.2"/>
    <row r="12949" s="166" customFormat="1" x14ac:dyDescent="0.2"/>
    <row r="12950" s="166" customFormat="1" x14ac:dyDescent="0.2"/>
    <row r="12951" s="166" customFormat="1" x14ac:dyDescent="0.2"/>
    <row r="12952" s="166" customFormat="1" x14ac:dyDescent="0.2"/>
    <row r="12953" s="166" customFormat="1" x14ac:dyDescent="0.2"/>
    <row r="12954" s="166" customFormat="1" x14ac:dyDescent="0.2"/>
    <row r="12955" s="166" customFormat="1" x14ac:dyDescent="0.2"/>
    <row r="12956" s="166" customFormat="1" x14ac:dyDescent="0.2"/>
    <row r="12957" s="166" customFormat="1" x14ac:dyDescent="0.2"/>
    <row r="12958" s="166" customFormat="1" x14ac:dyDescent="0.2"/>
    <row r="12959" s="166" customFormat="1" x14ac:dyDescent="0.2"/>
    <row r="12960" s="166" customFormat="1" x14ac:dyDescent="0.2"/>
    <row r="12961" s="166" customFormat="1" x14ac:dyDescent="0.2"/>
    <row r="12962" s="166" customFormat="1" x14ac:dyDescent="0.2"/>
    <row r="12963" s="166" customFormat="1" x14ac:dyDescent="0.2"/>
    <row r="12964" s="166" customFormat="1" x14ac:dyDescent="0.2"/>
    <row r="12965" s="166" customFormat="1" x14ac:dyDescent="0.2"/>
    <row r="12966" s="166" customFormat="1" x14ac:dyDescent="0.2"/>
    <row r="12967" s="166" customFormat="1" x14ac:dyDescent="0.2"/>
    <row r="12968" s="166" customFormat="1" x14ac:dyDescent="0.2"/>
    <row r="12969" s="166" customFormat="1" x14ac:dyDescent="0.2"/>
    <row r="12970" s="166" customFormat="1" x14ac:dyDescent="0.2"/>
    <row r="12971" s="166" customFormat="1" x14ac:dyDescent="0.2"/>
    <row r="12972" s="166" customFormat="1" x14ac:dyDescent="0.2"/>
    <row r="12973" s="166" customFormat="1" x14ac:dyDescent="0.2"/>
    <row r="12974" s="166" customFormat="1" x14ac:dyDescent="0.2"/>
    <row r="12975" s="166" customFormat="1" x14ac:dyDescent="0.2"/>
    <row r="12976" s="166" customFormat="1" x14ac:dyDescent="0.2"/>
    <row r="12977" s="166" customFormat="1" x14ac:dyDescent="0.2"/>
    <row r="12978" s="166" customFormat="1" x14ac:dyDescent="0.2"/>
    <row r="12979" s="166" customFormat="1" x14ac:dyDescent="0.2"/>
    <row r="12980" s="166" customFormat="1" x14ac:dyDescent="0.2"/>
    <row r="12981" s="166" customFormat="1" x14ac:dyDescent="0.2"/>
    <row r="12982" s="166" customFormat="1" x14ac:dyDescent="0.2"/>
    <row r="12983" s="166" customFormat="1" x14ac:dyDescent="0.2"/>
    <row r="12984" s="166" customFormat="1" x14ac:dyDescent="0.2"/>
    <row r="12985" s="166" customFormat="1" x14ac:dyDescent="0.2"/>
    <row r="12986" s="166" customFormat="1" x14ac:dyDescent="0.2"/>
    <row r="12987" s="166" customFormat="1" x14ac:dyDescent="0.2"/>
    <row r="12988" s="166" customFormat="1" x14ac:dyDescent="0.2"/>
    <row r="12989" s="166" customFormat="1" x14ac:dyDescent="0.2"/>
    <row r="12990" s="166" customFormat="1" x14ac:dyDescent="0.2"/>
    <row r="12991" s="166" customFormat="1" x14ac:dyDescent="0.2"/>
    <row r="12992" s="166" customFormat="1" x14ac:dyDescent="0.2"/>
    <row r="12993" s="166" customFormat="1" x14ac:dyDescent="0.2"/>
    <row r="12994" s="166" customFormat="1" x14ac:dyDescent="0.2"/>
    <row r="12995" s="166" customFormat="1" x14ac:dyDescent="0.2"/>
    <row r="12996" s="166" customFormat="1" x14ac:dyDescent="0.2"/>
    <row r="12997" s="166" customFormat="1" x14ac:dyDescent="0.2"/>
    <row r="12998" s="166" customFormat="1" x14ac:dyDescent="0.2"/>
    <row r="12999" s="166" customFormat="1" x14ac:dyDescent="0.2"/>
    <row r="13000" s="166" customFormat="1" x14ac:dyDescent="0.2"/>
    <row r="13001" s="166" customFormat="1" x14ac:dyDescent="0.2"/>
    <row r="13002" s="166" customFormat="1" x14ac:dyDescent="0.2"/>
    <row r="13003" s="166" customFormat="1" x14ac:dyDescent="0.2"/>
    <row r="13004" s="166" customFormat="1" x14ac:dyDescent="0.2"/>
    <row r="13005" s="166" customFormat="1" x14ac:dyDescent="0.2"/>
    <row r="13006" s="166" customFormat="1" x14ac:dyDescent="0.2"/>
    <row r="13007" s="166" customFormat="1" x14ac:dyDescent="0.2"/>
    <row r="13008" s="166" customFormat="1" x14ac:dyDescent="0.2"/>
    <row r="13009" s="166" customFormat="1" x14ac:dyDescent="0.2"/>
    <row r="13010" s="166" customFormat="1" x14ac:dyDescent="0.2"/>
    <row r="13011" s="166" customFormat="1" x14ac:dyDescent="0.2"/>
    <row r="13012" s="166" customFormat="1" x14ac:dyDescent="0.2"/>
    <row r="13013" s="166" customFormat="1" x14ac:dyDescent="0.2"/>
    <row r="13014" s="166" customFormat="1" x14ac:dyDescent="0.2"/>
    <row r="13015" s="166" customFormat="1" x14ac:dyDescent="0.2"/>
    <row r="13016" s="166" customFormat="1" x14ac:dyDescent="0.2"/>
    <row r="13017" s="166" customFormat="1" x14ac:dyDescent="0.2"/>
    <row r="13018" s="166" customFormat="1" x14ac:dyDescent="0.2"/>
    <row r="13019" s="166" customFormat="1" x14ac:dyDescent="0.2"/>
    <row r="13020" s="166" customFormat="1" x14ac:dyDescent="0.2"/>
    <row r="13021" s="166" customFormat="1" x14ac:dyDescent="0.2"/>
    <row r="13022" s="166" customFormat="1" x14ac:dyDescent="0.2"/>
    <row r="13023" s="166" customFormat="1" x14ac:dyDescent="0.2"/>
    <row r="13024" s="166" customFormat="1" x14ac:dyDescent="0.2"/>
    <row r="13025" s="166" customFormat="1" x14ac:dyDescent="0.2"/>
    <row r="13026" s="166" customFormat="1" x14ac:dyDescent="0.2"/>
    <row r="13027" s="166" customFormat="1" x14ac:dyDescent="0.2"/>
    <row r="13028" s="166" customFormat="1" x14ac:dyDescent="0.2"/>
    <row r="13029" s="166" customFormat="1" x14ac:dyDescent="0.2"/>
    <row r="13030" s="166" customFormat="1" x14ac:dyDescent="0.2"/>
    <row r="13031" s="166" customFormat="1" x14ac:dyDescent="0.2"/>
    <row r="13032" s="166" customFormat="1" x14ac:dyDescent="0.2"/>
    <row r="13033" s="166" customFormat="1" x14ac:dyDescent="0.2"/>
    <row r="13034" s="166" customFormat="1" x14ac:dyDescent="0.2"/>
    <row r="13035" s="166" customFormat="1" x14ac:dyDescent="0.2"/>
    <row r="13036" s="166" customFormat="1" x14ac:dyDescent="0.2"/>
    <row r="13037" s="166" customFormat="1" x14ac:dyDescent="0.2"/>
    <row r="13038" s="166" customFormat="1" x14ac:dyDescent="0.2"/>
    <row r="13039" s="166" customFormat="1" x14ac:dyDescent="0.2"/>
    <row r="13040" s="166" customFormat="1" x14ac:dyDescent="0.2"/>
    <row r="13041" s="166" customFormat="1" x14ac:dyDescent="0.2"/>
    <row r="13042" s="166" customFormat="1" x14ac:dyDescent="0.2"/>
    <row r="13043" s="166" customFormat="1" x14ac:dyDescent="0.2"/>
    <row r="13044" s="166" customFormat="1" x14ac:dyDescent="0.2"/>
    <row r="13045" s="166" customFormat="1" x14ac:dyDescent="0.2"/>
    <row r="13046" s="166" customFormat="1" x14ac:dyDescent="0.2"/>
    <row r="13047" s="166" customFormat="1" x14ac:dyDescent="0.2"/>
    <row r="13048" s="166" customFormat="1" x14ac:dyDescent="0.2"/>
    <row r="13049" s="166" customFormat="1" x14ac:dyDescent="0.2"/>
    <row r="13050" s="166" customFormat="1" x14ac:dyDescent="0.2"/>
    <row r="13051" s="166" customFormat="1" x14ac:dyDescent="0.2"/>
    <row r="13052" s="166" customFormat="1" x14ac:dyDescent="0.2"/>
    <row r="13053" s="166" customFormat="1" x14ac:dyDescent="0.2"/>
    <row r="13054" s="166" customFormat="1" x14ac:dyDescent="0.2"/>
    <row r="13055" s="166" customFormat="1" x14ac:dyDescent="0.2"/>
    <row r="13056" s="166" customFormat="1" x14ac:dyDescent="0.2"/>
    <row r="13057" s="166" customFormat="1" x14ac:dyDescent="0.2"/>
    <row r="13058" s="166" customFormat="1" x14ac:dyDescent="0.2"/>
    <row r="13059" s="166" customFormat="1" x14ac:dyDescent="0.2"/>
    <row r="13060" s="166" customFormat="1" x14ac:dyDescent="0.2"/>
    <row r="13061" s="166" customFormat="1" x14ac:dyDescent="0.2"/>
    <row r="13062" s="166" customFormat="1" x14ac:dyDescent="0.2"/>
    <row r="13063" s="166" customFormat="1" x14ac:dyDescent="0.2"/>
    <row r="13064" s="166" customFormat="1" x14ac:dyDescent="0.2"/>
    <row r="13065" s="166" customFormat="1" x14ac:dyDescent="0.2"/>
    <row r="13066" s="166" customFormat="1" x14ac:dyDescent="0.2"/>
    <row r="13067" s="166" customFormat="1" x14ac:dyDescent="0.2"/>
    <row r="13068" s="166" customFormat="1" x14ac:dyDescent="0.2"/>
    <row r="13069" s="166" customFormat="1" x14ac:dyDescent="0.2"/>
    <row r="13070" s="166" customFormat="1" x14ac:dyDescent="0.2"/>
    <row r="13071" s="166" customFormat="1" x14ac:dyDescent="0.2"/>
    <row r="13072" s="166" customFormat="1" x14ac:dyDescent="0.2"/>
    <row r="13073" s="166" customFormat="1" x14ac:dyDescent="0.2"/>
    <row r="13074" s="166" customFormat="1" x14ac:dyDescent="0.2"/>
    <row r="13075" s="166" customFormat="1" x14ac:dyDescent="0.2"/>
    <row r="13076" s="166" customFormat="1" x14ac:dyDescent="0.2"/>
    <row r="13077" s="166" customFormat="1" x14ac:dyDescent="0.2"/>
    <row r="13078" s="166" customFormat="1" x14ac:dyDescent="0.2"/>
    <row r="13079" s="166" customFormat="1" x14ac:dyDescent="0.2"/>
    <row r="13080" s="166" customFormat="1" x14ac:dyDescent="0.2"/>
    <row r="13081" s="166" customFormat="1" x14ac:dyDescent="0.2"/>
    <row r="13082" s="166" customFormat="1" x14ac:dyDescent="0.2"/>
    <row r="13083" s="166" customFormat="1" x14ac:dyDescent="0.2"/>
    <row r="13084" s="166" customFormat="1" x14ac:dyDescent="0.2"/>
    <row r="13085" s="166" customFormat="1" x14ac:dyDescent="0.2"/>
    <row r="13086" s="166" customFormat="1" x14ac:dyDescent="0.2"/>
    <row r="13087" s="166" customFormat="1" x14ac:dyDescent="0.2"/>
    <row r="13088" s="166" customFormat="1" x14ac:dyDescent="0.2"/>
    <row r="13089" s="166" customFormat="1" x14ac:dyDescent="0.2"/>
    <row r="13090" s="166" customFormat="1" x14ac:dyDescent="0.2"/>
    <row r="13091" s="166" customFormat="1" x14ac:dyDescent="0.2"/>
    <row r="13092" s="166" customFormat="1" x14ac:dyDescent="0.2"/>
    <row r="13093" s="166" customFormat="1" x14ac:dyDescent="0.2"/>
    <row r="13094" s="166" customFormat="1" x14ac:dyDescent="0.2"/>
    <row r="13095" s="166" customFormat="1" x14ac:dyDescent="0.2"/>
    <row r="13096" s="166" customFormat="1" x14ac:dyDescent="0.2"/>
    <row r="13097" s="166" customFormat="1" x14ac:dyDescent="0.2"/>
    <row r="13098" s="166" customFormat="1" x14ac:dyDescent="0.2"/>
    <row r="13099" s="166" customFormat="1" x14ac:dyDescent="0.2"/>
    <row r="13100" s="166" customFormat="1" x14ac:dyDescent="0.2"/>
    <row r="13101" s="166" customFormat="1" x14ac:dyDescent="0.2"/>
    <row r="13102" s="166" customFormat="1" x14ac:dyDescent="0.2"/>
    <row r="13103" s="166" customFormat="1" x14ac:dyDescent="0.2"/>
    <row r="13104" s="166" customFormat="1" x14ac:dyDescent="0.2"/>
    <row r="13105" s="166" customFormat="1" x14ac:dyDescent="0.2"/>
    <row r="13106" s="166" customFormat="1" x14ac:dyDescent="0.2"/>
    <row r="13107" s="166" customFormat="1" x14ac:dyDescent="0.2"/>
    <row r="13108" s="166" customFormat="1" x14ac:dyDescent="0.2"/>
    <row r="13109" s="166" customFormat="1" x14ac:dyDescent="0.2"/>
    <row r="13110" s="166" customFormat="1" x14ac:dyDescent="0.2"/>
    <row r="13111" s="166" customFormat="1" x14ac:dyDescent="0.2"/>
    <row r="13112" s="166" customFormat="1" x14ac:dyDescent="0.2"/>
    <row r="13113" s="166" customFormat="1" x14ac:dyDescent="0.2"/>
    <row r="13114" s="166" customFormat="1" x14ac:dyDescent="0.2"/>
    <row r="13115" s="166" customFormat="1" x14ac:dyDescent="0.2"/>
    <row r="13116" s="166" customFormat="1" x14ac:dyDescent="0.2"/>
    <row r="13117" s="166" customFormat="1" x14ac:dyDescent="0.2"/>
    <row r="13118" s="166" customFormat="1" x14ac:dyDescent="0.2"/>
    <row r="13119" s="166" customFormat="1" x14ac:dyDescent="0.2"/>
    <row r="13120" s="166" customFormat="1" x14ac:dyDescent="0.2"/>
    <row r="13121" s="166" customFormat="1" x14ac:dyDescent="0.2"/>
    <row r="13122" s="166" customFormat="1" x14ac:dyDescent="0.2"/>
    <row r="13123" s="166" customFormat="1" x14ac:dyDescent="0.2"/>
    <row r="13124" s="166" customFormat="1" x14ac:dyDescent="0.2"/>
    <row r="13125" s="166" customFormat="1" x14ac:dyDescent="0.2"/>
    <row r="13126" s="166" customFormat="1" x14ac:dyDescent="0.2"/>
    <row r="13127" s="166" customFormat="1" x14ac:dyDescent="0.2"/>
    <row r="13128" s="166" customFormat="1" x14ac:dyDescent="0.2"/>
    <row r="13129" s="166" customFormat="1" x14ac:dyDescent="0.2"/>
    <row r="13130" s="166" customFormat="1" x14ac:dyDescent="0.2"/>
    <row r="13131" s="166" customFormat="1" x14ac:dyDescent="0.2"/>
    <row r="13132" s="166" customFormat="1" x14ac:dyDescent="0.2"/>
    <row r="13133" s="166" customFormat="1" x14ac:dyDescent="0.2"/>
    <row r="13134" s="166" customFormat="1" x14ac:dyDescent="0.2"/>
    <row r="13135" s="166" customFormat="1" x14ac:dyDescent="0.2"/>
    <row r="13136" s="166" customFormat="1" x14ac:dyDescent="0.2"/>
    <row r="13137" s="166" customFormat="1" x14ac:dyDescent="0.2"/>
    <row r="13138" s="166" customFormat="1" x14ac:dyDescent="0.2"/>
    <row r="13139" s="166" customFormat="1" x14ac:dyDescent="0.2"/>
    <row r="13140" s="166" customFormat="1" x14ac:dyDescent="0.2"/>
    <row r="13141" s="166" customFormat="1" x14ac:dyDescent="0.2"/>
    <row r="13142" s="166" customFormat="1" x14ac:dyDescent="0.2"/>
    <row r="13143" s="166" customFormat="1" x14ac:dyDescent="0.2"/>
    <row r="13144" s="166" customFormat="1" x14ac:dyDescent="0.2"/>
    <row r="13145" s="166" customFormat="1" x14ac:dyDescent="0.2"/>
    <row r="13146" s="166" customFormat="1" x14ac:dyDescent="0.2"/>
    <row r="13147" s="166" customFormat="1" x14ac:dyDescent="0.2"/>
    <row r="13148" s="166" customFormat="1" x14ac:dyDescent="0.2"/>
    <row r="13149" s="166" customFormat="1" x14ac:dyDescent="0.2"/>
    <row r="13150" s="166" customFormat="1" x14ac:dyDescent="0.2"/>
    <row r="13151" s="166" customFormat="1" x14ac:dyDescent="0.2"/>
    <row r="13152" s="166" customFormat="1" x14ac:dyDescent="0.2"/>
    <row r="13153" s="166" customFormat="1" x14ac:dyDescent="0.2"/>
    <row r="13154" s="166" customFormat="1" x14ac:dyDescent="0.2"/>
    <row r="13155" s="166" customFormat="1" x14ac:dyDescent="0.2"/>
    <row r="13156" s="166" customFormat="1" x14ac:dyDescent="0.2"/>
    <row r="13157" s="166" customFormat="1" x14ac:dyDescent="0.2"/>
    <row r="13158" s="166" customFormat="1" x14ac:dyDescent="0.2"/>
    <row r="13159" s="166" customFormat="1" x14ac:dyDescent="0.2"/>
    <row r="13160" s="166" customFormat="1" x14ac:dyDescent="0.2"/>
    <row r="13161" s="166" customFormat="1" x14ac:dyDescent="0.2"/>
    <row r="13162" s="166" customFormat="1" x14ac:dyDescent="0.2"/>
    <row r="13163" s="166" customFormat="1" x14ac:dyDescent="0.2"/>
    <row r="13164" s="166" customFormat="1" x14ac:dyDescent="0.2"/>
    <row r="13165" s="166" customFormat="1" x14ac:dyDescent="0.2"/>
    <row r="13166" s="166" customFormat="1" x14ac:dyDescent="0.2"/>
    <row r="13167" s="166" customFormat="1" x14ac:dyDescent="0.2"/>
    <row r="13168" s="166" customFormat="1" x14ac:dyDescent="0.2"/>
    <row r="13169" s="166" customFormat="1" x14ac:dyDescent="0.2"/>
    <row r="13170" s="166" customFormat="1" x14ac:dyDescent="0.2"/>
    <row r="13171" s="166" customFormat="1" x14ac:dyDescent="0.2"/>
    <row r="13172" s="166" customFormat="1" x14ac:dyDescent="0.2"/>
    <row r="13173" s="166" customFormat="1" x14ac:dyDescent="0.2"/>
    <row r="13174" s="166" customFormat="1" x14ac:dyDescent="0.2"/>
    <row r="13175" s="166" customFormat="1" x14ac:dyDescent="0.2"/>
    <row r="13176" s="166" customFormat="1" x14ac:dyDescent="0.2"/>
    <row r="13177" s="166" customFormat="1" x14ac:dyDescent="0.2"/>
    <row r="13178" s="166" customFormat="1" x14ac:dyDescent="0.2"/>
    <row r="13179" s="166" customFormat="1" x14ac:dyDescent="0.2"/>
    <row r="13180" s="166" customFormat="1" x14ac:dyDescent="0.2"/>
    <row r="13181" s="166" customFormat="1" x14ac:dyDescent="0.2"/>
    <row r="13182" s="166" customFormat="1" x14ac:dyDescent="0.2"/>
    <row r="13183" s="166" customFormat="1" x14ac:dyDescent="0.2"/>
    <row r="13184" s="166" customFormat="1" x14ac:dyDescent="0.2"/>
    <row r="13185" s="166" customFormat="1" x14ac:dyDescent="0.2"/>
    <row r="13186" s="166" customFormat="1" x14ac:dyDescent="0.2"/>
    <row r="13187" s="166" customFormat="1" x14ac:dyDescent="0.2"/>
    <row r="13188" s="166" customFormat="1" x14ac:dyDescent="0.2"/>
    <row r="13189" s="166" customFormat="1" x14ac:dyDescent="0.2"/>
    <row r="13190" s="166" customFormat="1" x14ac:dyDescent="0.2"/>
    <row r="13191" s="166" customFormat="1" x14ac:dyDescent="0.2"/>
    <row r="13192" s="166" customFormat="1" x14ac:dyDescent="0.2"/>
    <row r="13193" s="166" customFormat="1" x14ac:dyDescent="0.2"/>
    <row r="13194" s="166" customFormat="1" x14ac:dyDescent="0.2"/>
    <row r="13195" s="166" customFormat="1" x14ac:dyDescent="0.2"/>
    <row r="13196" s="166" customFormat="1" x14ac:dyDescent="0.2"/>
    <row r="13197" s="166" customFormat="1" x14ac:dyDescent="0.2"/>
    <row r="13198" s="166" customFormat="1" x14ac:dyDescent="0.2"/>
    <row r="13199" s="166" customFormat="1" x14ac:dyDescent="0.2"/>
    <row r="13200" s="166" customFormat="1" x14ac:dyDescent="0.2"/>
    <row r="13201" s="166" customFormat="1" x14ac:dyDescent="0.2"/>
    <row r="13202" s="166" customFormat="1" x14ac:dyDescent="0.2"/>
    <row r="13203" s="166" customFormat="1" x14ac:dyDescent="0.2"/>
    <row r="13204" s="166" customFormat="1" x14ac:dyDescent="0.2"/>
    <row r="13205" s="166" customFormat="1" x14ac:dyDescent="0.2"/>
    <row r="13206" s="166" customFormat="1" x14ac:dyDescent="0.2"/>
    <row r="13207" s="166" customFormat="1" x14ac:dyDescent="0.2"/>
    <row r="13208" s="166" customFormat="1" x14ac:dyDescent="0.2"/>
    <row r="13209" s="166" customFormat="1" x14ac:dyDescent="0.2"/>
    <row r="13210" s="166" customFormat="1" x14ac:dyDescent="0.2"/>
    <row r="13211" s="166" customFormat="1" x14ac:dyDescent="0.2"/>
    <row r="13212" s="166" customFormat="1" x14ac:dyDescent="0.2"/>
    <row r="13213" s="166" customFormat="1" x14ac:dyDescent="0.2"/>
    <row r="13214" s="166" customFormat="1" x14ac:dyDescent="0.2"/>
    <row r="13215" s="166" customFormat="1" x14ac:dyDescent="0.2"/>
    <row r="13216" s="166" customFormat="1" x14ac:dyDescent="0.2"/>
    <row r="13217" s="166" customFormat="1" x14ac:dyDescent="0.2"/>
    <row r="13218" s="166" customFormat="1" x14ac:dyDescent="0.2"/>
    <row r="13219" s="166" customFormat="1" x14ac:dyDescent="0.2"/>
    <row r="13220" s="166" customFormat="1" x14ac:dyDescent="0.2"/>
    <row r="13221" s="166" customFormat="1" x14ac:dyDescent="0.2"/>
    <row r="13222" s="166" customFormat="1" x14ac:dyDescent="0.2"/>
    <row r="13223" s="166" customFormat="1" x14ac:dyDescent="0.2"/>
    <row r="13224" s="166" customFormat="1" x14ac:dyDescent="0.2"/>
    <row r="13225" s="166" customFormat="1" x14ac:dyDescent="0.2"/>
    <row r="13226" s="166" customFormat="1" x14ac:dyDescent="0.2"/>
    <row r="13227" s="166" customFormat="1" x14ac:dyDescent="0.2"/>
    <row r="13228" s="166" customFormat="1" x14ac:dyDescent="0.2"/>
    <row r="13229" s="166" customFormat="1" x14ac:dyDescent="0.2"/>
    <row r="13230" s="166" customFormat="1" x14ac:dyDescent="0.2"/>
    <row r="13231" s="166" customFormat="1" x14ac:dyDescent="0.2"/>
    <row r="13232" s="166" customFormat="1" x14ac:dyDescent="0.2"/>
    <row r="13233" s="166" customFormat="1" x14ac:dyDescent="0.2"/>
    <row r="13234" s="166" customFormat="1" x14ac:dyDescent="0.2"/>
    <row r="13235" s="166" customFormat="1" x14ac:dyDescent="0.2"/>
    <row r="13236" s="166" customFormat="1" x14ac:dyDescent="0.2"/>
    <row r="13237" s="166" customFormat="1" x14ac:dyDescent="0.2"/>
    <row r="13238" s="166" customFormat="1" x14ac:dyDescent="0.2"/>
    <row r="13239" s="166" customFormat="1" x14ac:dyDescent="0.2"/>
    <row r="13240" s="166" customFormat="1" x14ac:dyDescent="0.2"/>
    <row r="13241" s="166" customFormat="1" x14ac:dyDescent="0.2"/>
    <row r="13242" s="166" customFormat="1" x14ac:dyDescent="0.2"/>
    <row r="13243" s="166" customFormat="1" x14ac:dyDescent="0.2"/>
    <row r="13244" s="166" customFormat="1" x14ac:dyDescent="0.2"/>
    <row r="13245" s="166" customFormat="1" x14ac:dyDescent="0.2"/>
    <row r="13246" s="166" customFormat="1" x14ac:dyDescent="0.2"/>
    <row r="13247" s="166" customFormat="1" x14ac:dyDescent="0.2"/>
    <row r="13248" s="166" customFormat="1" x14ac:dyDescent="0.2"/>
    <row r="13249" s="166" customFormat="1" x14ac:dyDescent="0.2"/>
    <row r="13250" s="166" customFormat="1" x14ac:dyDescent="0.2"/>
    <row r="13251" s="166" customFormat="1" x14ac:dyDescent="0.2"/>
    <row r="13252" s="166" customFormat="1" x14ac:dyDescent="0.2"/>
    <row r="13253" s="166" customFormat="1" x14ac:dyDescent="0.2"/>
    <row r="13254" s="166" customFormat="1" x14ac:dyDescent="0.2"/>
    <row r="13255" s="166" customFormat="1" x14ac:dyDescent="0.2"/>
    <row r="13256" s="166" customFormat="1" x14ac:dyDescent="0.2"/>
    <row r="13257" s="166" customFormat="1" x14ac:dyDescent="0.2"/>
    <row r="13258" s="166" customFormat="1" x14ac:dyDescent="0.2"/>
    <row r="13259" s="166" customFormat="1" x14ac:dyDescent="0.2"/>
    <row r="13260" s="166" customFormat="1" x14ac:dyDescent="0.2"/>
    <row r="13261" s="166" customFormat="1" x14ac:dyDescent="0.2"/>
    <row r="13262" s="166" customFormat="1" x14ac:dyDescent="0.2"/>
    <row r="13263" s="166" customFormat="1" x14ac:dyDescent="0.2"/>
    <row r="13264" s="166" customFormat="1" x14ac:dyDescent="0.2"/>
    <row r="13265" s="166" customFormat="1" x14ac:dyDescent="0.2"/>
    <row r="13266" s="166" customFormat="1" x14ac:dyDescent="0.2"/>
    <row r="13267" s="166" customFormat="1" x14ac:dyDescent="0.2"/>
    <row r="13268" s="166" customFormat="1" x14ac:dyDescent="0.2"/>
    <row r="13269" s="166" customFormat="1" x14ac:dyDescent="0.2"/>
    <row r="13270" s="166" customFormat="1" x14ac:dyDescent="0.2"/>
    <row r="13271" s="166" customFormat="1" x14ac:dyDescent="0.2"/>
    <row r="13272" s="166" customFormat="1" x14ac:dyDescent="0.2"/>
    <row r="13273" s="166" customFormat="1" x14ac:dyDescent="0.2"/>
    <row r="13274" s="166" customFormat="1" x14ac:dyDescent="0.2"/>
    <row r="13275" s="166" customFormat="1" x14ac:dyDescent="0.2"/>
    <row r="13276" s="166" customFormat="1" x14ac:dyDescent="0.2"/>
    <row r="13277" s="166" customFormat="1" x14ac:dyDescent="0.2"/>
    <row r="13278" s="166" customFormat="1" x14ac:dyDescent="0.2"/>
    <row r="13279" s="166" customFormat="1" x14ac:dyDescent="0.2"/>
    <row r="13280" s="166" customFormat="1" x14ac:dyDescent="0.2"/>
    <row r="13281" s="166" customFormat="1" x14ac:dyDescent="0.2"/>
    <row r="13282" s="166" customFormat="1" x14ac:dyDescent="0.2"/>
    <row r="13283" s="166" customFormat="1" x14ac:dyDescent="0.2"/>
    <row r="13284" s="166" customFormat="1" x14ac:dyDescent="0.2"/>
    <row r="13285" s="166" customFormat="1" x14ac:dyDescent="0.2"/>
    <row r="13286" s="166" customFormat="1" x14ac:dyDescent="0.2"/>
    <row r="13287" s="166" customFormat="1" x14ac:dyDescent="0.2"/>
    <row r="13288" s="166" customFormat="1" x14ac:dyDescent="0.2"/>
    <row r="13289" s="166" customFormat="1" x14ac:dyDescent="0.2"/>
    <row r="13290" s="166" customFormat="1" x14ac:dyDescent="0.2"/>
    <row r="13291" s="166" customFormat="1" x14ac:dyDescent="0.2"/>
    <row r="13292" s="166" customFormat="1" x14ac:dyDescent="0.2"/>
    <row r="13293" s="166" customFormat="1" x14ac:dyDescent="0.2"/>
    <row r="13294" s="166" customFormat="1" x14ac:dyDescent="0.2"/>
    <row r="13295" s="166" customFormat="1" x14ac:dyDescent="0.2"/>
    <row r="13296" s="166" customFormat="1" x14ac:dyDescent="0.2"/>
    <row r="13297" s="166" customFormat="1" x14ac:dyDescent="0.2"/>
    <row r="13298" s="166" customFormat="1" x14ac:dyDescent="0.2"/>
    <row r="13299" s="166" customFormat="1" x14ac:dyDescent="0.2"/>
    <row r="13300" s="166" customFormat="1" x14ac:dyDescent="0.2"/>
    <row r="13301" s="166" customFormat="1" x14ac:dyDescent="0.2"/>
    <row r="13302" s="166" customFormat="1" x14ac:dyDescent="0.2"/>
    <row r="13303" s="166" customFormat="1" x14ac:dyDescent="0.2"/>
    <row r="13304" s="166" customFormat="1" x14ac:dyDescent="0.2"/>
    <row r="13305" s="166" customFormat="1" x14ac:dyDescent="0.2"/>
    <row r="13306" s="166" customFormat="1" x14ac:dyDescent="0.2"/>
    <row r="13307" s="166" customFormat="1" x14ac:dyDescent="0.2"/>
    <row r="13308" s="166" customFormat="1" x14ac:dyDescent="0.2"/>
    <row r="13309" s="166" customFormat="1" x14ac:dyDescent="0.2"/>
    <row r="13310" s="166" customFormat="1" x14ac:dyDescent="0.2"/>
    <row r="13311" s="166" customFormat="1" x14ac:dyDescent="0.2"/>
    <row r="13312" s="166" customFormat="1" x14ac:dyDescent="0.2"/>
    <row r="13313" s="166" customFormat="1" x14ac:dyDescent="0.2"/>
    <row r="13314" s="166" customFormat="1" x14ac:dyDescent="0.2"/>
    <row r="13315" s="166" customFormat="1" x14ac:dyDescent="0.2"/>
    <row r="13316" s="166" customFormat="1" x14ac:dyDescent="0.2"/>
    <row r="13317" s="166" customFormat="1" x14ac:dyDescent="0.2"/>
    <row r="13318" s="166" customFormat="1" x14ac:dyDescent="0.2"/>
    <row r="13319" s="166" customFormat="1" x14ac:dyDescent="0.2"/>
    <row r="13320" s="166" customFormat="1" x14ac:dyDescent="0.2"/>
    <row r="13321" s="166" customFormat="1" x14ac:dyDescent="0.2"/>
    <row r="13322" s="166" customFormat="1" x14ac:dyDescent="0.2"/>
    <row r="13323" s="166" customFormat="1" x14ac:dyDescent="0.2"/>
    <row r="13324" s="166" customFormat="1" x14ac:dyDescent="0.2"/>
    <row r="13325" s="166" customFormat="1" x14ac:dyDescent="0.2"/>
    <row r="13326" s="166" customFormat="1" x14ac:dyDescent="0.2"/>
    <row r="13327" s="166" customFormat="1" x14ac:dyDescent="0.2"/>
    <row r="13328" s="166" customFormat="1" x14ac:dyDescent="0.2"/>
    <row r="13329" s="166" customFormat="1" x14ac:dyDescent="0.2"/>
    <row r="13330" s="166" customFormat="1" x14ac:dyDescent="0.2"/>
    <row r="13331" s="166" customFormat="1" x14ac:dyDescent="0.2"/>
    <row r="13332" s="166" customFormat="1" x14ac:dyDescent="0.2"/>
    <row r="13333" s="166" customFormat="1" x14ac:dyDescent="0.2"/>
    <row r="13334" s="166" customFormat="1" x14ac:dyDescent="0.2"/>
    <row r="13335" s="166" customFormat="1" x14ac:dyDescent="0.2"/>
    <row r="13336" s="166" customFormat="1" x14ac:dyDescent="0.2"/>
    <row r="13337" s="166" customFormat="1" x14ac:dyDescent="0.2"/>
    <row r="13338" s="166" customFormat="1" x14ac:dyDescent="0.2"/>
    <row r="13339" s="166" customFormat="1" x14ac:dyDescent="0.2"/>
    <row r="13340" s="166" customFormat="1" x14ac:dyDescent="0.2"/>
    <row r="13341" s="166" customFormat="1" x14ac:dyDescent="0.2"/>
    <row r="13342" s="166" customFormat="1" x14ac:dyDescent="0.2"/>
    <row r="13343" s="166" customFormat="1" x14ac:dyDescent="0.2"/>
    <row r="13344" s="166" customFormat="1" x14ac:dyDescent="0.2"/>
    <row r="13345" s="166" customFormat="1" x14ac:dyDescent="0.2"/>
    <row r="13346" s="166" customFormat="1" x14ac:dyDescent="0.2"/>
    <row r="13347" s="166" customFormat="1" x14ac:dyDescent="0.2"/>
    <row r="13348" s="166" customFormat="1" x14ac:dyDescent="0.2"/>
    <row r="13349" s="166" customFormat="1" x14ac:dyDescent="0.2"/>
    <row r="13350" s="166" customFormat="1" x14ac:dyDescent="0.2"/>
    <row r="13351" s="166" customFormat="1" x14ac:dyDescent="0.2"/>
    <row r="13352" s="166" customFormat="1" x14ac:dyDescent="0.2"/>
    <row r="13353" s="166" customFormat="1" x14ac:dyDescent="0.2"/>
    <row r="13354" s="166" customFormat="1" x14ac:dyDescent="0.2"/>
    <row r="13355" s="166" customFormat="1" x14ac:dyDescent="0.2"/>
    <row r="13356" s="166" customFormat="1" x14ac:dyDescent="0.2"/>
    <row r="13357" s="166" customFormat="1" x14ac:dyDescent="0.2"/>
    <row r="13358" s="166" customFormat="1" x14ac:dyDescent="0.2"/>
    <row r="13359" s="166" customFormat="1" x14ac:dyDescent="0.2"/>
    <row r="13360" s="166" customFormat="1" x14ac:dyDescent="0.2"/>
    <row r="13361" s="166" customFormat="1" x14ac:dyDescent="0.2"/>
    <row r="13362" s="166" customFormat="1" x14ac:dyDescent="0.2"/>
    <row r="13363" s="166" customFormat="1" x14ac:dyDescent="0.2"/>
    <row r="13364" s="166" customFormat="1" x14ac:dyDescent="0.2"/>
    <row r="13365" s="166" customFormat="1" x14ac:dyDescent="0.2"/>
    <row r="13366" s="166" customFormat="1" x14ac:dyDescent="0.2"/>
    <row r="13367" s="166" customFormat="1" x14ac:dyDescent="0.2"/>
    <row r="13368" s="166" customFormat="1" x14ac:dyDescent="0.2"/>
    <row r="13369" s="166" customFormat="1" x14ac:dyDescent="0.2"/>
    <row r="13370" s="166" customFormat="1" x14ac:dyDescent="0.2"/>
    <row r="13371" s="166" customFormat="1" x14ac:dyDescent="0.2"/>
    <row r="13372" s="166" customFormat="1" x14ac:dyDescent="0.2"/>
    <row r="13373" s="166" customFormat="1" x14ac:dyDescent="0.2"/>
    <row r="13374" s="166" customFormat="1" x14ac:dyDescent="0.2"/>
    <row r="13375" s="166" customFormat="1" x14ac:dyDescent="0.2"/>
    <row r="13376" s="166" customFormat="1" x14ac:dyDescent="0.2"/>
    <row r="13377" s="166" customFormat="1" x14ac:dyDescent="0.2"/>
    <row r="13378" s="166" customFormat="1" x14ac:dyDescent="0.2"/>
    <row r="13379" s="166" customFormat="1" x14ac:dyDescent="0.2"/>
    <row r="13380" s="166" customFormat="1" x14ac:dyDescent="0.2"/>
    <row r="13381" s="166" customFormat="1" x14ac:dyDescent="0.2"/>
    <row r="13382" s="166" customFormat="1" x14ac:dyDescent="0.2"/>
    <row r="13383" s="166" customFormat="1" x14ac:dyDescent="0.2"/>
    <row r="13384" s="166" customFormat="1" x14ac:dyDescent="0.2"/>
    <row r="13385" s="166" customFormat="1" x14ac:dyDescent="0.2"/>
    <row r="13386" s="166" customFormat="1" x14ac:dyDescent="0.2"/>
    <row r="13387" s="166" customFormat="1" x14ac:dyDescent="0.2"/>
    <row r="13388" s="166" customFormat="1" x14ac:dyDescent="0.2"/>
    <row r="13389" s="166" customFormat="1" x14ac:dyDescent="0.2"/>
    <row r="13390" s="166" customFormat="1" x14ac:dyDescent="0.2"/>
    <row r="13391" s="166" customFormat="1" x14ac:dyDescent="0.2"/>
    <row r="13392" s="166" customFormat="1" x14ac:dyDescent="0.2"/>
    <row r="13393" s="166" customFormat="1" x14ac:dyDescent="0.2"/>
    <row r="13394" s="166" customFormat="1" x14ac:dyDescent="0.2"/>
    <row r="13395" s="166" customFormat="1" x14ac:dyDescent="0.2"/>
    <row r="13396" s="166" customFormat="1" x14ac:dyDescent="0.2"/>
    <row r="13397" s="166" customFormat="1" x14ac:dyDescent="0.2"/>
    <row r="13398" s="166" customFormat="1" x14ac:dyDescent="0.2"/>
    <row r="13399" s="166" customFormat="1" x14ac:dyDescent="0.2"/>
    <row r="13400" s="166" customFormat="1" x14ac:dyDescent="0.2"/>
    <row r="13401" s="166" customFormat="1" x14ac:dyDescent="0.2"/>
    <row r="13402" s="166" customFormat="1" x14ac:dyDescent="0.2"/>
    <row r="13403" s="166" customFormat="1" x14ac:dyDescent="0.2"/>
    <row r="13404" s="166" customFormat="1" x14ac:dyDescent="0.2"/>
    <row r="13405" s="166" customFormat="1" x14ac:dyDescent="0.2"/>
    <row r="13406" s="166" customFormat="1" x14ac:dyDescent="0.2"/>
    <row r="13407" s="166" customFormat="1" x14ac:dyDescent="0.2"/>
    <row r="13408" s="166" customFormat="1" x14ac:dyDescent="0.2"/>
    <row r="13409" s="166" customFormat="1" x14ac:dyDescent="0.2"/>
    <row r="13410" s="166" customFormat="1" x14ac:dyDescent="0.2"/>
    <row r="13411" s="166" customFormat="1" x14ac:dyDescent="0.2"/>
    <row r="13412" s="166" customFormat="1" x14ac:dyDescent="0.2"/>
    <row r="13413" s="166" customFormat="1" x14ac:dyDescent="0.2"/>
    <row r="13414" s="166" customFormat="1" x14ac:dyDescent="0.2"/>
    <row r="13415" s="166" customFormat="1" x14ac:dyDescent="0.2"/>
    <row r="13416" s="166" customFormat="1" x14ac:dyDescent="0.2"/>
    <row r="13417" s="166" customFormat="1" x14ac:dyDescent="0.2"/>
    <row r="13418" s="166" customFormat="1" x14ac:dyDescent="0.2"/>
    <row r="13419" s="166" customFormat="1" x14ac:dyDescent="0.2"/>
    <row r="13420" s="166" customFormat="1" x14ac:dyDescent="0.2"/>
    <row r="13421" s="166" customFormat="1" x14ac:dyDescent="0.2"/>
    <row r="13422" s="166" customFormat="1" x14ac:dyDescent="0.2"/>
    <row r="13423" s="166" customFormat="1" x14ac:dyDescent="0.2"/>
    <row r="13424" s="166" customFormat="1" x14ac:dyDescent="0.2"/>
    <row r="13425" s="166" customFormat="1" x14ac:dyDescent="0.2"/>
    <row r="13426" s="166" customFormat="1" x14ac:dyDescent="0.2"/>
    <row r="13427" s="166" customFormat="1" x14ac:dyDescent="0.2"/>
    <row r="13428" s="166" customFormat="1" x14ac:dyDescent="0.2"/>
    <row r="13429" s="166" customFormat="1" x14ac:dyDescent="0.2"/>
    <row r="13430" s="166" customFormat="1" x14ac:dyDescent="0.2"/>
    <row r="13431" s="166" customFormat="1" x14ac:dyDescent="0.2"/>
    <row r="13432" s="166" customFormat="1" x14ac:dyDescent="0.2"/>
    <row r="13433" s="166" customFormat="1" x14ac:dyDescent="0.2"/>
    <row r="13434" s="166" customFormat="1" x14ac:dyDescent="0.2"/>
    <row r="13435" s="166" customFormat="1" x14ac:dyDescent="0.2"/>
    <row r="13436" s="166" customFormat="1" x14ac:dyDescent="0.2"/>
    <row r="13437" s="166" customFormat="1" x14ac:dyDescent="0.2"/>
    <row r="13438" s="166" customFormat="1" x14ac:dyDescent="0.2"/>
    <row r="13439" s="166" customFormat="1" x14ac:dyDescent="0.2"/>
    <row r="13440" s="166" customFormat="1" x14ac:dyDescent="0.2"/>
    <row r="13441" s="166" customFormat="1" x14ac:dyDescent="0.2"/>
    <row r="13442" s="166" customFormat="1" x14ac:dyDescent="0.2"/>
    <row r="13443" s="166" customFormat="1" x14ac:dyDescent="0.2"/>
    <row r="13444" s="166" customFormat="1" x14ac:dyDescent="0.2"/>
    <row r="13445" s="166" customFormat="1" x14ac:dyDescent="0.2"/>
    <row r="13446" s="166" customFormat="1" x14ac:dyDescent="0.2"/>
    <row r="13447" s="166" customFormat="1" x14ac:dyDescent="0.2"/>
    <row r="13448" s="166" customFormat="1" x14ac:dyDescent="0.2"/>
    <row r="13449" s="166" customFormat="1" x14ac:dyDescent="0.2"/>
    <row r="13450" s="166" customFormat="1" x14ac:dyDescent="0.2"/>
    <row r="13451" s="166" customFormat="1" x14ac:dyDescent="0.2"/>
    <row r="13452" s="166" customFormat="1" x14ac:dyDescent="0.2"/>
    <row r="13453" s="166" customFormat="1" x14ac:dyDescent="0.2"/>
    <row r="13454" s="166" customFormat="1" x14ac:dyDescent="0.2"/>
    <row r="13455" s="166" customFormat="1" x14ac:dyDescent="0.2"/>
    <row r="13456" s="166" customFormat="1" x14ac:dyDescent="0.2"/>
    <row r="13457" s="166" customFormat="1" x14ac:dyDescent="0.2"/>
    <row r="13458" s="166" customFormat="1" x14ac:dyDescent="0.2"/>
    <row r="13459" s="166" customFormat="1" x14ac:dyDescent="0.2"/>
    <row r="13460" s="166" customFormat="1" x14ac:dyDescent="0.2"/>
    <row r="13461" s="166" customFormat="1" x14ac:dyDescent="0.2"/>
    <row r="13462" s="166" customFormat="1" x14ac:dyDescent="0.2"/>
    <row r="13463" s="166" customFormat="1" x14ac:dyDescent="0.2"/>
    <row r="13464" s="166" customFormat="1" x14ac:dyDescent="0.2"/>
    <row r="13465" s="166" customFormat="1" x14ac:dyDescent="0.2"/>
    <row r="13466" s="166" customFormat="1" x14ac:dyDescent="0.2"/>
    <row r="13467" s="166" customFormat="1" x14ac:dyDescent="0.2"/>
    <row r="13468" s="166" customFormat="1" x14ac:dyDescent="0.2"/>
    <row r="13469" s="166" customFormat="1" x14ac:dyDescent="0.2"/>
    <row r="13470" s="166" customFormat="1" x14ac:dyDescent="0.2"/>
    <row r="13471" s="166" customFormat="1" x14ac:dyDescent="0.2"/>
    <row r="13472" s="166" customFormat="1" x14ac:dyDescent="0.2"/>
    <row r="13473" s="166" customFormat="1" x14ac:dyDescent="0.2"/>
    <row r="13474" s="166" customFormat="1" x14ac:dyDescent="0.2"/>
    <row r="13475" s="166" customFormat="1" x14ac:dyDescent="0.2"/>
    <row r="13476" s="166" customFormat="1" x14ac:dyDescent="0.2"/>
    <row r="13477" s="166" customFormat="1" x14ac:dyDescent="0.2"/>
    <row r="13478" s="166" customFormat="1" x14ac:dyDescent="0.2"/>
    <row r="13479" s="166" customFormat="1" x14ac:dyDescent="0.2"/>
    <row r="13480" s="166" customFormat="1" x14ac:dyDescent="0.2"/>
    <row r="13481" s="166" customFormat="1" x14ac:dyDescent="0.2"/>
    <row r="13482" s="166" customFormat="1" x14ac:dyDescent="0.2"/>
    <row r="13483" s="166" customFormat="1" x14ac:dyDescent="0.2"/>
    <row r="13484" s="166" customFormat="1" x14ac:dyDescent="0.2"/>
    <row r="13485" s="166" customFormat="1" x14ac:dyDescent="0.2"/>
    <row r="13486" s="166" customFormat="1" x14ac:dyDescent="0.2"/>
    <row r="13487" s="166" customFormat="1" x14ac:dyDescent="0.2"/>
    <row r="13488" s="166" customFormat="1" x14ac:dyDescent="0.2"/>
    <row r="13489" s="166" customFormat="1" x14ac:dyDescent="0.2"/>
    <row r="13490" s="166" customFormat="1" x14ac:dyDescent="0.2"/>
    <row r="13491" s="166" customFormat="1" x14ac:dyDescent="0.2"/>
    <row r="13492" s="166" customFormat="1" x14ac:dyDescent="0.2"/>
    <row r="13493" s="166" customFormat="1" x14ac:dyDescent="0.2"/>
    <row r="13494" s="166" customFormat="1" x14ac:dyDescent="0.2"/>
    <row r="13495" s="166" customFormat="1" x14ac:dyDescent="0.2"/>
    <row r="13496" s="166" customFormat="1" x14ac:dyDescent="0.2"/>
    <row r="13497" s="166" customFormat="1" x14ac:dyDescent="0.2"/>
    <row r="13498" s="166" customFormat="1" x14ac:dyDescent="0.2"/>
    <row r="13499" s="166" customFormat="1" x14ac:dyDescent="0.2"/>
    <row r="13500" s="166" customFormat="1" x14ac:dyDescent="0.2"/>
    <row r="13501" s="166" customFormat="1" x14ac:dyDescent="0.2"/>
    <row r="13502" s="166" customFormat="1" x14ac:dyDescent="0.2"/>
    <row r="13503" s="166" customFormat="1" x14ac:dyDescent="0.2"/>
    <row r="13504" s="166" customFormat="1" x14ac:dyDescent="0.2"/>
    <row r="13505" s="166" customFormat="1" x14ac:dyDescent="0.2"/>
    <row r="13506" s="166" customFormat="1" x14ac:dyDescent="0.2"/>
    <row r="13507" s="166" customFormat="1" x14ac:dyDescent="0.2"/>
    <row r="13508" s="166" customFormat="1" x14ac:dyDescent="0.2"/>
    <row r="13509" s="166" customFormat="1" x14ac:dyDescent="0.2"/>
    <row r="13510" s="166" customFormat="1" x14ac:dyDescent="0.2"/>
    <row r="13511" s="166" customFormat="1" x14ac:dyDescent="0.2"/>
    <row r="13512" s="166" customFormat="1" x14ac:dyDescent="0.2"/>
    <row r="13513" s="166" customFormat="1" x14ac:dyDescent="0.2"/>
    <row r="13514" s="166" customFormat="1" x14ac:dyDescent="0.2"/>
    <row r="13515" s="166" customFormat="1" x14ac:dyDescent="0.2"/>
    <row r="13516" s="166" customFormat="1" x14ac:dyDescent="0.2"/>
    <row r="13517" s="166" customFormat="1" x14ac:dyDescent="0.2"/>
    <row r="13518" s="166" customFormat="1" x14ac:dyDescent="0.2"/>
    <row r="13519" s="166" customFormat="1" x14ac:dyDescent="0.2"/>
    <row r="13520" s="166" customFormat="1" x14ac:dyDescent="0.2"/>
    <row r="13521" s="166" customFormat="1" x14ac:dyDescent="0.2"/>
    <row r="13522" s="166" customFormat="1" x14ac:dyDescent="0.2"/>
    <row r="13523" s="166" customFormat="1" x14ac:dyDescent="0.2"/>
    <row r="13524" s="166" customFormat="1" x14ac:dyDescent="0.2"/>
    <row r="13525" s="166" customFormat="1" x14ac:dyDescent="0.2"/>
    <row r="13526" s="166" customFormat="1" x14ac:dyDescent="0.2"/>
    <row r="13527" s="166" customFormat="1" x14ac:dyDescent="0.2"/>
    <row r="13528" s="166" customFormat="1" x14ac:dyDescent="0.2"/>
    <row r="13529" s="166" customFormat="1" x14ac:dyDescent="0.2"/>
    <row r="13530" s="166" customFormat="1" x14ac:dyDescent="0.2"/>
    <row r="13531" s="166" customFormat="1" x14ac:dyDescent="0.2"/>
    <row r="13532" s="166" customFormat="1" x14ac:dyDescent="0.2"/>
    <row r="13533" s="166" customFormat="1" x14ac:dyDescent="0.2"/>
    <row r="13534" s="166" customFormat="1" x14ac:dyDescent="0.2"/>
    <row r="13535" s="166" customFormat="1" x14ac:dyDescent="0.2"/>
    <row r="13536" s="166" customFormat="1" x14ac:dyDescent="0.2"/>
    <row r="13537" s="166" customFormat="1" x14ac:dyDescent="0.2"/>
    <row r="13538" s="166" customFormat="1" x14ac:dyDescent="0.2"/>
    <row r="13539" s="166" customFormat="1" x14ac:dyDescent="0.2"/>
    <row r="13540" s="166" customFormat="1" x14ac:dyDescent="0.2"/>
    <row r="13541" s="166" customFormat="1" x14ac:dyDescent="0.2"/>
    <row r="13542" s="166" customFormat="1" x14ac:dyDescent="0.2"/>
    <row r="13543" s="166" customFormat="1" x14ac:dyDescent="0.2"/>
    <row r="13544" s="166" customFormat="1" x14ac:dyDescent="0.2"/>
    <row r="13545" s="166" customFormat="1" x14ac:dyDescent="0.2"/>
    <row r="13546" s="166" customFormat="1" x14ac:dyDescent="0.2"/>
    <row r="13547" s="166" customFormat="1" x14ac:dyDescent="0.2"/>
    <row r="13548" s="166" customFormat="1" x14ac:dyDescent="0.2"/>
    <row r="13549" s="166" customFormat="1" x14ac:dyDescent="0.2"/>
    <row r="13550" s="166" customFormat="1" x14ac:dyDescent="0.2"/>
    <row r="13551" s="166" customFormat="1" x14ac:dyDescent="0.2"/>
    <row r="13552" s="166" customFormat="1" x14ac:dyDescent="0.2"/>
    <row r="13553" s="166" customFormat="1" x14ac:dyDescent="0.2"/>
    <row r="13554" s="166" customFormat="1" x14ac:dyDescent="0.2"/>
    <row r="13555" s="166" customFormat="1" x14ac:dyDescent="0.2"/>
    <row r="13556" s="166" customFormat="1" x14ac:dyDescent="0.2"/>
    <row r="13557" s="166" customFormat="1" x14ac:dyDescent="0.2"/>
    <row r="13558" s="166" customFormat="1" x14ac:dyDescent="0.2"/>
    <row r="13559" s="166" customFormat="1" x14ac:dyDescent="0.2"/>
    <row r="13560" s="166" customFormat="1" x14ac:dyDescent="0.2"/>
    <row r="13561" s="166" customFormat="1" x14ac:dyDescent="0.2"/>
    <row r="13562" s="166" customFormat="1" x14ac:dyDescent="0.2"/>
    <row r="13563" s="166" customFormat="1" x14ac:dyDescent="0.2"/>
    <row r="13564" s="166" customFormat="1" x14ac:dyDescent="0.2"/>
    <row r="13565" s="166" customFormat="1" x14ac:dyDescent="0.2"/>
    <row r="13566" s="166" customFormat="1" x14ac:dyDescent="0.2"/>
    <row r="13567" s="166" customFormat="1" x14ac:dyDescent="0.2"/>
    <row r="13568" s="166" customFormat="1" x14ac:dyDescent="0.2"/>
    <row r="13569" s="166" customFormat="1" x14ac:dyDescent="0.2"/>
    <row r="13570" s="166" customFormat="1" x14ac:dyDescent="0.2"/>
    <row r="13571" s="166" customFormat="1" x14ac:dyDescent="0.2"/>
    <row r="13572" s="166" customFormat="1" x14ac:dyDescent="0.2"/>
    <row r="13573" s="166" customFormat="1" x14ac:dyDescent="0.2"/>
    <row r="13574" s="166" customFormat="1" x14ac:dyDescent="0.2"/>
    <row r="13575" s="166" customFormat="1" x14ac:dyDescent="0.2"/>
    <row r="13576" s="166" customFormat="1" x14ac:dyDescent="0.2"/>
    <row r="13577" s="166" customFormat="1" x14ac:dyDescent="0.2"/>
    <row r="13578" s="166" customFormat="1" x14ac:dyDescent="0.2"/>
    <row r="13579" s="166" customFormat="1" x14ac:dyDescent="0.2"/>
    <row r="13580" s="166" customFormat="1" x14ac:dyDescent="0.2"/>
    <row r="13581" s="166" customFormat="1" x14ac:dyDescent="0.2"/>
    <row r="13582" s="166" customFormat="1" x14ac:dyDescent="0.2"/>
    <row r="13583" s="166" customFormat="1" x14ac:dyDescent="0.2"/>
    <row r="13584" s="166" customFormat="1" x14ac:dyDescent="0.2"/>
    <row r="13585" s="166" customFormat="1" x14ac:dyDescent="0.2"/>
    <row r="13586" s="166" customFormat="1" x14ac:dyDescent="0.2"/>
    <row r="13587" s="166" customFormat="1" x14ac:dyDescent="0.2"/>
    <row r="13588" s="166" customFormat="1" x14ac:dyDescent="0.2"/>
    <row r="13589" s="166" customFormat="1" x14ac:dyDescent="0.2"/>
    <row r="13590" s="166" customFormat="1" x14ac:dyDescent="0.2"/>
    <row r="13591" s="166" customFormat="1" x14ac:dyDescent="0.2"/>
    <row r="13592" s="166" customFormat="1" x14ac:dyDescent="0.2"/>
    <row r="13593" s="166" customFormat="1" x14ac:dyDescent="0.2"/>
    <row r="13594" s="166" customFormat="1" x14ac:dyDescent="0.2"/>
    <row r="13595" s="166" customFormat="1" x14ac:dyDescent="0.2"/>
    <row r="13596" s="166" customFormat="1" x14ac:dyDescent="0.2"/>
    <row r="13597" s="166" customFormat="1" x14ac:dyDescent="0.2"/>
    <row r="13598" s="166" customFormat="1" x14ac:dyDescent="0.2"/>
    <row r="13599" s="166" customFormat="1" x14ac:dyDescent="0.2"/>
    <row r="13600" s="166" customFormat="1" x14ac:dyDescent="0.2"/>
    <row r="13601" s="166" customFormat="1" x14ac:dyDescent="0.2"/>
    <row r="13602" s="166" customFormat="1" x14ac:dyDescent="0.2"/>
    <row r="13603" s="166" customFormat="1" x14ac:dyDescent="0.2"/>
    <row r="13604" s="166" customFormat="1" x14ac:dyDescent="0.2"/>
    <row r="13605" s="166" customFormat="1" x14ac:dyDescent="0.2"/>
    <row r="13606" s="166" customFormat="1" x14ac:dyDescent="0.2"/>
    <row r="13607" s="166" customFormat="1" x14ac:dyDescent="0.2"/>
    <row r="13608" s="166" customFormat="1" x14ac:dyDescent="0.2"/>
    <row r="13609" s="166" customFormat="1" x14ac:dyDescent="0.2"/>
    <row r="13610" s="166" customFormat="1" x14ac:dyDescent="0.2"/>
    <row r="13611" s="166" customFormat="1" x14ac:dyDescent="0.2"/>
    <row r="13612" s="166" customFormat="1" x14ac:dyDescent="0.2"/>
    <row r="13613" s="166" customFormat="1" x14ac:dyDescent="0.2"/>
    <row r="13614" s="166" customFormat="1" x14ac:dyDescent="0.2"/>
    <row r="13615" s="166" customFormat="1" x14ac:dyDescent="0.2"/>
    <row r="13616" s="166" customFormat="1" x14ac:dyDescent="0.2"/>
    <row r="13617" s="166" customFormat="1" x14ac:dyDescent="0.2"/>
    <row r="13618" s="166" customFormat="1" x14ac:dyDescent="0.2"/>
    <row r="13619" s="166" customFormat="1" x14ac:dyDescent="0.2"/>
    <row r="13620" s="166" customFormat="1" x14ac:dyDescent="0.2"/>
    <row r="13621" s="166" customFormat="1" x14ac:dyDescent="0.2"/>
    <row r="13622" s="166" customFormat="1" x14ac:dyDescent="0.2"/>
    <row r="13623" s="166" customFormat="1" x14ac:dyDescent="0.2"/>
    <row r="13624" s="166" customFormat="1" x14ac:dyDescent="0.2"/>
    <row r="13625" s="166" customFormat="1" x14ac:dyDescent="0.2"/>
    <row r="13626" s="166" customFormat="1" x14ac:dyDescent="0.2"/>
    <row r="13627" s="166" customFormat="1" x14ac:dyDescent="0.2"/>
    <row r="13628" s="166" customFormat="1" x14ac:dyDescent="0.2"/>
    <row r="13629" s="166" customFormat="1" x14ac:dyDescent="0.2"/>
    <row r="13630" s="166" customFormat="1" x14ac:dyDescent="0.2"/>
    <row r="13631" s="166" customFormat="1" x14ac:dyDescent="0.2"/>
    <row r="13632" s="166" customFormat="1" x14ac:dyDescent="0.2"/>
    <row r="13633" s="166" customFormat="1" x14ac:dyDescent="0.2"/>
    <row r="13634" s="166" customFormat="1" x14ac:dyDescent="0.2"/>
    <row r="13635" s="166" customFormat="1" x14ac:dyDescent="0.2"/>
    <row r="13636" s="166" customFormat="1" x14ac:dyDescent="0.2"/>
    <row r="13637" s="166" customFormat="1" x14ac:dyDescent="0.2"/>
    <row r="13638" s="166" customFormat="1" x14ac:dyDescent="0.2"/>
    <row r="13639" s="166" customFormat="1" x14ac:dyDescent="0.2"/>
    <row r="13640" s="166" customFormat="1" x14ac:dyDescent="0.2"/>
    <row r="13641" s="166" customFormat="1" x14ac:dyDescent="0.2"/>
    <row r="13642" s="166" customFormat="1" x14ac:dyDescent="0.2"/>
    <row r="13643" s="166" customFormat="1" x14ac:dyDescent="0.2"/>
    <row r="13644" s="166" customFormat="1" x14ac:dyDescent="0.2"/>
    <row r="13645" s="166" customFormat="1" x14ac:dyDescent="0.2"/>
    <row r="13646" s="166" customFormat="1" x14ac:dyDescent="0.2"/>
    <row r="13647" s="166" customFormat="1" x14ac:dyDescent="0.2"/>
    <row r="13648" s="166" customFormat="1" x14ac:dyDescent="0.2"/>
    <row r="13649" s="166" customFormat="1" x14ac:dyDescent="0.2"/>
    <row r="13650" s="166" customFormat="1" x14ac:dyDescent="0.2"/>
    <row r="13651" s="166" customFormat="1" x14ac:dyDescent="0.2"/>
    <row r="13652" s="166" customFormat="1" x14ac:dyDescent="0.2"/>
    <row r="13653" s="166" customFormat="1" x14ac:dyDescent="0.2"/>
    <row r="13654" s="166" customFormat="1" x14ac:dyDescent="0.2"/>
    <row r="13655" s="166" customFormat="1" x14ac:dyDescent="0.2"/>
    <row r="13656" s="166" customFormat="1" x14ac:dyDescent="0.2"/>
    <row r="13657" s="166" customFormat="1" x14ac:dyDescent="0.2"/>
    <row r="13658" s="166" customFormat="1" x14ac:dyDescent="0.2"/>
    <row r="13659" s="166" customFormat="1" x14ac:dyDescent="0.2"/>
    <row r="13660" s="166" customFormat="1" x14ac:dyDescent="0.2"/>
    <row r="13661" s="166" customFormat="1" x14ac:dyDescent="0.2"/>
    <row r="13662" s="166" customFormat="1" x14ac:dyDescent="0.2"/>
    <row r="13663" s="166" customFormat="1" x14ac:dyDescent="0.2"/>
    <row r="13664" s="166" customFormat="1" x14ac:dyDescent="0.2"/>
    <row r="13665" s="166" customFormat="1" x14ac:dyDescent="0.2"/>
    <row r="13666" s="166" customFormat="1" x14ac:dyDescent="0.2"/>
    <row r="13667" s="166" customFormat="1" x14ac:dyDescent="0.2"/>
    <row r="13668" s="166" customFormat="1" x14ac:dyDescent="0.2"/>
    <row r="13669" s="166" customFormat="1" x14ac:dyDescent="0.2"/>
    <row r="13670" s="166" customFormat="1" x14ac:dyDescent="0.2"/>
    <row r="13671" s="166" customFormat="1" x14ac:dyDescent="0.2"/>
    <row r="13672" s="166" customFormat="1" x14ac:dyDescent="0.2"/>
    <row r="13673" s="166" customFormat="1" x14ac:dyDescent="0.2"/>
    <row r="13674" s="166" customFormat="1" x14ac:dyDescent="0.2"/>
    <row r="13675" s="166" customFormat="1" x14ac:dyDescent="0.2"/>
    <row r="13676" s="166" customFormat="1" x14ac:dyDescent="0.2"/>
    <row r="13677" s="166" customFormat="1" x14ac:dyDescent="0.2"/>
    <row r="13678" s="166" customFormat="1" x14ac:dyDescent="0.2"/>
    <row r="13679" s="166" customFormat="1" x14ac:dyDescent="0.2"/>
    <row r="13680" s="166" customFormat="1" x14ac:dyDescent="0.2"/>
    <row r="13681" s="166" customFormat="1" x14ac:dyDescent="0.2"/>
    <row r="13682" s="166" customFormat="1" x14ac:dyDescent="0.2"/>
    <row r="13683" s="166" customFormat="1" x14ac:dyDescent="0.2"/>
    <row r="13684" s="166" customFormat="1" x14ac:dyDescent="0.2"/>
    <row r="13685" s="166" customFormat="1" x14ac:dyDescent="0.2"/>
    <row r="13686" s="166" customFormat="1" x14ac:dyDescent="0.2"/>
    <row r="13687" s="166" customFormat="1" x14ac:dyDescent="0.2"/>
    <row r="13688" s="166" customFormat="1" x14ac:dyDescent="0.2"/>
    <row r="13689" s="166" customFormat="1" x14ac:dyDescent="0.2"/>
    <row r="13690" s="166" customFormat="1" x14ac:dyDescent="0.2"/>
    <row r="13691" s="166" customFormat="1" x14ac:dyDescent="0.2"/>
    <row r="13692" s="166" customFormat="1" x14ac:dyDescent="0.2"/>
    <row r="13693" s="166" customFormat="1" x14ac:dyDescent="0.2"/>
    <row r="13694" s="166" customFormat="1" x14ac:dyDescent="0.2"/>
    <row r="13695" s="166" customFormat="1" x14ac:dyDescent="0.2"/>
    <row r="13696" s="166" customFormat="1" x14ac:dyDescent="0.2"/>
    <row r="13697" s="166" customFormat="1" x14ac:dyDescent="0.2"/>
    <row r="13698" s="166" customFormat="1" x14ac:dyDescent="0.2"/>
    <row r="13699" s="166" customFormat="1" x14ac:dyDescent="0.2"/>
    <row r="13700" s="166" customFormat="1" x14ac:dyDescent="0.2"/>
    <row r="13701" s="166" customFormat="1" x14ac:dyDescent="0.2"/>
    <row r="13702" s="166" customFormat="1" x14ac:dyDescent="0.2"/>
    <row r="13703" s="166" customFormat="1" x14ac:dyDescent="0.2"/>
    <row r="13704" s="166" customFormat="1" x14ac:dyDescent="0.2"/>
    <row r="13705" s="166" customFormat="1" x14ac:dyDescent="0.2"/>
    <row r="13706" s="166" customFormat="1" x14ac:dyDescent="0.2"/>
    <row r="13707" s="166" customFormat="1" x14ac:dyDescent="0.2"/>
    <row r="13708" s="166" customFormat="1" x14ac:dyDescent="0.2"/>
    <row r="13709" s="166" customFormat="1" x14ac:dyDescent="0.2"/>
    <row r="13710" s="166" customFormat="1" x14ac:dyDescent="0.2"/>
    <row r="13711" s="166" customFormat="1" x14ac:dyDescent="0.2"/>
    <row r="13712" s="166" customFormat="1" x14ac:dyDescent="0.2"/>
    <row r="13713" s="166" customFormat="1" x14ac:dyDescent="0.2"/>
    <row r="13714" s="166" customFormat="1" x14ac:dyDescent="0.2"/>
    <row r="13715" s="166" customFormat="1" x14ac:dyDescent="0.2"/>
    <row r="13716" s="166" customFormat="1" x14ac:dyDescent="0.2"/>
    <row r="13717" s="166" customFormat="1" x14ac:dyDescent="0.2"/>
    <row r="13718" s="166" customFormat="1" x14ac:dyDescent="0.2"/>
    <row r="13719" s="166" customFormat="1" x14ac:dyDescent="0.2"/>
    <row r="13720" s="166" customFormat="1" x14ac:dyDescent="0.2"/>
    <row r="13721" s="166" customFormat="1" x14ac:dyDescent="0.2"/>
    <row r="13722" s="166" customFormat="1" x14ac:dyDescent="0.2"/>
    <row r="13723" s="166" customFormat="1" x14ac:dyDescent="0.2"/>
    <row r="13724" s="166" customFormat="1" x14ac:dyDescent="0.2"/>
    <row r="13725" s="166" customFormat="1" x14ac:dyDescent="0.2"/>
    <row r="13726" s="166" customFormat="1" x14ac:dyDescent="0.2"/>
    <row r="13727" s="166" customFormat="1" x14ac:dyDescent="0.2"/>
    <row r="13728" s="166" customFormat="1" x14ac:dyDescent="0.2"/>
    <row r="13729" s="166" customFormat="1" x14ac:dyDescent="0.2"/>
    <row r="13730" s="166" customFormat="1" x14ac:dyDescent="0.2"/>
    <row r="13731" s="166" customFormat="1" x14ac:dyDescent="0.2"/>
    <row r="13732" s="166" customFormat="1" x14ac:dyDescent="0.2"/>
    <row r="13733" s="166" customFormat="1" x14ac:dyDescent="0.2"/>
    <row r="13734" s="166" customFormat="1" x14ac:dyDescent="0.2"/>
    <row r="13735" s="166" customFormat="1" x14ac:dyDescent="0.2"/>
    <row r="13736" s="166" customFormat="1" x14ac:dyDescent="0.2"/>
    <row r="13737" s="166" customFormat="1" x14ac:dyDescent="0.2"/>
    <row r="13738" s="166" customFormat="1" x14ac:dyDescent="0.2"/>
    <row r="13739" s="166" customFormat="1" x14ac:dyDescent="0.2"/>
    <row r="13740" s="166" customFormat="1" x14ac:dyDescent="0.2"/>
    <row r="13741" s="166" customFormat="1" x14ac:dyDescent="0.2"/>
    <row r="13742" s="166" customFormat="1" x14ac:dyDescent="0.2"/>
    <row r="13743" s="166" customFormat="1" x14ac:dyDescent="0.2"/>
    <row r="13744" s="166" customFormat="1" x14ac:dyDescent="0.2"/>
    <row r="13745" s="166" customFormat="1" x14ac:dyDescent="0.2"/>
    <row r="13746" s="166" customFormat="1" x14ac:dyDescent="0.2"/>
    <row r="13747" s="166" customFormat="1" x14ac:dyDescent="0.2"/>
    <row r="13748" s="166" customFormat="1" x14ac:dyDescent="0.2"/>
    <row r="13749" s="166" customFormat="1" x14ac:dyDescent="0.2"/>
    <row r="13750" s="166" customFormat="1" x14ac:dyDescent="0.2"/>
    <row r="13751" s="166" customFormat="1" x14ac:dyDescent="0.2"/>
    <row r="13752" s="166" customFormat="1" x14ac:dyDescent="0.2"/>
    <row r="13753" s="166" customFormat="1" x14ac:dyDescent="0.2"/>
    <row r="13754" s="166" customFormat="1" x14ac:dyDescent="0.2"/>
    <row r="13755" s="166" customFormat="1" x14ac:dyDescent="0.2"/>
    <row r="13756" s="166" customFormat="1" x14ac:dyDescent="0.2"/>
    <row r="13757" s="166" customFormat="1" x14ac:dyDescent="0.2"/>
    <row r="13758" s="166" customFormat="1" x14ac:dyDescent="0.2"/>
    <row r="13759" s="166" customFormat="1" x14ac:dyDescent="0.2"/>
    <row r="13760" s="166" customFormat="1" x14ac:dyDescent="0.2"/>
    <row r="13761" s="166" customFormat="1" x14ac:dyDescent="0.2"/>
    <row r="13762" s="166" customFormat="1" x14ac:dyDescent="0.2"/>
    <row r="13763" s="166" customFormat="1" x14ac:dyDescent="0.2"/>
    <row r="13764" s="166" customFormat="1" x14ac:dyDescent="0.2"/>
    <row r="13765" s="166" customFormat="1" x14ac:dyDescent="0.2"/>
    <row r="13766" s="166" customFormat="1" x14ac:dyDescent="0.2"/>
    <row r="13767" s="166" customFormat="1" x14ac:dyDescent="0.2"/>
    <row r="13768" s="166" customFormat="1" x14ac:dyDescent="0.2"/>
    <row r="13769" s="166" customFormat="1" x14ac:dyDescent="0.2"/>
    <row r="13770" s="166" customFormat="1" x14ac:dyDescent="0.2"/>
    <row r="13771" s="166" customFormat="1" x14ac:dyDescent="0.2"/>
    <row r="13772" s="166" customFormat="1" x14ac:dyDescent="0.2"/>
    <row r="13773" s="166" customFormat="1" x14ac:dyDescent="0.2"/>
    <row r="13774" s="166" customFormat="1" x14ac:dyDescent="0.2"/>
    <row r="13775" s="166" customFormat="1" x14ac:dyDescent="0.2"/>
    <row r="13776" s="166" customFormat="1" x14ac:dyDescent="0.2"/>
    <row r="13777" s="166" customFormat="1" x14ac:dyDescent="0.2"/>
    <row r="13778" s="166" customFormat="1" x14ac:dyDescent="0.2"/>
    <row r="13779" s="166" customFormat="1" x14ac:dyDescent="0.2"/>
    <row r="13780" s="166" customFormat="1" x14ac:dyDescent="0.2"/>
    <row r="13781" s="166" customFormat="1" x14ac:dyDescent="0.2"/>
    <row r="13782" s="166" customFormat="1" x14ac:dyDescent="0.2"/>
    <row r="13783" s="166" customFormat="1" x14ac:dyDescent="0.2"/>
    <row r="13784" s="166" customFormat="1" x14ac:dyDescent="0.2"/>
    <row r="13785" s="166" customFormat="1" x14ac:dyDescent="0.2"/>
    <row r="13786" s="166" customFormat="1" x14ac:dyDescent="0.2"/>
    <row r="13787" s="166" customFormat="1" x14ac:dyDescent="0.2"/>
    <row r="13788" s="166" customFormat="1" x14ac:dyDescent="0.2"/>
    <row r="13789" s="166" customFormat="1" x14ac:dyDescent="0.2"/>
    <row r="13790" s="166" customFormat="1" x14ac:dyDescent="0.2"/>
    <row r="13791" s="166" customFormat="1" x14ac:dyDescent="0.2"/>
    <row r="13792" s="166" customFormat="1" x14ac:dyDescent="0.2"/>
    <row r="13793" s="166" customFormat="1" x14ac:dyDescent="0.2"/>
    <row r="13794" s="166" customFormat="1" x14ac:dyDescent="0.2"/>
    <row r="13795" s="166" customFormat="1" x14ac:dyDescent="0.2"/>
    <row r="13796" s="166" customFormat="1" x14ac:dyDescent="0.2"/>
    <row r="13797" s="166" customFormat="1" x14ac:dyDescent="0.2"/>
    <row r="13798" s="166" customFormat="1" x14ac:dyDescent="0.2"/>
    <row r="13799" s="166" customFormat="1" x14ac:dyDescent="0.2"/>
    <row r="13800" s="166" customFormat="1" x14ac:dyDescent="0.2"/>
    <row r="13801" s="166" customFormat="1" x14ac:dyDescent="0.2"/>
    <row r="13802" s="166" customFormat="1" x14ac:dyDescent="0.2"/>
    <row r="13803" s="166" customFormat="1" x14ac:dyDescent="0.2"/>
    <row r="13804" s="166" customFormat="1" x14ac:dyDescent="0.2"/>
    <row r="13805" s="166" customFormat="1" x14ac:dyDescent="0.2"/>
    <row r="13806" s="166" customFormat="1" x14ac:dyDescent="0.2"/>
    <row r="13807" s="166" customFormat="1" x14ac:dyDescent="0.2"/>
    <row r="13808" s="166" customFormat="1" x14ac:dyDescent="0.2"/>
    <row r="13809" s="166" customFormat="1" x14ac:dyDescent="0.2"/>
    <row r="13810" s="166" customFormat="1" x14ac:dyDescent="0.2"/>
    <row r="13811" s="166" customFormat="1" x14ac:dyDescent="0.2"/>
    <row r="13812" s="166" customFormat="1" x14ac:dyDescent="0.2"/>
    <row r="13813" s="166" customFormat="1" x14ac:dyDescent="0.2"/>
    <row r="13814" s="166" customFormat="1" x14ac:dyDescent="0.2"/>
    <row r="13815" s="166" customFormat="1" x14ac:dyDescent="0.2"/>
    <row r="13816" s="166" customFormat="1" x14ac:dyDescent="0.2"/>
    <row r="13817" s="166" customFormat="1" x14ac:dyDescent="0.2"/>
    <row r="13818" s="166" customFormat="1" x14ac:dyDescent="0.2"/>
    <row r="13819" s="166" customFormat="1" x14ac:dyDescent="0.2"/>
    <row r="13820" s="166" customFormat="1" x14ac:dyDescent="0.2"/>
    <row r="13821" s="166" customFormat="1" x14ac:dyDescent="0.2"/>
    <row r="13822" s="166" customFormat="1" x14ac:dyDescent="0.2"/>
    <row r="13823" s="166" customFormat="1" x14ac:dyDescent="0.2"/>
    <row r="13824" s="166" customFormat="1" x14ac:dyDescent="0.2"/>
    <row r="13825" s="166" customFormat="1" x14ac:dyDescent="0.2"/>
    <row r="13826" s="166" customFormat="1" x14ac:dyDescent="0.2"/>
    <row r="13827" s="166" customFormat="1" x14ac:dyDescent="0.2"/>
    <row r="13828" s="166" customFormat="1" x14ac:dyDescent="0.2"/>
    <row r="13829" s="166" customFormat="1" x14ac:dyDescent="0.2"/>
    <row r="13830" s="166" customFormat="1" x14ac:dyDescent="0.2"/>
    <row r="13831" s="166" customFormat="1" x14ac:dyDescent="0.2"/>
    <row r="13832" s="166" customFormat="1" x14ac:dyDescent="0.2"/>
    <row r="13833" s="166" customFormat="1" x14ac:dyDescent="0.2"/>
    <row r="13834" s="166" customFormat="1" x14ac:dyDescent="0.2"/>
    <row r="13835" s="166" customFormat="1" x14ac:dyDescent="0.2"/>
    <row r="13836" s="166" customFormat="1" x14ac:dyDescent="0.2"/>
    <row r="13837" s="166" customFormat="1" x14ac:dyDescent="0.2"/>
    <row r="13838" s="166" customFormat="1" x14ac:dyDescent="0.2"/>
    <row r="13839" s="166" customFormat="1" x14ac:dyDescent="0.2"/>
    <row r="13840" s="166" customFormat="1" x14ac:dyDescent="0.2"/>
    <row r="13841" s="166" customFormat="1" x14ac:dyDescent="0.2"/>
    <row r="13842" s="166" customFormat="1" x14ac:dyDescent="0.2"/>
    <row r="13843" s="166" customFormat="1" x14ac:dyDescent="0.2"/>
    <row r="13844" s="166" customFormat="1" x14ac:dyDescent="0.2"/>
    <row r="13845" s="166" customFormat="1" x14ac:dyDescent="0.2"/>
    <row r="13846" s="166" customFormat="1" x14ac:dyDescent="0.2"/>
    <row r="13847" s="166" customFormat="1" x14ac:dyDescent="0.2"/>
    <row r="13848" s="166" customFormat="1" x14ac:dyDescent="0.2"/>
    <row r="13849" s="166" customFormat="1" x14ac:dyDescent="0.2"/>
    <row r="13850" s="166" customFormat="1" x14ac:dyDescent="0.2"/>
    <row r="13851" s="166" customFormat="1" x14ac:dyDescent="0.2"/>
    <row r="13852" s="166" customFormat="1" x14ac:dyDescent="0.2"/>
    <row r="13853" s="166" customFormat="1" x14ac:dyDescent="0.2"/>
    <row r="13854" s="166" customFormat="1" x14ac:dyDescent="0.2"/>
    <row r="13855" s="166" customFormat="1" x14ac:dyDescent="0.2"/>
    <row r="13856" s="166" customFormat="1" x14ac:dyDescent="0.2"/>
    <row r="13857" s="166" customFormat="1" x14ac:dyDescent="0.2"/>
    <row r="13858" s="166" customFormat="1" x14ac:dyDescent="0.2"/>
    <row r="13859" s="166" customFormat="1" x14ac:dyDescent="0.2"/>
    <row r="13860" s="166" customFormat="1" x14ac:dyDescent="0.2"/>
    <row r="13861" s="166" customFormat="1" x14ac:dyDescent="0.2"/>
    <row r="13862" s="166" customFormat="1" x14ac:dyDescent="0.2"/>
    <row r="13863" s="166" customFormat="1" x14ac:dyDescent="0.2"/>
    <row r="13864" s="166" customFormat="1" x14ac:dyDescent="0.2"/>
    <row r="13865" s="166" customFormat="1" x14ac:dyDescent="0.2"/>
    <row r="13866" s="166" customFormat="1" x14ac:dyDescent="0.2"/>
    <row r="13867" s="166" customFormat="1" x14ac:dyDescent="0.2"/>
    <row r="13868" s="166" customFormat="1" x14ac:dyDescent="0.2"/>
    <row r="13869" s="166" customFormat="1" x14ac:dyDescent="0.2"/>
    <row r="13870" s="166" customFormat="1" x14ac:dyDescent="0.2"/>
    <row r="13871" s="166" customFormat="1" x14ac:dyDescent="0.2"/>
    <row r="13872" s="166" customFormat="1" x14ac:dyDescent="0.2"/>
    <row r="13873" s="166" customFormat="1" x14ac:dyDescent="0.2"/>
    <row r="13874" s="166" customFormat="1" x14ac:dyDescent="0.2"/>
    <row r="13875" s="166" customFormat="1" x14ac:dyDescent="0.2"/>
    <row r="13876" s="166" customFormat="1" x14ac:dyDescent="0.2"/>
    <row r="13877" s="166" customFormat="1" x14ac:dyDescent="0.2"/>
    <row r="13878" s="166" customFormat="1" x14ac:dyDescent="0.2"/>
    <row r="13879" s="166" customFormat="1" x14ac:dyDescent="0.2"/>
    <row r="13880" s="166" customFormat="1" x14ac:dyDescent="0.2"/>
    <row r="13881" s="166" customFormat="1" x14ac:dyDescent="0.2"/>
    <row r="13882" s="166" customFormat="1" x14ac:dyDescent="0.2"/>
    <row r="13883" s="166" customFormat="1" x14ac:dyDescent="0.2"/>
    <row r="13884" s="166" customFormat="1" x14ac:dyDescent="0.2"/>
    <row r="13885" s="166" customFormat="1" x14ac:dyDescent="0.2"/>
    <row r="13886" s="166" customFormat="1" x14ac:dyDescent="0.2"/>
    <row r="13887" s="166" customFormat="1" x14ac:dyDescent="0.2"/>
    <row r="13888" s="166" customFormat="1" x14ac:dyDescent="0.2"/>
    <row r="13889" s="166" customFormat="1" x14ac:dyDescent="0.2"/>
    <row r="13890" s="166" customFormat="1" x14ac:dyDescent="0.2"/>
    <row r="13891" s="166" customFormat="1" x14ac:dyDescent="0.2"/>
    <row r="13892" s="166" customFormat="1" x14ac:dyDescent="0.2"/>
    <row r="13893" s="166" customFormat="1" x14ac:dyDescent="0.2"/>
    <row r="13894" s="166" customFormat="1" x14ac:dyDescent="0.2"/>
    <row r="13895" s="166" customFormat="1" x14ac:dyDescent="0.2"/>
    <row r="13896" s="166" customFormat="1" x14ac:dyDescent="0.2"/>
    <row r="13897" s="166" customFormat="1" x14ac:dyDescent="0.2"/>
    <row r="13898" s="166" customFormat="1" x14ac:dyDescent="0.2"/>
    <row r="13899" s="166" customFormat="1" x14ac:dyDescent="0.2"/>
    <row r="13900" s="166" customFormat="1" x14ac:dyDescent="0.2"/>
    <row r="13901" s="166" customFormat="1" x14ac:dyDescent="0.2"/>
    <row r="13902" s="166" customFormat="1" x14ac:dyDescent="0.2"/>
    <row r="13903" s="166" customFormat="1" x14ac:dyDescent="0.2"/>
    <row r="13904" s="166" customFormat="1" x14ac:dyDescent="0.2"/>
    <row r="13905" s="166" customFormat="1" x14ac:dyDescent="0.2"/>
    <row r="13906" s="166" customFormat="1" x14ac:dyDescent="0.2"/>
    <row r="13907" s="166" customFormat="1" x14ac:dyDescent="0.2"/>
    <row r="13908" s="166" customFormat="1" x14ac:dyDescent="0.2"/>
    <row r="13909" s="166" customFormat="1" x14ac:dyDescent="0.2"/>
    <row r="13910" s="166" customFormat="1" x14ac:dyDescent="0.2"/>
    <row r="13911" s="166" customFormat="1" x14ac:dyDescent="0.2"/>
    <row r="13912" s="166" customFormat="1" x14ac:dyDescent="0.2"/>
    <row r="13913" s="166" customFormat="1" x14ac:dyDescent="0.2"/>
    <row r="13914" s="166" customFormat="1" x14ac:dyDescent="0.2"/>
    <row r="13915" s="166" customFormat="1" x14ac:dyDescent="0.2"/>
    <row r="13916" s="166" customFormat="1" x14ac:dyDescent="0.2"/>
    <row r="13917" s="166" customFormat="1" x14ac:dyDescent="0.2"/>
    <row r="13918" s="166" customFormat="1" x14ac:dyDescent="0.2"/>
    <row r="13919" s="166" customFormat="1" x14ac:dyDescent="0.2"/>
    <row r="13920" s="166" customFormat="1" x14ac:dyDescent="0.2"/>
    <row r="13921" s="166" customFormat="1" x14ac:dyDescent="0.2"/>
    <row r="13922" s="166" customFormat="1" x14ac:dyDescent="0.2"/>
    <row r="13923" s="166" customFormat="1" x14ac:dyDescent="0.2"/>
    <row r="13924" s="166" customFormat="1" x14ac:dyDescent="0.2"/>
    <row r="13925" s="166" customFormat="1" x14ac:dyDescent="0.2"/>
    <row r="13926" s="166" customFormat="1" x14ac:dyDescent="0.2"/>
    <row r="13927" s="166" customFormat="1" x14ac:dyDescent="0.2"/>
    <row r="13928" s="166" customFormat="1" x14ac:dyDescent="0.2"/>
    <row r="13929" s="166" customFormat="1" x14ac:dyDescent="0.2"/>
    <row r="13930" s="166" customFormat="1" x14ac:dyDescent="0.2"/>
    <row r="13931" s="166" customFormat="1" x14ac:dyDescent="0.2"/>
    <row r="13932" s="166" customFormat="1" x14ac:dyDescent="0.2"/>
    <row r="13933" s="166" customFormat="1" x14ac:dyDescent="0.2"/>
    <row r="13934" s="166" customFormat="1" x14ac:dyDescent="0.2"/>
    <row r="13935" s="166" customFormat="1" x14ac:dyDescent="0.2"/>
    <row r="13936" s="166" customFormat="1" x14ac:dyDescent="0.2"/>
    <row r="13937" s="166" customFormat="1" x14ac:dyDescent="0.2"/>
    <row r="13938" s="166" customFormat="1" x14ac:dyDescent="0.2"/>
    <row r="13939" s="166" customFormat="1" x14ac:dyDescent="0.2"/>
    <row r="13940" s="166" customFormat="1" x14ac:dyDescent="0.2"/>
    <row r="13941" s="166" customFormat="1" x14ac:dyDescent="0.2"/>
    <row r="13942" s="166" customFormat="1" x14ac:dyDescent="0.2"/>
    <row r="13943" s="166" customFormat="1" x14ac:dyDescent="0.2"/>
    <row r="13944" s="166" customFormat="1" x14ac:dyDescent="0.2"/>
    <row r="13945" s="166" customFormat="1" x14ac:dyDescent="0.2"/>
    <row r="13946" s="166" customFormat="1" x14ac:dyDescent="0.2"/>
    <row r="13947" s="166" customFormat="1" x14ac:dyDescent="0.2"/>
    <row r="13948" s="166" customFormat="1" x14ac:dyDescent="0.2"/>
    <row r="13949" s="166" customFormat="1" x14ac:dyDescent="0.2"/>
    <row r="13950" s="166" customFormat="1" x14ac:dyDescent="0.2"/>
    <row r="13951" s="166" customFormat="1" x14ac:dyDescent="0.2"/>
    <row r="13952" s="166" customFormat="1" x14ac:dyDescent="0.2"/>
    <row r="13953" s="166" customFormat="1" x14ac:dyDescent="0.2"/>
    <row r="13954" s="166" customFormat="1" x14ac:dyDescent="0.2"/>
    <row r="13955" s="166" customFormat="1" x14ac:dyDescent="0.2"/>
    <row r="13956" s="166" customFormat="1" x14ac:dyDescent="0.2"/>
    <row r="13957" s="166" customFormat="1" x14ac:dyDescent="0.2"/>
    <row r="13958" s="166" customFormat="1" x14ac:dyDescent="0.2"/>
    <row r="13959" s="166" customFormat="1" x14ac:dyDescent="0.2"/>
    <row r="13960" s="166" customFormat="1" x14ac:dyDescent="0.2"/>
    <row r="13961" s="166" customFormat="1" x14ac:dyDescent="0.2"/>
    <row r="13962" s="166" customFormat="1" x14ac:dyDescent="0.2"/>
    <row r="13963" s="166" customFormat="1" x14ac:dyDescent="0.2"/>
    <row r="13964" s="166" customFormat="1" x14ac:dyDescent="0.2"/>
    <row r="13965" s="166" customFormat="1" x14ac:dyDescent="0.2"/>
    <row r="13966" s="166" customFormat="1" x14ac:dyDescent="0.2"/>
    <row r="13967" s="166" customFormat="1" x14ac:dyDescent="0.2"/>
    <row r="13968" s="166" customFormat="1" x14ac:dyDescent="0.2"/>
    <row r="13969" s="166" customFormat="1" x14ac:dyDescent="0.2"/>
    <row r="13970" s="166" customFormat="1" x14ac:dyDescent="0.2"/>
    <row r="13971" s="166" customFormat="1" x14ac:dyDescent="0.2"/>
    <row r="13972" s="166" customFormat="1" x14ac:dyDescent="0.2"/>
    <row r="13973" s="166" customFormat="1" x14ac:dyDescent="0.2"/>
    <row r="13974" s="166" customFormat="1" x14ac:dyDescent="0.2"/>
    <row r="13975" s="166" customFormat="1" x14ac:dyDescent="0.2"/>
    <row r="13976" s="166" customFormat="1" x14ac:dyDescent="0.2"/>
    <row r="13977" s="166" customFormat="1" x14ac:dyDescent="0.2"/>
    <row r="13978" s="166" customFormat="1" x14ac:dyDescent="0.2"/>
    <row r="13979" s="166" customFormat="1" x14ac:dyDescent="0.2"/>
    <row r="13980" s="166" customFormat="1" x14ac:dyDescent="0.2"/>
    <row r="13981" s="166" customFormat="1" x14ac:dyDescent="0.2"/>
    <row r="13982" s="166" customFormat="1" x14ac:dyDescent="0.2"/>
    <row r="13983" s="166" customFormat="1" x14ac:dyDescent="0.2"/>
    <row r="13984" s="166" customFormat="1" x14ac:dyDescent="0.2"/>
    <row r="13985" s="166" customFormat="1" x14ac:dyDescent="0.2"/>
    <row r="13986" s="166" customFormat="1" x14ac:dyDescent="0.2"/>
    <row r="13987" s="166" customFormat="1" x14ac:dyDescent="0.2"/>
    <row r="13988" s="166" customFormat="1" x14ac:dyDescent="0.2"/>
    <row r="13989" s="166" customFormat="1" x14ac:dyDescent="0.2"/>
    <row r="13990" s="166" customFormat="1" x14ac:dyDescent="0.2"/>
    <row r="13991" s="166" customFormat="1" x14ac:dyDescent="0.2"/>
    <row r="13992" s="166" customFormat="1" x14ac:dyDescent="0.2"/>
    <row r="13993" s="166" customFormat="1" x14ac:dyDescent="0.2"/>
    <row r="13994" s="166" customFormat="1" x14ac:dyDescent="0.2"/>
    <row r="13995" s="166" customFormat="1" x14ac:dyDescent="0.2"/>
    <row r="13996" s="166" customFormat="1" x14ac:dyDescent="0.2"/>
    <row r="13997" s="166" customFormat="1" x14ac:dyDescent="0.2"/>
    <row r="13998" s="166" customFormat="1" x14ac:dyDescent="0.2"/>
    <row r="13999" s="166" customFormat="1" x14ac:dyDescent="0.2"/>
    <row r="14000" s="166" customFormat="1" x14ac:dyDescent="0.2"/>
    <row r="14001" s="166" customFormat="1" x14ac:dyDescent="0.2"/>
    <row r="14002" s="166" customFormat="1" x14ac:dyDescent="0.2"/>
    <row r="14003" s="166" customFormat="1" x14ac:dyDescent="0.2"/>
    <row r="14004" s="166" customFormat="1" x14ac:dyDescent="0.2"/>
    <row r="14005" s="166" customFormat="1" x14ac:dyDescent="0.2"/>
    <row r="14006" s="166" customFormat="1" x14ac:dyDescent="0.2"/>
    <row r="14007" s="166" customFormat="1" x14ac:dyDescent="0.2"/>
    <row r="14008" s="166" customFormat="1" x14ac:dyDescent="0.2"/>
    <row r="14009" s="166" customFormat="1" x14ac:dyDescent="0.2"/>
    <row r="14010" s="166" customFormat="1" x14ac:dyDescent="0.2"/>
    <row r="14011" s="166" customFormat="1" x14ac:dyDescent="0.2"/>
    <row r="14012" s="166" customFormat="1" x14ac:dyDescent="0.2"/>
    <row r="14013" s="166" customFormat="1" x14ac:dyDescent="0.2"/>
    <row r="14014" s="166" customFormat="1" x14ac:dyDescent="0.2"/>
    <row r="14015" s="166" customFormat="1" x14ac:dyDescent="0.2"/>
    <row r="14016" s="166" customFormat="1" x14ac:dyDescent="0.2"/>
    <row r="14017" s="166" customFormat="1" x14ac:dyDescent="0.2"/>
    <row r="14018" s="166" customFormat="1" x14ac:dyDescent="0.2"/>
    <row r="14019" s="166" customFormat="1" x14ac:dyDescent="0.2"/>
    <row r="14020" s="166" customFormat="1" x14ac:dyDescent="0.2"/>
    <row r="14021" s="166" customFormat="1" x14ac:dyDescent="0.2"/>
    <row r="14022" s="166" customFormat="1" x14ac:dyDescent="0.2"/>
    <row r="14023" s="166" customFormat="1" x14ac:dyDescent="0.2"/>
    <row r="14024" s="166" customFormat="1" x14ac:dyDescent="0.2"/>
    <row r="14025" s="166" customFormat="1" x14ac:dyDescent="0.2"/>
    <row r="14026" s="166" customFormat="1" x14ac:dyDescent="0.2"/>
    <row r="14027" s="166" customFormat="1" x14ac:dyDescent="0.2"/>
    <row r="14028" s="166" customFormat="1" x14ac:dyDescent="0.2"/>
    <row r="14029" s="166" customFormat="1" x14ac:dyDescent="0.2"/>
    <row r="14030" s="166" customFormat="1" x14ac:dyDescent="0.2"/>
    <row r="14031" s="166" customFormat="1" x14ac:dyDescent="0.2"/>
    <row r="14032" s="166" customFormat="1" x14ac:dyDescent="0.2"/>
    <row r="14033" s="166" customFormat="1" x14ac:dyDescent="0.2"/>
    <row r="14034" s="166" customFormat="1" x14ac:dyDescent="0.2"/>
    <row r="14035" s="166" customFormat="1" x14ac:dyDescent="0.2"/>
    <row r="14036" s="166" customFormat="1" x14ac:dyDescent="0.2"/>
    <row r="14037" s="166" customFormat="1" x14ac:dyDescent="0.2"/>
    <row r="14038" s="166" customFormat="1" x14ac:dyDescent="0.2"/>
    <row r="14039" s="166" customFormat="1" x14ac:dyDescent="0.2"/>
    <row r="14040" s="166" customFormat="1" x14ac:dyDescent="0.2"/>
    <row r="14041" s="166" customFormat="1" x14ac:dyDescent="0.2"/>
    <row r="14042" s="166" customFormat="1" x14ac:dyDescent="0.2"/>
    <row r="14043" s="166" customFormat="1" x14ac:dyDescent="0.2"/>
    <row r="14044" s="166" customFormat="1" x14ac:dyDescent="0.2"/>
    <row r="14045" s="166" customFormat="1" x14ac:dyDescent="0.2"/>
    <row r="14046" s="166" customFormat="1" x14ac:dyDescent="0.2"/>
    <row r="14047" s="166" customFormat="1" x14ac:dyDescent="0.2"/>
    <row r="14048" s="166" customFormat="1" x14ac:dyDescent="0.2"/>
    <row r="14049" s="166" customFormat="1" x14ac:dyDescent="0.2"/>
    <row r="14050" s="166" customFormat="1" x14ac:dyDescent="0.2"/>
    <row r="14051" s="166" customFormat="1" x14ac:dyDescent="0.2"/>
    <row r="14052" s="166" customFormat="1" x14ac:dyDescent="0.2"/>
    <row r="14053" s="166" customFormat="1" x14ac:dyDescent="0.2"/>
    <row r="14054" s="166" customFormat="1" x14ac:dyDescent="0.2"/>
    <row r="14055" s="166" customFormat="1" x14ac:dyDescent="0.2"/>
    <row r="14056" s="166" customFormat="1" x14ac:dyDescent="0.2"/>
    <row r="14057" s="166" customFormat="1" x14ac:dyDescent="0.2"/>
    <row r="14058" s="166" customFormat="1" x14ac:dyDescent="0.2"/>
    <row r="14059" s="166" customFormat="1" x14ac:dyDescent="0.2"/>
    <row r="14060" s="166" customFormat="1" x14ac:dyDescent="0.2"/>
    <row r="14061" s="166" customFormat="1" x14ac:dyDescent="0.2"/>
    <row r="14062" s="166" customFormat="1" x14ac:dyDescent="0.2"/>
    <row r="14063" s="166" customFormat="1" x14ac:dyDescent="0.2"/>
    <row r="14064" s="166" customFormat="1" x14ac:dyDescent="0.2"/>
    <row r="14065" s="166" customFormat="1" x14ac:dyDescent="0.2"/>
    <row r="14066" s="166" customFormat="1" x14ac:dyDescent="0.2"/>
    <row r="14067" s="166" customFormat="1" x14ac:dyDescent="0.2"/>
    <row r="14068" s="166" customFormat="1" x14ac:dyDescent="0.2"/>
    <row r="14069" s="166" customFormat="1" x14ac:dyDescent="0.2"/>
    <row r="14070" s="166" customFormat="1" x14ac:dyDescent="0.2"/>
    <row r="14071" s="166" customFormat="1" x14ac:dyDescent="0.2"/>
    <row r="14072" s="166" customFormat="1" x14ac:dyDescent="0.2"/>
    <row r="14073" s="166" customFormat="1" x14ac:dyDescent="0.2"/>
    <row r="14074" s="166" customFormat="1" x14ac:dyDescent="0.2"/>
    <row r="14075" s="166" customFormat="1" x14ac:dyDescent="0.2"/>
    <row r="14076" s="166" customFormat="1" x14ac:dyDescent="0.2"/>
    <row r="14077" s="166" customFormat="1" x14ac:dyDescent="0.2"/>
    <row r="14078" s="166" customFormat="1" x14ac:dyDescent="0.2"/>
    <row r="14079" s="166" customFormat="1" x14ac:dyDescent="0.2"/>
    <row r="14080" s="166" customFormat="1" x14ac:dyDescent="0.2"/>
    <row r="14081" s="166" customFormat="1" x14ac:dyDescent="0.2"/>
    <row r="14082" s="166" customFormat="1" x14ac:dyDescent="0.2"/>
    <row r="14083" s="166" customFormat="1" x14ac:dyDescent="0.2"/>
    <row r="14084" s="166" customFormat="1" x14ac:dyDescent="0.2"/>
    <row r="14085" s="166" customFormat="1" x14ac:dyDescent="0.2"/>
    <row r="14086" s="166" customFormat="1" x14ac:dyDescent="0.2"/>
    <row r="14087" s="166" customFormat="1" x14ac:dyDescent="0.2"/>
    <row r="14088" s="166" customFormat="1" x14ac:dyDescent="0.2"/>
    <row r="14089" s="166" customFormat="1" x14ac:dyDescent="0.2"/>
    <row r="14090" s="166" customFormat="1" x14ac:dyDescent="0.2"/>
    <row r="14091" s="166" customFormat="1" x14ac:dyDescent="0.2"/>
    <row r="14092" s="166" customFormat="1" x14ac:dyDescent="0.2"/>
    <row r="14093" s="166" customFormat="1" x14ac:dyDescent="0.2"/>
    <row r="14094" s="166" customFormat="1" x14ac:dyDescent="0.2"/>
    <row r="14095" s="166" customFormat="1" x14ac:dyDescent="0.2"/>
    <row r="14096" s="166" customFormat="1" x14ac:dyDescent="0.2"/>
    <row r="14097" s="166" customFormat="1" x14ac:dyDescent="0.2"/>
    <row r="14098" s="166" customFormat="1" x14ac:dyDescent="0.2"/>
    <row r="14099" s="166" customFormat="1" x14ac:dyDescent="0.2"/>
    <row r="14100" s="166" customFormat="1" x14ac:dyDescent="0.2"/>
    <row r="14101" s="166" customFormat="1" x14ac:dyDescent="0.2"/>
    <row r="14102" s="166" customFormat="1" x14ac:dyDescent="0.2"/>
    <row r="14103" s="166" customFormat="1" x14ac:dyDescent="0.2"/>
    <row r="14104" s="166" customFormat="1" x14ac:dyDescent="0.2"/>
    <row r="14105" s="166" customFormat="1" x14ac:dyDescent="0.2"/>
    <row r="14106" s="166" customFormat="1" x14ac:dyDescent="0.2"/>
    <row r="14107" s="166" customFormat="1" x14ac:dyDescent="0.2"/>
    <row r="14108" s="166" customFormat="1" x14ac:dyDescent="0.2"/>
    <row r="14109" s="166" customFormat="1" x14ac:dyDescent="0.2"/>
    <row r="14110" s="166" customFormat="1" x14ac:dyDescent="0.2"/>
    <row r="14111" s="166" customFormat="1" x14ac:dyDescent="0.2"/>
    <row r="14112" s="166" customFormat="1" x14ac:dyDescent="0.2"/>
    <row r="14113" s="166" customFormat="1" x14ac:dyDescent="0.2"/>
    <row r="14114" s="166" customFormat="1" x14ac:dyDescent="0.2"/>
    <row r="14115" s="166" customFormat="1" x14ac:dyDescent="0.2"/>
    <row r="14116" s="166" customFormat="1" x14ac:dyDescent="0.2"/>
    <row r="14117" s="166" customFormat="1" x14ac:dyDescent="0.2"/>
    <row r="14118" s="166" customFormat="1" x14ac:dyDescent="0.2"/>
    <row r="14119" s="166" customFormat="1" x14ac:dyDescent="0.2"/>
    <row r="14120" s="166" customFormat="1" x14ac:dyDescent="0.2"/>
    <row r="14121" s="166" customFormat="1" x14ac:dyDescent="0.2"/>
    <row r="14122" s="166" customFormat="1" x14ac:dyDescent="0.2"/>
    <row r="14123" s="166" customFormat="1" x14ac:dyDescent="0.2"/>
    <row r="14124" s="166" customFormat="1" x14ac:dyDescent="0.2"/>
    <row r="14125" s="166" customFormat="1" x14ac:dyDescent="0.2"/>
    <row r="14126" s="166" customFormat="1" x14ac:dyDescent="0.2"/>
    <row r="14127" s="166" customFormat="1" x14ac:dyDescent="0.2"/>
    <row r="14128" s="166" customFormat="1" x14ac:dyDescent="0.2"/>
    <row r="14129" s="166" customFormat="1" x14ac:dyDescent="0.2"/>
    <row r="14130" s="166" customFormat="1" x14ac:dyDescent="0.2"/>
    <row r="14131" s="166" customFormat="1" x14ac:dyDescent="0.2"/>
    <row r="14132" s="166" customFormat="1" x14ac:dyDescent="0.2"/>
    <row r="14133" s="166" customFormat="1" x14ac:dyDescent="0.2"/>
    <row r="14134" s="166" customFormat="1" x14ac:dyDescent="0.2"/>
    <row r="14135" s="166" customFormat="1" x14ac:dyDescent="0.2"/>
    <row r="14136" s="166" customFormat="1" x14ac:dyDescent="0.2"/>
    <row r="14137" s="166" customFormat="1" x14ac:dyDescent="0.2"/>
    <row r="14138" s="166" customFormat="1" x14ac:dyDescent="0.2"/>
    <row r="14139" s="166" customFormat="1" x14ac:dyDescent="0.2"/>
    <row r="14140" s="166" customFormat="1" x14ac:dyDescent="0.2"/>
    <row r="14141" s="166" customFormat="1" x14ac:dyDescent="0.2"/>
    <row r="14142" s="166" customFormat="1" x14ac:dyDescent="0.2"/>
    <row r="14143" s="166" customFormat="1" x14ac:dyDescent="0.2"/>
    <row r="14144" s="166" customFormat="1" x14ac:dyDescent="0.2"/>
    <row r="14145" s="166" customFormat="1" x14ac:dyDescent="0.2"/>
    <row r="14146" s="166" customFormat="1" x14ac:dyDescent="0.2"/>
    <row r="14147" s="166" customFormat="1" x14ac:dyDescent="0.2"/>
    <row r="14148" s="166" customFormat="1" x14ac:dyDescent="0.2"/>
    <row r="14149" s="166" customFormat="1" x14ac:dyDescent="0.2"/>
    <row r="14150" s="166" customFormat="1" x14ac:dyDescent="0.2"/>
    <row r="14151" s="166" customFormat="1" x14ac:dyDescent="0.2"/>
    <row r="14152" s="166" customFormat="1" x14ac:dyDescent="0.2"/>
    <row r="14153" s="166" customFormat="1" x14ac:dyDescent="0.2"/>
    <row r="14154" s="166" customFormat="1" x14ac:dyDescent="0.2"/>
    <row r="14155" s="166" customFormat="1" x14ac:dyDescent="0.2"/>
    <row r="14156" s="166" customFormat="1" x14ac:dyDescent="0.2"/>
    <row r="14157" s="166" customFormat="1" x14ac:dyDescent="0.2"/>
    <row r="14158" s="166" customFormat="1" x14ac:dyDescent="0.2"/>
    <row r="14159" s="166" customFormat="1" x14ac:dyDescent="0.2"/>
    <row r="14160" s="166" customFormat="1" x14ac:dyDescent="0.2"/>
    <row r="14161" s="166" customFormat="1" x14ac:dyDescent="0.2"/>
    <row r="14162" s="166" customFormat="1" x14ac:dyDescent="0.2"/>
    <row r="14163" s="166" customFormat="1" x14ac:dyDescent="0.2"/>
    <row r="14164" s="166" customFormat="1" x14ac:dyDescent="0.2"/>
    <row r="14165" s="166" customFormat="1" x14ac:dyDescent="0.2"/>
    <row r="14166" s="166" customFormat="1" x14ac:dyDescent="0.2"/>
    <row r="14167" s="166" customFormat="1" x14ac:dyDescent="0.2"/>
    <row r="14168" s="166" customFormat="1" x14ac:dyDescent="0.2"/>
    <row r="14169" s="166" customFormat="1" x14ac:dyDescent="0.2"/>
    <row r="14170" s="166" customFormat="1" x14ac:dyDescent="0.2"/>
    <row r="14171" s="166" customFormat="1" x14ac:dyDescent="0.2"/>
    <row r="14172" s="166" customFormat="1" x14ac:dyDescent="0.2"/>
    <row r="14173" s="166" customFormat="1" x14ac:dyDescent="0.2"/>
    <row r="14174" s="166" customFormat="1" x14ac:dyDescent="0.2"/>
    <row r="14175" s="166" customFormat="1" x14ac:dyDescent="0.2"/>
    <row r="14176" s="166" customFormat="1" x14ac:dyDescent="0.2"/>
    <row r="14177" s="166" customFormat="1" x14ac:dyDescent="0.2"/>
    <row r="14178" s="166" customFormat="1" x14ac:dyDescent="0.2"/>
    <row r="14179" s="166" customFormat="1" x14ac:dyDescent="0.2"/>
    <row r="14180" s="166" customFormat="1" x14ac:dyDescent="0.2"/>
    <row r="14181" s="166" customFormat="1" x14ac:dyDescent="0.2"/>
    <row r="14182" s="166" customFormat="1" x14ac:dyDescent="0.2"/>
    <row r="14183" s="166" customFormat="1" x14ac:dyDescent="0.2"/>
    <row r="14184" s="166" customFormat="1" x14ac:dyDescent="0.2"/>
    <row r="14185" s="166" customFormat="1" x14ac:dyDescent="0.2"/>
    <row r="14186" s="166" customFormat="1" x14ac:dyDescent="0.2"/>
    <row r="14187" s="166" customFormat="1" x14ac:dyDescent="0.2"/>
    <row r="14188" s="166" customFormat="1" x14ac:dyDescent="0.2"/>
    <row r="14189" s="166" customFormat="1" x14ac:dyDescent="0.2"/>
    <row r="14190" s="166" customFormat="1" x14ac:dyDescent="0.2"/>
    <row r="14191" s="166" customFormat="1" x14ac:dyDescent="0.2"/>
    <row r="14192" s="166" customFormat="1" x14ac:dyDescent="0.2"/>
    <row r="14193" s="166" customFormat="1" x14ac:dyDescent="0.2"/>
    <row r="14194" s="166" customFormat="1" x14ac:dyDescent="0.2"/>
    <row r="14195" s="166" customFormat="1" x14ac:dyDescent="0.2"/>
    <row r="14196" s="166" customFormat="1" x14ac:dyDescent="0.2"/>
    <row r="14197" s="166" customFormat="1" x14ac:dyDescent="0.2"/>
    <row r="14198" s="166" customFormat="1" x14ac:dyDescent="0.2"/>
    <row r="14199" s="166" customFormat="1" x14ac:dyDescent="0.2"/>
    <row r="14200" s="166" customFormat="1" x14ac:dyDescent="0.2"/>
    <row r="14201" s="166" customFormat="1" x14ac:dyDescent="0.2"/>
    <row r="14202" s="166" customFormat="1" x14ac:dyDescent="0.2"/>
    <row r="14203" s="166" customFormat="1" x14ac:dyDescent="0.2"/>
    <row r="14204" s="166" customFormat="1" x14ac:dyDescent="0.2"/>
    <row r="14205" s="166" customFormat="1" x14ac:dyDescent="0.2"/>
    <row r="14206" s="166" customFormat="1" x14ac:dyDescent="0.2"/>
    <row r="14207" s="166" customFormat="1" x14ac:dyDescent="0.2"/>
    <row r="14208" s="166" customFormat="1" x14ac:dyDescent="0.2"/>
    <row r="14209" s="166" customFormat="1" x14ac:dyDescent="0.2"/>
    <row r="14210" s="166" customFormat="1" x14ac:dyDescent="0.2"/>
    <row r="14211" s="166" customFormat="1" x14ac:dyDescent="0.2"/>
    <row r="14212" s="166" customFormat="1" x14ac:dyDescent="0.2"/>
    <row r="14213" s="166" customFormat="1" x14ac:dyDescent="0.2"/>
    <row r="14214" s="166" customFormat="1" x14ac:dyDescent="0.2"/>
    <row r="14215" s="166" customFormat="1" x14ac:dyDescent="0.2"/>
    <row r="14216" s="166" customFormat="1" x14ac:dyDescent="0.2"/>
    <row r="14217" s="166" customFormat="1" x14ac:dyDescent="0.2"/>
    <row r="14218" s="166" customFormat="1" x14ac:dyDescent="0.2"/>
    <row r="14219" s="166" customFormat="1" x14ac:dyDescent="0.2"/>
    <row r="14220" s="166" customFormat="1" x14ac:dyDescent="0.2"/>
    <row r="14221" s="166" customFormat="1" x14ac:dyDescent="0.2"/>
    <row r="14222" s="166" customFormat="1" x14ac:dyDescent="0.2"/>
    <row r="14223" s="166" customFormat="1" x14ac:dyDescent="0.2"/>
    <row r="14224" s="166" customFormat="1" x14ac:dyDescent="0.2"/>
    <row r="14225" s="166" customFormat="1" x14ac:dyDescent="0.2"/>
    <row r="14226" s="166" customFormat="1" x14ac:dyDescent="0.2"/>
    <row r="14227" s="166" customFormat="1" x14ac:dyDescent="0.2"/>
    <row r="14228" s="166" customFormat="1" x14ac:dyDescent="0.2"/>
    <row r="14229" s="166" customFormat="1" x14ac:dyDescent="0.2"/>
    <row r="14230" s="166" customFormat="1" x14ac:dyDescent="0.2"/>
    <row r="14231" s="166" customFormat="1" x14ac:dyDescent="0.2"/>
    <row r="14232" s="166" customFormat="1" x14ac:dyDescent="0.2"/>
    <row r="14233" s="166" customFormat="1" x14ac:dyDescent="0.2"/>
    <row r="14234" s="166" customFormat="1" x14ac:dyDescent="0.2"/>
    <row r="14235" s="166" customFormat="1" x14ac:dyDescent="0.2"/>
    <row r="14236" s="166" customFormat="1" x14ac:dyDescent="0.2"/>
    <row r="14237" s="166" customFormat="1" x14ac:dyDescent="0.2"/>
    <row r="14238" s="166" customFormat="1" x14ac:dyDescent="0.2"/>
    <row r="14239" s="166" customFormat="1" x14ac:dyDescent="0.2"/>
    <row r="14240" s="166" customFormat="1" x14ac:dyDescent="0.2"/>
    <row r="14241" s="166" customFormat="1" x14ac:dyDescent="0.2"/>
    <row r="14242" s="166" customFormat="1" x14ac:dyDescent="0.2"/>
    <row r="14243" s="166" customFormat="1" x14ac:dyDescent="0.2"/>
    <row r="14244" s="166" customFormat="1" x14ac:dyDescent="0.2"/>
    <row r="14245" s="166" customFormat="1" x14ac:dyDescent="0.2"/>
    <row r="14246" s="166" customFormat="1" x14ac:dyDescent="0.2"/>
    <row r="14247" s="166" customFormat="1" x14ac:dyDescent="0.2"/>
    <row r="14248" s="166" customFormat="1" x14ac:dyDescent="0.2"/>
    <row r="14249" s="166" customFormat="1" x14ac:dyDescent="0.2"/>
    <row r="14250" s="166" customFormat="1" x14ac:dyDescent="0.2"/>
    <row r="14251" s="166" customFormat="1" x14ac:dyDescent="0.2"/>
    <row r="14252" s="166" customFormat="1" x14ac:dyDescent="0.2"/>
    <row r="14253" s="166" customFormat="1" x14ac:dyDescent="0.2"/>
    <row r="14254" s="166" customFormat="1" x14ac:dyDescent="0.2"/>
    <row r="14255" s="166" customFormat="1" x14ac:dyDescent="0.2"/>
    <row r="14256" s="166" customFormat="1" x14ac:dyDescent="0.2"/>
    <row r="14257" s="166" customFormat="1" x14ac:dyDescent="0.2"/>
    <row r="14258" s="166" customFormat="1" x14ac:dyDescent="0.2"/>
    <row r="14259" s="166" customFormat="1" x14ac:dyDescent="0.2"/>
    <row r="14260" s="166" customFormat="1" x14ac:dyDescent="0.2"/>
    <row r="14261" s="166" customFormat="1" x14ac:dyDescent="0.2"/>
    <row r="14262" s="166" customFormat="1" x14ac:dyDescent="0.2"/>
    <row r="14263" s="166" customFormat="1" x14ac:dyDescent="0.2"/>
    <row r="14264" s="166" customFormat="1" x14ac:dyDescent="0.2"/>
    <row r="14265" s="166" customFormat="1" x14ac:dyDescent="0.2"/>
    <row r="14266" s="166" customFormat="1" x14ac:dyDescent="0.2"/>
    <row r="14267" s="166" customFormat="1" x14ac:dyDescent="0.2"/>
    <row r="14268" s="166" customFormat="1" x14ac:dyDescent="0.2"/>
    <row r="14269" s="166" customFormat="1" x14ac:dyDescent="0.2"/>
    <row r="14270" s="166" customFormat="1" x14ac:dyDescent="0.2"/>
    <row r="14271" s="166" customFormat="1" x14ac:dyDescent="0.2"/>
    <row r="14272" s="166" customFormat="1" x14ac:dyDescent="0.2"/>
    <row r="14273" s="166" customFormat="1" x14ac:dyDescent="0.2"/>
    <row r="14274" s="166" customFormat="1" x14ac:dyDescent="0.2"/>
    <row r="14275" s="166" customFormat="1" x14ac:dyDescent="0.2"/>
    <row r="14276" s="166" customFormat="1" x14ac:dyDescent="0.2"/>
    <row r="14277" s="166" customFormat="1" x14ac:dyDescent="0.2"/>
    <row r="14278" s="166" customFormat="1" x14ac:dyDescent="0.2"/>
    <row r="14279" s="166" customFormat="1" x14ac:dyDescent="0.2"/>
    <row r="14280" s="166" customFormat="1" x14ac:dyDescent="0.2"/>
    <row r="14281" s="166" customFormat="1" x14ac:dyDescent="0.2"/>
    <row r="14282" s="166" customFormat="1" x14ac:dyDescent="0.2"/>
    <row r="14283" s="166" customFormat="1" x14ac:dyDescent="0.2"/>
    <row r="14284" s="166" customFormat="1" x14ac:dyDescent="0.2"/>
    <row r="14285" s="166" customFormat="1" x14ac:dyDescent="0.2"/>
    <row r="14286" s="166" customFormat="1" x14ac:dyDescent="0.2"/>
    <row r="14287" s="166" customFormat="1" x14ac:dyDescent="0.2"/>
    <row r="14288" s="166" customFormat="1" x14ac:dyDescent="0.2"/>
    <row r="14289" s="166" customFormat="1" x14ac:dyDescent="0.2"/>
    <row r="14290" s="166" customFormat="1" x14ac:dyDescent="0.2"/>
    <row r="14291" s="166" customFormat="1" x14ac:dyDescent="0.2"/>
    <row r="14292" s="166" customFormat="1" x14ac:dyDescent="0.2"/>
    <row r="14293" s="166" customFormat="1" x14ac:dyDescent="0.2"/>
    <row r="14294" s="166" customFormat="1" x14ac:dyDescent="0.2"/>
    <row r="14295" s="166" customFormat="1" x14ac:dyDescent="0.2"/>
    <row r="14296" s="166" customFormat="1" x14ac:dyDescent="0.2"/>
    <row r="14297" s="166" customFormat="1" x14ac:dyDescent="0.2"/>
    <row r="14298" s="166" customFormat="1" x14ac:dyDescent="0.2"/>
    <row r="14299" s="166" customFormat="1" x14ac:dyDescent="0.2"/>
    <row r="14300" s="166" customFormat="1" x14ac:dyDescent="0.2"/>
    <row r="14301" s="166" customFormat="1" x14ac:dyDescent="0.2"/>
    <row r="14302" s="166" customFormat="1" x14ac:dyDescent="0.2"/>
    <row r="14303" s="166" customFormat="1" x14ac:dyDescent="0.2"/>
    <row r="14304" s="166" customFormat="1" x14ac:dyDescent="0.2"/>
    <row r="14305" s="166" customFormat="1" x14ac:dyDescent="0.2"/>
    <row r="14306" s="166" customFormat="1" x14ac:dyDescent="0.2"/>
    <row r="14307" s="166" customFormat="1" x14ac:dyDescent="0.2"/>
    <row r="14308" s="166" customFormat="1" x14ac:dyDescent="0.2"/>
    <row r="14309" s="166" customFormat="1" x14ac:dyDescent="0.2"/>
    <row r="14310" s="166" customFormat="1" x14ac:dyDescent="0.2"/>
    <row r="14311" s="166" customFormat="1" x14ac:dyDescent="0.2"/>
    <row r="14312" s="166" customFormat="1" x14ac:dyDescent="0.2"/>
    <row r="14313" s="166" customFormat="1" x14ac:dyDescent="0.2"/>
    <row r="14314" s="166" customFormat="1" x14ac:dyDescent="0.2"/>
    <row r="14315" s="166" customFormat="1" x14ac:dyDescent="0.2"/>
    <row r="14316" s="166" customFormat="1" x14ac:dyDescent="0.2"/>
    <row r="14317" s="166" customFormat="1" x14ac:dyDescent="0.2"/>
    <row r="14318" s="166" customFormat="1" x14ac:dyDescent="0.2"/>
    <row r="14319" s="166" customFormat="1" x14ac:dyDescent="0.2"/>
    <row r="14320" s="166" customFormat="1" x14ac:dyDescent="0.2"/>
    <row r="14321" s="166" customFormat="1" x14ac:dyDescent="0.2"/>
    <row r="14322" s="166" customFormat="1" x14ac:dyDescent="0.2"/>
    <row r="14323" s="166" customFormat="1" x14ac:dyDescent="0.2"/>
    <row r="14324" s="166" customFormat="1" x14ac:dyDescent="0.2"/>
    <row r="14325" s="166" customFormat="1" x14ac:dyDescent="0.2"/>
    <row r="14326" s="166" customFormat="1" x14ac:dyDescent="0.2"/>
    <row r="14327" s="166" customFormat="1" x14ac:dyDescent="0.2"/>
    <row r="14328" s="166" customFormat="1" x14ac:dyDescent="0.2"/>
    <row r="14329" s="166" customFormat="1" x14ac:dyDescent="0.2"/>
    <row r="14330" s="166" customFormat="1" x14ac:dyDescent="0.2"/>
    <row r="14331" s="166" customFormat="1" x14ac:dyDescent="0.2"/>
    <row r="14332" s="166" customFormat="1" x14ac:dyDescent="0.2"/>
    <row r="14333" s="166" customFormat="1" x14ac:dyDescent="0.2"/>
    <row r="14334" s="166" customFormat="1" x14ac:dyDescent="0.2"/>
    <row r="14335" s="166" customFormat="1" x14ac:dyDescent="0.2"/>
    <row r="14336" s="166" customFormat="1" x14ac:dyDescent="0.2"/>
    <row r="14337" s="166" customFormat="1" x14ac:dyDescent="0.2"/>
    <row r="14338" s="166" customFormat="1" x14ac:dyDescent="0.2"/>
    <row r="14339" s="166" customFormat="1" x14ac:dyDescent="0.2"/>
    <row r="14340" s="166" customFormat="1" x14ac:dyDescent="0.2"/>
    <row r="14341" s="166" customFormat="1" x14ac:dyDescent="0.2"/>
    <row r="14342" s="166" customFormat="1" x14ac:dyDescent="0.2"/>
    <row r="14343" s="166" customFormat="1" x14ac:dyDescent="0.2"/>
    <row r="14344" s="166" customFormat="1" x14ac:dyDescent="0.2"/>
    <row r="14345" s="166" customFormat="1" x14ac:dyDescent="0.2"/>
    <row r="14346" s="166" customFormat="1" x14ac:dyDescent="0.2"/>
    <row r="14347" s="166" customFormat="1" x14ac:dyDescent="0.2"/>
    <row r="14348" s="166" customFormat="1" x14ac:dyDescent="0.2"/>
    <row r="14349" s="166" customFormat="1" x14ac:dyDescent="0.2"/>
    <row r="14350" s="166" customFormat="1" x14ac:dyDescent="0.2"/>
    <row r="14351" s="166" customFormat="1" x14ac:dyDescent="0.2"/>
    <row r="14352" s="166" customFormat="1" x14ac:dyDescent="0.2"/>
    <row r="14353" s="166" customFormat="1" x14ac:dyDescent="0.2"/>
    <row r="14354" s="166" customFormat="1" x14ac:dyDescent="0.2"/>
    <row r="14355" s="166" customFormat="1" x14ac:dyDescent="0.2"/>
    <row r="14356" s="166" customFormat="1" x14ac:dyDescent="0.2"/>
    <row r="14357" s="166" customFormat="1" x14ac:dyDescent="0.2"/>
    <row r="14358" s="166" customFormat="1" x14ac:dyDescent="0.2"/>
    <row r="14359" s="166" customFormat="1" x14ac:dyDescent="0.2"/>
    <row r="14360" s="166" customFormat="1" x14ac:dyDescent="0.2"/>
    <row r="14361" s="166" customFormat="1" x14ac:dyDescent="0.2"/>
    <row r="14362" s="166" customFormat="1" x14ac:dyDescent="0.2"/>
    <row r="14363" s="166" customFormat="1" x14ac:dyDescent="0.2"/>
    <row r="14364" s="166" customFormat="1" x14ac:dyDescent="0.2"/>
    <row r="14365" s="166" customFormat="1" x14ac:dyDescent="0.2"/>
    <row r="14366" s="166" customFormat="1" x14ac:dyDescent="0.2"/>
    <row r="14367" s="166" customFormat="1" x14ac:dyDescent="0.2"/>
    <row r="14368" s="166" customFormat="1" x14ac:dyDescent="0.2"/>
    <row r="14369" s="166" customFormat="1" x14ac:dyDescent="0.2"/>
    <row r="14370" s="166" customFormat="1" x14ac:dyDescent="0.2"/>
    <row r="14371" s="166" customFormat="1" x14ac:dyDescent="0.2"/>
    <row r="14372" s="166" customFormat="1" x14ac:dyDescent="0.2"/>
    <row r="14373" s="166" customFormat="1" x14ac:dyDescent="0.2"/>
    <row r="14374" s="166" customFormat="1" x14ac:dyDescent="0.2"/>
    <row r="14375" s="166" customFormat="1" x14ac:dyDescent="0.2"/>
    <row r="14376" s="166" customFormat="1" x14ac:dyDescent="0.2"/>
    <row r="14377" s="166" customFormat="1" x14ac:dyDescent="0.2"/>
    <row r="14378" s="166" customFormat="1" x14ac:dyDescent="0.2"/>
    <row r="14379" s="166" customFormat="1" x14ac:dyDescent="0.2"/>
    <row r="14380" s="166" customFormat="1" x14ac:dyDescent="0.2"/>
    <row r="14381" s="166" customFormat="1" x14ac:dyDescent="0.2"/>
    <row r="14382" s="166" customFormat="1" x14ac:dyDescent="0.2"/>
    <row r="14383" s="166" customFormat="1" x14ac:dyDescent="0.2"/>
    <row r="14384" s="166" customFormat="1" x14ac:dyDescent="0.2"/>
    <row r="14385" s="166" customFormat="1" x14ac:dyDescent="0.2"/>
    <row r="14386" s="166" customFormat="1" x14ac:dyDescent="0.2"/>
    <row r="14387" s="166" customFormat="1" x14ac:dyDescent="0.2"/>
    <row r="14388" s="166" customFormat="1" x14ac:dyDescent="0.2"/>
    <row r="14389" s="166" customFormat="1" x14ac:dyDescent="0.2"/>
    <row r="14390" s="166" customFormat="1" x14ac:dyDescent="0.2"/>
    <row r="14391" s="166" customFormat="1" x14ac:dyDescent="0.2"/>
    <row r="14392" s="166" customFormat="1" x14ac:dyDescent="0.2"/>
    <row r="14393" s="166" customFormat="1" x14ac:dyDescent="0.2"/>
    <row r="14394" s="166" customFormat="1" x14ac:dyDescent="0.2"/>
    <row r="14395" s="166" customFormat="1" x14ac:dyDescent="0.2"/>
    <row r="14396" s="166" customFormat="1" x14ac:dyDescent="0.2"/>
    <row r="14397" s="166" customFormat="1" x14ac:dyDescent="0.2"/>
    <row r="14398" s="166" customFormat="1" x14ac:dyDescent="0.2"/>
    <row r="14399" s="166" customFormat="1" x14ac:dyDescent="0.2"/>
    <row r="14400" s="166" customFormat="1" x14ac:dyDescent="0.2"/>
    <row r="14401" s="166" customFormat="1" x14ac:dyDescent="0.2"/>
    <row r="14402" s="166" customFormat="1" x14ac:dyDescent="0.2"/>
    <row r="14403" s="166" customFormat="1" x14ac:dyDescent="0.2"/>
    <row r="14404" s="166" customFormat="1" x14ac:dyDescent="0.2"/>
    <row r="14405" s="166" customFormat="1" x14ac:dyDescent="0.2"/>
    <row r="14406" s="166" customFormat="1" x14ac:dyDescent="0.2"/>
    <row r="14407" s="166" customFormat="1" x14ac:dyDescent="0.2"/>
    <row r="14408" s="166" customFormat="1" x14ac:dyDescent="0.2"/>
    <row r="14409" s="166" customFormat="1" x14ac:dyDescent="0.2"/>
    <row r="14410" s="166" customFormat="1" x14ac:dyDescent="0.2"/>
    <row r="14411" s="166" customFormat="1" x14ac:dyDescent="0.2"/>
    <row r="14412" s="166" customFormat="1" x14ac:dyDescent="0.2"/>
    <row r="14413" s="166" customFormat="1" x14ac:dyDescent="0.2"/>
    <row r="14414" s="166" customFormat="1" x14ac:dyDescent="0.2"/>
    <row r="14415" s="166" customFormat="1" x14ac:dyDescent="0.2"/>
    <row r="14416" s="166" customFormat="1" x14ac:dyDescent="0.2"/>
    <row r="14417" s="166" customFormat="1" x14ac:dyDescent="0.2"/>
    <row r="14418" s="166" customFormat="1" x14ac:dyDescent="0.2"/>
    <row r="14419" s="166" customFormat="1" x14ac:dyDescent="0.2"/>
    <row r="14420" s="166" customFormat="1" x14ac:dyDescent="0.2"/>
    <row r="14421" s="166" customFormat="1" x14ac:dyDescent="0.2"/>
    <row r="14422" s="166" customFormat="1" x14ac:dyDescent="0.2"/>
    <row r="14423" s="166" customFormat="1" x14ac:dyDescent="0.2"/>
    <row r="14424" s="166" customFormat="1" x14ac:dyDescent="0.2"/>
    <row r="14425" s="166" customFormat="1" x14ac:dyDescent="0.2"/>
    <row r="14426" s="166" customFormat="1" x14ac:dyDescent="0.2"/>
    <row r="14427" s="166" customFormat="1" x14ac:dyDescent="0.2"/>
    <row r="14428" s="166" customFormat="1" x14ac:dyDescent="0.2"/>
    <row r="14429" s="166" customFormat="1" x14ac:dyDescent="0.2"/>
    <row r="14430" s="166" customFormat="1" x14ac:dyDescent="0.2"/>
    <row r="14431" s="166" customFormat="1" x14ac:dyDescent="0.2"/>
    <row r="14432" s="166" customFormat="1" x14ac:dyDescent="0.2"/>
    <row r="14433" s="166" customFormat="1" x14ac:dyDescent="0.2"/>
    <row r="14434" s="166" customFormat="1" x14ac:dyDescent="0.2"/>
    <row r="14435" s="166" customFormat="1" x14ac:dyDescent="0.2"/>
    <row r="14436" s="166" customFormat="1" x14ac:dyDescent="0.2"/>
    <row r="14437" s="166" customFormat="1" x14ac:dyDescent="0.2"/>
    <row r="14438" s="166" customFormat="1" x14ac:dyDescent="0.2"/>
    <row r="14439" s="166" customFormat="1" x14ac:dyDescent="0.2"/>
    <row r="14440" s="166" customFormat="1" x14ac:dyDescent="0.2"/>
    <row r="14441" s="166" customFormat="1" x14ac:dyDescent="0.2"/>
    <row r="14442" s="166" customFormat="1" x14ac:dyDescent="0.2"/>
    <row r="14443" s="166" customFormat="1" x14ac:dyDescent="0.2"/>
    <row r="14444" s="166" customFormat="1" x14ac:dyDescent="0.2"/>
    <row r="14445" s="166" customFormat="1" x14ac:dyDescent="0.2"/>
    <row r="14446" s="166" customFormat="1" x14ac:dyDescent="0.2"/>
    <row r="14447" s="166" customFormat="1" x14ac:dyDescent="0.2"/>
    <row r="14448" s="166" customFormat="1" x14ac:dyDescent="0.2"/>
    <row r="14449" s="166" customFormat="1" x14ac:dyDescent="0.2"/>
    <row r="14450" s="166" customFormat="1" x14ac:dyDescent="0.2"/>
    <row r="14451" s="166" customFormat="1" x14ac:dyDescent="0.2"/>
    <row r="14452" s="166" customFormat="1" x14ac:dyDescent="0.2"/>
    <row r="14453" s="166" customFormat="1" x14ac:dyDescent="0.2"/>
    <row r="14454" s="166" customFormat="1" x14ac:dyDescent="0.2"/>
    <row r="14455" s="166" customFormat="1" x14ac:dyDescent="0.2"/>
    <row r="14456" s="166" customFormat="1" x14ac:dyDescent="0.2"/>
    <row r="14457" s="166" customFormat="1" x14ac:dyDescent="0.2"/>
    <row r="14458" s="166" customFormat="1" x14ac:dyDescent="0.2"/>
    <row r="14459" s="166" customFormat="1" x14ac:dyDescent="0.2"/>
    <row r="14460" s="166" customFormat="1" x14ac:dyDescent="0.2"/>
    <row r="14461" s="166" customFormat="1" x14ac:dyDescent="0.2"/>
    <row r="14462" s="166" customFormat="1" x14ac:dyDescent="0.2"/>
    <row r="14463" s="166" customFormat="1" x14ac:dyDescent="0.2"/>
    <row r="14464" s="166" customFormat="1" x14ac:dyDescent="0.2"/>
    <row r="14465" s="166" customFormat="1" x14ac:dyDescent="0.2"/>
    <row r="14466" s="166" customFormat="1" x14ac:dyDescent="0.2"/>
    <row r="14467" s="166" customFormat="1" x14ac:dyDescent="0.2"/>
    <row r="14468" s="166" customFormat="1" x14ac:dyDescent="0.2"/>
    <row r="14469" s="166" customFormat="1" x14ac:dyDescent="0.2"/>
    <row r="14470" s="166" customFormat="1" x14ac:dyDescent="0.2"/>
    <row r="14471" s="166" customFormat="1" x14ac:dyDescent="0.2"/>
    <row r="14472" s="166" customFormat="1" x14ac:dyDescent="0.2"/>
    <row r="14473" s="166" customFormat="1" x14ac:dyDescent="0.2"/>
    <row r="14474" s="166" customFormat="1" x14ac:dyDescent="0.2"/>
    <row r="14475" s="166" customFormat="1" x14ac:dyDescent="0.2"/>
    <row r="14476" s="166" customFormat="1" x14ac:dyDescent="0.2"/>
    <row r="14477" s="166" customFormat="1" x14ac:dyDescent="0.2"/>
    <row r="14478" s="166" customFormat="1" x14ac:dyDescent="0.2"/>
    <row r="14479" s="166" customFormat="1" x14ac:dyDescent="0.2"/>
    <row r="14480" s="166" customFormat="1" x14ac:dyDescent="0.2"/>
    <row r="14481" s="166" customFormat="1" x14ac:dyDescent="0.2"/>
    <row r="14482" s="166" customFormat="1" x14ac:dyDescent="0.2"/>
    <row r="14483" s="166" customFormat="1" x14ac:dyDescent="0.2"/>
    <row r="14484" s="166" customFormat="1" x14ac:dyDescent="0.2"/>
    <row r="14485" s="166" customFormat="1" x14ac:dyDescent="0.2"/>
    <row r="14486" s="166" customFormat="1" x14ac:dyDescent="0.2"/>
    <row r="14487" s="166" customFormat="1" x14ac:dyDescent="0.2"/>
    <row r="14488" s="166" customFormat="1" x14ac:dyDescent="0.2"/>
    <row r="14489" s="166" customFormat="1" x14ac:dyDescent="0.2"/>
    <row r="14490" s="166" customFormat="1" x14ac:dyDescent="0.2"/>
    <row r="14491" s="166" customFormat="1" x14ac:dyDescent="0.2"/>
    <row r="14492" s="166" customFormat="1" x14ac:dyDescent="0.2"/>
    <row r="14493" s="166" customFormat="1" x14ac:dyDescent="0.2"/>
    <row r="14494" s="166" customFormat="1" x14ac:dyDescent="0.2"/>
    <row r="14495" s="166" customFormat="1" x14ac:dyDescent="0.2"/>
    <row r="14496" s="166" customFormat="1" x14ac:dyDescent="0.2"/>
    <row r="14497" s="166" customFormat="1" x14ac:dyDescent="0.2"/>
    <row r="14498" s="166" customFormat="1" x14ac:dyDescent="0.2"/>
    <row r="14499" s="166" customFormat="1" x14ac:dyDescent="0.2"/>
    <row r="14500" s="166" customFormat="1" x14ac:dyDescent="0.2"/>
    <row r="14501" s="166" customFormat="1" x14ac:dyDescent="0.2"/>
    <row r="14502" s="166" customFormat="1" x14ac:dyDescent="0.2"/>
    <row r="14503" s="166" customFormat="1" x14ac:dyDescent="0.2"/>
    <row r="14504" s="166" customFormat="1" x14ac:dyDescent="0.2"/>
    <row r="14505" s="166" customFormat="1" x14ac:dyDescent="0.2"/>
    <row r="14506" s="166" customFormat="1" x14ac:dyDescent="0.2"/>
    <row r="14507" s="166" customFormat="1" x14ac:dyDescent="0.2"/>
    <row r="14508" s="166" customFormat="1" x14ac:dyDescent="0.2"/>
    <row r="14509" s="166" customFormat="1" x14ac:dyDescent="0.2"/>
    <row r="14510" s="166" customFormat="1" x14ac:dyDescent="0.2"/>
    <row r="14511" s="166" customFormat="1" x14ac:dyDescent="0.2"/>
    <row r="14512" s="166" customFormat="1" x14ac:dyDescent="0.2"/>
    <row r="14513" s="166" customFormat="1" x14ac:dyDescent="0.2"/>
    <row r="14514" s="166" customFormat="1" x14ac:dyDescent="0.2"/>
    <row r="14515" s="166" customFormat="1" x14ac:dyDescent="0.2"/>
    <row r="14516" s="166" customFormat="1" x14ac:dyDescent="0.2"/>
    <row r="14517" s="166" customFormat="1" x14ac:dyDescent="0.2"/>
    <row r="14518" s="166" customFormat="1" x14ac:dyDescent="0.2"/>
    <row r="14519" s="166" customFormat="1" x14ac:dyDescent="0.2"/>
    <row r="14520" s="166" customFormat="1" x14ac:dyDescent="0.2"/>
    <row r="14521" s="166" customFormat="1" x14ac:dyDescent="0.2"/>
    <row r="14522" s="166" customFormat="1" x14ac:dyDescent="0.2"/>
    <row r="14523" s="166" customFormat="1" x14ac:dyDescent="0.2"/>
    <row r="14524" s="166" customFormat="1" x14ac:dyDescent="0.2"/>
    <row r="14525" s="166" customFormat="1" x14ac:dyDescent="0.2"/>
    <row r="14526" s="166" customFormat="1" x14ac:dyDescent="0.2"/>
    <row r="14527" s="166" customFormat="1" x14ac:dyDescent="0.2"/>
    <row r="14528" s="166" customFormat="1" x14ac:dyDescent="0.2"/>
    <row r="14529" s="166" customFormat="1" x14ac:dyDescent="0.2"/>
    <row r="14530" s="166" customFormat="1" x14ac:dyDescent="0.2"/>
    <row r="14531" s="166" customFormat="1" x14ac:dyDescent="0.2"/>
    <row r="14532" s="166" customFormat="1" x14ac:dyDescent="0.2"/>
    <row r="14533" s="166" customFormat="1" x14ac:dyDescent="0.2"/>
    <row r="14534" s="166" customFormat="1" x14ac:dyDescent="0.2"/>
    <row r="14535" s="166" customFormat="1" x14ac:dyDescent="0.2"/>
    <row r="14536" s="166" customFormat="1" x14ac:dyDescent="0.2"/>
    <row r="14537" s="166" customFormat="1" x14ac:dyDescent="0.2"/>
    <row r="14538" s="166" customFormat="1" x14ac:dyDescent="0.2"/>
    <row r="14539" s="166" customFormat="1" x14ac:dyDescent="0.2"/>
    <row r="14540" s="166" customFormat="1" x14ac:dyDescent="0.2"/>
    <row r="14541" s="166" customFormat="1" x14ac:dyDescent="0.2"/>
    <row r="14542" s="166" customFormat="1" x14ac:dyDescent="0.2"/>
    <row r="14543" s="166" customFormat="1" x14ac:dyDescent="0.2"/>
    <row r="14544" s="166" customFormat="1" x14ac:dyDescent="0.2"/>
    <row r="14545" s="166" customFormat="1" x14ac:dyDescent="0.2"/>
    <row r="14546" s="166" customFormat="1" x14ac:dyDescent="0.2"/>
    <row r="14547" s="166" customFormat="1" x14ac:dyDescent="0.2"/>
    <row r="14548" s="166" customFormat="1" x14ac:dyDescent="0.2"/>
    <row r="14549" s="166" customFormat="1" x14ac:dyDescent="0.2"/>
    <row r="14550" s="166" customFormat="1" x14ac:dyDescent="0.2"/>
    <row r="14551" s="166" customFormat="1" x14ac:dyDescent="0.2"/>
    <row r="14552" s="166" customFormat="1" x14ac:dyDescent="0.2"/>
    <row r="14553" s="166" customFormat="1" x14ac:dyDescent="0.2"/>
    <row r="14554" s="166" customFormat="1" x14ac:dyDescent="0.2"/>
    <row r="14555" s="166" customFormat="1" x14ac:dyDescent="0.2"/>
    <row r="14556" s="166" customFormat="1" x14ac:dyDescent="0.2"/>
    <row r="14557" s="166" customFormat="1" x14ac:dyDescent="0.2"/>
    <row r="14558" s="166" customFormat="1" x14ac:dyDescent="0.2"/>
    <row r="14559" s="166" customFormat="1" x14ac:dyDescent="0.2"/>
    <row r="14560" s="166" customFormat="1" x14ac:dyDescent="0.2"/>
    <row r="14561" s="166" customFormat="1" x14ac:dyDescent="0.2"/>
    <row r="14562" s="166" customFormat="1" x14ac:dyDescent="0.2"/>
    <row r="14563" s="166" customFormat="1" x14ac:dyDescent="0.2"/>
    <row r="14564" s="166" customFormat="1" x14ac:dyDescent="0.2"/>
    <row r="14565" s="166" customFormat="1" x14ac:dyDescent="0.2"/>
    <row r="14566" s="166" customFormat="1" x14ac:dyDescent="0.2"/>
    <row r="14567" s="166" customFormat="1" x14ac:dyDescent="0.2"/>
    <row r="14568" s="166" customFormat="1" x14ac:dyDescent="0.2"/>
    <row r="14569" s="166" customFormat="1" x14ac:dyDescent="0.2"/>
    <row r="14570" s="166" customFormat="1" x14ac:dyDescent="0.2"/>
    <row r="14571" s="166" customFormat="1" x14ac:dyDescent="0.2"/>
    <row r="14572" s="166" customFormat="1" x14ac:dyDescent="0.2"/>
    <row r="14573" s="166" customFormat="1" x14ac:dyDescent="0.2"/>
    <row r="14574" s="166" customFormat="1" x14ac:dyDescent="0.2"/>
    <row r="14575" s="166" customFormat="1" x14ac:dyDescent="0.2"/>
    <row r="14576" s="166" customFormat="1" x14ac:dyDescent="0.2"/>
    <row r="14577" s="166" customFormat="1" x14ac:dyDescent="0.2"/>
    <row r="14578" s="166" customFormat="1" x14ac:dyDescent="0.2"/>
    <row r="14579" s="166" customFormat="1" x14ac:dyDescent="0.2"/>
    <row r="14580" s="166" customFormat="1" x14ac:dyDescent="0.2"/>
    <row r="14581" s="166" customFormat="1" x14ac:dyDescent="0.2"/>
    <row r="14582" s="166" customFormat="1" x14ac:dyDescent="0.2"/>
    <row r="14583" s="166" customFormat="1" x14ac:dyDescent="0.2"/>
    <row r="14584" s="166" customFormat="1" x14ac:dyDescent="0.2"/>
    <row r="14585" s="166" customFormat="1" x14ac:dyDescent="0.2"/>
    <row r="14586" s="166" customFormat="1" x14ac:dyDescent="0.2"/>
    <row r="14587" s="166" customFormat="1" x14ac:dyDescent="0.2"/>
    <row r="14588" s="166" customFormat="1" x14ac:dyDescent="0.2"/>
    <row r="14589" s="166" customFormat="1" x14ac:dyDescent="0.2"/>
    <row r="14590" s="166" customFormat="1" x14ac:dyDescent="0.2"/>
    <row r="14591" s="166" customFormat="1" x14ac:dyDescent="0.2"/>
    <row r="14592" s="166" customFormat="1" x14ac:dyDescent="0.2"/>
    <row r="14593" s="166" customFormat="1" x14ac:dyDescent="0.2"/>
    <row r="14594" s="166" customFormat="1" x14ac:dyDescent="0.2"/>
    <row r="14595" s="166" customFormat="1" x14ac:dyDescent="0.2"/>
    <row r="14596" s="166" customFormat="1" x14ac:dyDescent="0.2"/>
    <row r="14597" s="166" customFormat="1" x14ac:dyDescent="0.2"/>
    <row r="14598" s="166" customFormat="1" x14ac:dyDescent="0.2"/>
    <row r="14599" s="166" customFormat="1" x14ac:dyDescent="0.2"/>
    <row r="14600" s="166" customFormat="1" x14ac:dyDescent="0.2"/>
    <row r="14601" s="166" customFormat="1" x14ac:dyDescent="0.2"/>
    <row r="14602" s="166" customFormat="1" x14ac:dyDescent="0.2"/>
    <row r="14603" s="166" customFormat="1" x14ac:dyDescent="0.2"/>
    <row r="14604" s="166" customFormat="1" x14ac:dyDescent="0.2"/>
    <row r="14605" s="166" customFormat="1" x14ac:dyDescent="0.2"/>
    <row r="14606" s="166" customFormat="1" x14ac:dyDescent="0.2"/>
    <row r="14607" s="166" customFormat="1" x14ac:dyDescent="0.2"/>
    <row r="14608" s="166" customFormat="1" x14ac:dyDescent="0.2"/>
    <row r="14609" s="166" customFormat="1" x14ac:dyDescent="0.2"/>
    <row r="14610" s="166" customFormat="1" x14ac:dyDescent="0.2"/>
    <row r="14611" s="166" customFormat="1" x14ac:dyDescent="0.2"/>
    <row r="14612" s="166" customFormat="1" x14ac:dyDescent="0.2"/>
    <row r="14613" s="166" customFormat="1" x14ac:dyDescent="0.2"/>
    <row r="14614" s="166" customFormat="1" x14ac:dyDescent="0.2"/>
    <row r="14615" s="166" customFormat="1" x14ac:dyDescent="0.2"/>
    <row r="14616" s="166" customFormat="1" x14ac:dyDescent="0.2"/>
    <row r="14617" s="166" customFormat="1" x14ac:dyDescent="0.2"/>
    <row r="14618" s="166" customFormat="1" x14ac:dyDescent="0.2"/>
    <row r="14619" s="166" customFormat="1" x14ac:dyDescent="0.2"/>
    <row r="14620" s="166" customFormat="1" x14ac:dyDescent="0.2"/>
    <row r="14621" s="166" customFormat="1" x14ac:dyDescent="0.2"/>
    <row r="14622" s="166" customFormat="1" x14ac:dyDescent="0.2"/>
    <row r="14623" s="166" customFormat="1" x14ac:dyDescent="0.2"/>
    <row r="14624" s="166" customFormat="1" x14ac:dyDescent="0.2"/>
    <row r="14625" s="166" customFormat="1" x14ac:dyDescent="0.2"/>
    <row r="14626" s="166" customFormat="1" x14ac:dyDescent="0.2"/>
    <row r="14627" s="166" customFormat="1" x14ac:dyDescent="0.2"/>
    <row r="14628" s="166" customFormat="1" x14ac:dyDescent="0.2"/>
    <row r="14629" s="166" customFormat="1" x14ac:dyDescent="0.2"/>
    <row r="14630" s="166" customFormat="1" x14ac:dyDescent="0.2"/>
    <row r="14631" s="166" customFormat="1" x14ac:dyDescent="0.2"/>
    <row r="14632" s="166" customFormat="1" x14ac:dyDescent="0.2"/>
    <row r="14633" s="166" customFormat="1" x14ac:dyDescent="0.2"/>
    <row r="14634" s="166" customFormat="1" x14ac:dyDescent="0.2"/>
    <row r="14635" s="166" customFormat="1" x14ac:dyDescent="0.2"/>
    <row r="14636" s="166" customFormat="1" x14ac:dyDescent="0.2"/>
    <row r="14637" s="166" customFormat="1" x14ac:dyDescent="0.2"/>
    <row r="14638" s="166" customFormat="1" x14ac:dyDescent="0.2"/>
    <row r="14639" s="166" customFormat="1" x14ac:dyDescent="0.2"/>
    <row r="14640" s="166" customFormat="1" x14ac:dyDescent="0.2"/>
    <row r="14641" s="166" customFormat="1" x14ac:dyDescent="0.2"/>
    <row r="14642" s="166" customFormat="1" x14ac:dyDescent="0.2"/>
    <row r="14643" s="166" customFormat="1" x14ac:dyDescent="0.2"/>
    <row r="14644" s="166" customFormat="1" x14ac:dyDescent="0.2"/>
    <row r="14645" s="166" customFormat="1" x14ac:dyDescent="0.2"/>
    <row r="14646" s="166" customFormat="1" x14ac:dyDescent="0.2"/>
    <row r="14647" s="166" customFormat="1" x14ac:dyDescent="0.2"/>
    <row r="14648" s="166" customFormat="1" x14ac:dyDescent="0.2"/>
    <row r="14649" s="166" customFormat="1" x14ac:dyDescent="0.2"/>
    <row r="14650" s="166" customFormat="1" x14ac:dyDescent="0.2"/>
    <row r="14651" s="166" customFormat="1" x14ac:dyDescent="0.2"/>
    <row r="14652" s="166" customFormat="1" x14ac:dyDescent="0.2"/>
    <row r="14653" s="166" customFormat="1" x14ac:dyDescent="0.2"/>
    <row r="14654" s="166" customFormat="1" x14ac:dyDescent="0.2"/>
    <row r="14655" s="166" customFormat="1" x14ac:dyDescent="0.2"/>
    <row r="14656" s="166" customFormat="1" x14ac:dyDescent="0.2"/>
    <row r="14657" s="166" customFormat="1" x14ac:dyDescent="0.2"/>
    <row r="14658" s="166" customFormat="1" x14ac:dyDescent="0.2"/>
    <row r="14659" s="166" customFormat="1" x14ac:dyDescent="0.2"/>
    <row r="14660" s="166" customFormat="1" x14ac:dyDescent="0.2"/>
    <row r="14661" s="166" customFormat="1" x14ac:dyDescent="0.2"/>
    <row r="14662" s="166" customFormat="1" x14ac:dyDescent="0.2"/>
    <row r="14663" s="166" customFormat="1" x14ac:dyDescent="0.2"/>
    <row r="14664" s="166" customFormat="1" x14ac:dyDescent="0.2"/>
    <row r="14665" s="166" customFormat="1" x14ac:dyDescent="0.2"/>
    <row r="14666" s="166" customFormat="1" x14ac:dyDescent="0.2"/>
    <row r="14667" s="166" customFormat="1" x14ac:dyDescent="0.2"/>
    <row r="14668" s="166" customFormat="1" x14ac:dyDescent="0.2"/>
    <row r="14669" s="166" customFormat="1" x14ac:dyDescent="0.2"/>
    <row r="14670" s="166" customFormat="1" x14ac:dyDescent="0.2"/>
    <row r="14671" s="166" customFormat="1" x14ac:dyDescent="0.2"/>
    <row r="14672" s="166" customFormat="1" x14ac:dyDescent="0.2"/>
    <row r="14673" s="166" customFormat="1" x14ac:dyDescent="0.2"/>
    <row r="14674" s="166" customFormat="1" x14ac:dyDescent="0.2"/>
    <row r="14675" s="166" customFormat="1" x14ac:dyDescent="0.2"/>
    <row r="14676" s="166" customFormat="1" x14ac:dyDescent="0.2"/>
    <row r="14677" s="166" customFormat="1" x14ac:dyDescent="0.2"/>
    <row r="14678" s="166" customFormat="1" x14ac:dyDescent="0.2"/>
    <row r="14679" s="166" customFormat="1" x14ac:dyDescent="0.2"/>
    <row r="14680" s="166" customFormat="1" x14ac:dyDescent="0.2"/>
    <row r="14681" s="166" customFormat="1" x14ac:dyDescent="0.2"/>
    <row r="14682" s="166" customFormat="1" x14ac:dyDescent="0.2"/>
    <row r="14683" s="166" customFormat="1" x14ac:dyDescent="0.2"/>
    <row r="14684" s="166" customFormat="1" x14ac:dyDescent="0.2"/>
    <row r="14685" s="166" customFormat="1" x14ac:dyDescent="0.2"/>
    <row r="14686" s="166" customFormat="1" x14ac:dyDescent="0.2"/>
    <row r="14687" s="166" customFormat="1" x14ac:dyDescent="0.2"/>
    <row r="14688" s="166" customFormat="1" x14ac:dyDescent="0.2"/>
    <row r="14689" s="166" customFormat="1" x14ac:dyDescent="0.2"/>
    <row r="14690" s="166" customFormat="1" x14ac:dyDescent="0.2"/>
    <row r="14691" s="166" customFormat="1" x14ac:dyDescent="0.2"/>
    <row r="14692" s="166" customFormat="1" x14ac:dyDescent="0.2"/>
    <row r="14693" s="166" customFormat="1" x14ac:dyDescent="0.2"/>
    <row r="14694" s="166" customFormat="1" x14ac:dyDescent="0.2"/>
    <row r="14695" s="166" customFormat="1" x14ac:dyDescent="0.2"/>
    <row r="14696" s="166" customFormat="1" x14ac:dyDescent="0.2"/>
    <row r="14697" s="166" customFormat="1" x14ac:dyDescent="0.2"/>
    <row r="14698" s="166" customFormat="1" x14ac:dyDescent="0.2"/>
    <row r="14699" s="166" customFormat="1" x14ac:dyDescent="0.2"/>
    <row r="14700" s="166" customFormat="1" x14ac:dyDescent="0.2"/>
    <row r="14701" s="166" customFormat="1" x14ac:dyDescent="0.2"/>
    <row r="14702" s="166" customFormat="1" x14ac:dyDescent="0.2"/>
    <row r="14703" s="166" customFormat="1" x14ac:dyDescent="0.2"/>
    <row r="14704" s="166" customFormat="1" x14ac:dyDescent="0.2"/>
    <row r="14705" s="166" customFormat="1" x14ac:dyDescent="0.2"/>
    <row r="14706" s="166" customFormat="1" x14ac:dyDescent="0.2"/>
    <row r="14707" s="166" customFormat="1" x14ac:dyDescent="0.2"/>
    <row r="14708" s="166" customFormat="1" x14ac:dyDescent="0.2"/>
    <row r="14709" s="166" customFormat="1" x14ac:dyDescent="0.2"/>
    <row r="14710" s="166" customFormat="1" x14ac:dyDescent="0.2"/>
    <row r="14711" s="166" customFormat="1" x14ac:dyDescent="0.2"/>
    <row r="14712" s="166" customFormat="1" x14ac:dyDescent="0.2"/>
    <row r="14713" s="166" customFormat="1" x14ac:dyDescent="0.2"/>
    <row r="14714" s="166" customFormat="1" x14ac:dyDescent="0.2"/>
    <row r="14715" s="166" customFormat="1" x14ac:dyDescent="0.2"/>
    <row r="14716" s="166" customFormat="1" x14ac:dyDescent="0.2"/>
    <row r="14717" s="166" customFormat="1" x14ac:dyDescent="0.2"/>
    <row r="14718" s="166" customFormat="1" x14ac:dyDescent="0.2"/>
    <row r="14719" s="166" customFormat="1" x14ac:dyDescent="0.2"/>
    <row r="14720" s="166" customFormat="1" x14ac:dyDescent="0.2"/>
    <row r="14721" s="166" customFormat="1" x14ac:dyDescent="0.2"/>
    <row r="14722" s="166" customFormat="1" x14ac:dyDescent="0.2"/>
    <row r="14723" s="166" customFormat="1" x14ac:dyDescent="0.2"/>
    <row r="14724" s="166" customFormat="1" x14ac:dyDescent="0.2"/>
    <row r="14725" s="166" customFormat="1" x14ac:dyDescent="0.2"/>
    <row r="14726" s="166" customFormat="1" x14ac:dyDescent="0.2"/>
    <row r="14727" s="166" customFormat="1" x14ac:dyDescent="0.2"/>
    <row r="14728" s="166" customFormat="1" x14ac:dyDescent="0.2"/>
    <row r="14729" s="166" customFormat="1" x14ac:dyDescent="0.2"/>
    <row r="14730" s="166" customFormat="1" x14ac:dyDescent="0.2"/>
    <row r="14731" s="166" customFormat="1" x14ac:dyDescent="0.2"/>
    <row r="14732" s="166" customFormat="1" x14ac:dyDescent="0.2"/>
    <row r="14733" s="166" customFormat="1" x14ac:dyDescent="0.2"/>
    <row r="14734" s="166" customFormat="1" x14ac:dyDescent="0.2"/>
    <row r="14735" s="166" customFormat="1" x14ac:dyDescent="0.2"/>
    <row r="14736" s="166" customFormat="1" x14ac:dyDescent="0.2"/>
    <row r="14737" s="166" customFormat="1" x14ac:dyDescent="0.2"/>
    <row r="14738" s="166" customFormat="1" x14ac:dyDescent="0.2"/>
    <row r="14739" s="166" customFormat="1" x14ac:dyDescent="0.2"/>
    <row r="14740" s="166" customFormat="1" x14ac:dyDescent="0.2"/>
    <row r="14741" s="166" customFormat="1" x14ac:dyDescent="0.2"/>
    <row r="14742" s="166" customFormat="1" x14ac:dyDescent="0.2"/>
    <row r="14743" s="166" customFormat="1" x14ac:dyDescent="0.2"/>
    <row r="14744" s="166" customFormat="1" x14ac:dyDescent="0.2"/>
    <row r="14745" s="166" customFormat="1" x14ac:dyDescent="0.2"/>
    <row r="14746" s="166" customFormat="1" x14ac:dyDescent="0.2"/>
    <row r="14747" s="166" customFormat="1" x14ac:dyDescent="0.2"/>
    <row r="14748" s="166" customFormat="1" x14ac:dyDescent="0.2"/>
    <row r="14749" s="166" customFormat="1" x14ac:dyDescent="0.2"/>
    <row r="14750" s="166" customFormat="1" x14ac:dyDescent="0.2"/>
    <row r="14751" s="166" customFormat="1" x14ac:dyDescent="0.2"/>
    <row r="14752" s="166" customFormat="1" x14ac:dyDescent="0.2"/>
    <row r="14753" s="166" customFormat="1" x14ac:dyDescent="0.2"/>
    <row r="14754" s="166" customFormat="1" x14ac:dyDescent="0.2"/>
    <row r="14755" s="166" customFormat="1" x14ac:dyDescent="0.2"/>
    <row r="14756" s="166" customFormat="1" x14ac:dyDescent="0.2"/>
    <row r="14757" s="166" customFormat="1" x14ac:dyDescent="0.2"/>
    <row r="14758" s="166" customFormat="1" x14ac:dyDescent="0.2"/>
    <row r="14759" s="166" customFormat="1" x14ac:dyDescent="0.2"/>
    <row r="14760" s="166" customFormat="1" x14ac:dyDescent="0.2"/>
    <row r="14761" s="166" customFormat="1" x14ac:dyDescent="0.2"/>
    <row r="14762" s="166" customFormat="1" x14ac:dyDescent="0.2"/>
    <row r="14763" s="166" customFormat="1" x14ac:dyDescent="0.2"/>
    <row r="14764" s="166" customFormat="1" x14ac:dyDescent="0.2"/>
    <row r="14765" s="166" customFormat="1" x14ac:dyDescent="0.2"/>
    <row r="14766" s="166" customFormat="1" x14ac:dyDescent="0.2"/>
    <row r="14767" s="166" customFormat="1" x14ac:dyDescent="0.2"/>
    <row r="14768" s="166" customFormat="1" x14ac:dyDescent="0.2"/>
    <row r="14769" s="166" customFormat="1" x14ac:dyDescent="0.2"/>
    <row r="14770" s="166" customFormat="1" x14ac:dyDescent="0.2"/>
    <row r="14771" s="166" customFormat="1" x14ac:dyDescent="0.2"/>
    <row r="14772" s="166" customFormat="1" x14ac:dyDescent="0.2"/>
    <row r="14773" s="166" customFormat="1" x14ac:dyDescent="0.2"/>
    <row r="14774" s="166" customFormat="1" x14ac:dyDescent="0.2"/>
    <row r="14775" s="166" customFormat="1" x14ac:dyDescent="0.2"/>
    <row r="14776" s="166" customFormat="1" x14ac:dyDescent="0.2"/>
    <row r="14777" s="166" customFormat="1" x14ac:dyDescent="0.2"/>
    <row r="14778" s="166" customFormat="1" x14ac:dyDescent="0.2"/>
    <row r="14779" s="166" customFormat="1" x14ac:dyDescent="0.2"/>
    <row r="14780" s="166" customFormat="1" x14ac:dyDescent="0.2"/>
    <row r="14781" s="166" customFormat="1" x14ac:dyDescent="0.2"/>
    <row r="14782" s="166" customFormat="1" x14ac:dyDescent="0.2"/>
    <row r="14783" s="166" customFormat="1" x14ac:dyDescent="0.2"/>
    <row r="14784" s="166" customFormat="1" x14ac:dyDescent="0.2"/>
    <row r="14785" s="166" customFormat="1" x14ac:dyDescent="0.2"/>
    <row r="14786" s="166" customFormat="1" x14ac:dyDescent="0.2"/>
    <row r="14787" s="166" customFormat="1" x14ac:dyDescent="0.2"/>
    <row r="14788" s="166" customFormat="1" x14ac:dyDescent="0.2"/>
    <row r="14789" s="166" customFormat="1" x14ac:dyDescent="0.2"/>
    <row r="14790" s="166" customFormat="1" x14ac:dyDescent="0.2"/>
    <row r="14791" s="166" customFormat="1" x14ac:dyDescent="0.2"/>
    <row r="14792" s="166" customFormat="1" x14ac:dyDescent="0.2"/>
    <row r="14793" s="166" customFormat="1" x14ac:dyDescent="0.2"/>
    <row r="14794" s="166" customFormat="1" x14ac:dyDescent="0.2"/>
    <row r="14795" s="166" customFormat="1" x14ac:dyDescent="0.2"/>
    <row r="14796" s="166" customFormat="1" x14ac:dyDescent="0.2"/>
    <row r="14797" s="166" customFormat="1" x14ac:dyDescent="0.2"/>
    <row r="14798" s="166" customFormat="1" x14ac:dyDescent="0.2"/>
    <row r="14799" s="166" customFormat="1" x14ac:dyDescent="0.2"/>
    <row r="14800" s="166" customFormat="1" x14ac:dyDescent="0.2"/>
    <row r="14801" s="166" customFormat="1" x14ac:dyDescent="0.2"/>
    <row r="14802" s="166" customFormat="1" x14ac:dyDescent="0.2"/>
    <row r="14803" s="166" customFormat="1" x14ac:dyDescent="0.2"/>
    <row r="14804" s="166" customFormat="1" x14ac:dyDescent="0.2"/>
    <row r="14805" s="166" customFormat="1" x14ac:dyDescent="0.2"/>
    <row r="14806" s="166" customFormat="1" x14ac:dyDescent="0.2"/>
    <row r="14807" s="166" customFormat="1" x14ac:dyDescent="0.2"/>
    <row r="14808" s="166" customFormat="1" x14ac:dyDescent="0.2"/>
    <row r="14809" s="166" customFormat="1" x14ac:dyDescent="0.2"/>
    <row r="14810" s="166" customFormat="1" x14ac:dyDescent="0.2"/>
    <row r="14811" s="166" customFormat="1" x14ac:dyDescent="0.2"/>
    <row r="14812" s="166" customFormat="1" x14ac:dyDescent="0.2"/>
    <row r="14813" s="166" customFormat="1" x14ac:dyDescent="0.2"/>
    <row r="14814" s="166" customFormat="1" x14ac:dyDescent="0.2"/>
    <row r="14815" s="166" customFormat="1" x14ac:dyDescent="0.2"/>
    <row r="14816" s="166" customFormat="1" x14ac:dyDescent="0.2"/>
    <row r="14817" s="166" customFormat="1" x14ac:dyDescent="0.2"/>
    <row r="14818" s="166" customFormat="1" x14ac:dyDescent="0.2"/>
    <row r="14819" s="166" customFormat="1" x14ac:dyDescent="0.2"/>
    <row r="14820" s="166" customFormat="1" x14ac:dyDescent="0.2"/>
    <row r="14821" s="166" customFormat="1" x14ac:dyDescent="0.2"/>
    <row r="14822" s="166" customFormat="1" x14ac:dyDescent="0.2"/>
    <row r="14823" s="166" customFormat="1" x14ac:dyDescent="0.2"/>
    <row r="14824" s="166" customFormat="1" x14ac:dyDescent="0.2"/>
    <row r="14825" s="166" customFormat="1" x14ac:dyDescent="0.2"/>
    <row r="14826" s="166" customFormat="1" x14ac:dyDescent="0.2"/>
    <row r="14827" s="166" customFormat="1" x14ac:dyDescent="0.2"/>
    <row r="14828" s="166" customFormat="1" x14ac:dyDescent="0.2"/>
    <row r="14829" s="166" customFormat="1" x14ac:dyDescent="0.2"/>
    <row r="14830" s="166" customFormat="1" x14ac:dyDescent="0.2"/>
    <row r="14831" s="166" customFormat="1" x14ac:dyDescent="0.2"/>
    <row r="14832" s="166" customFormat="1" x14ac:dyDescent="0.2"/>
    <row r="14833" s="166" customFormat="1" x14ac:dyDescent="0.2"/>
    <row r="14834" s="166" customFormat="1" x14ac:dyDescent="0.2"/>
    <row r="14835" s="166" customFormat="1" x14ac:dyDescent="0.2"/>
    <row r="14836" s="166" customFormat="1" x14ac:dyDescent="0.2"/>
    <row r="14837" s="166" customFormat="1" x14ac:dyDescent="0.2"/>
    <row r="14838" s="166" customFormat="1" x14ac:dyDescent="0.2"/>
    <row r="14839" s="166" customFormat="1" x14ac:dyDescent="0.2"/>
    <row r="14840" s="166" customFormat="1" x14ac:dyDescent="0.2"/>
    <row r="14841" s="166" customFormat="1" x14ac:dyDescent="0.2"/>
    <row r="14842" s="166" customFormat="1" x14ac:dyDescent="0.2"/>
    <row r="14843" s="166" customFormat="1" x14ac:dyDescent="0.2"/>
    <row r="14844" s="166" customFormat="1" x14ac:dyDescent="0.2"/>
    <row r="14845" s="166" customFormat="1" x14ac:dyDescent="0.2"/>
    <row r="14846" s="166" customFormat="1" x14ac:dyDescent="0.2"/>
    <row r="14847" s="166" customFormat="1" x14ac:dyDescent="0.2"/>
    <row r="14848" s="166" customFormat="1" x14ac:dyDescent="0.2"/>
    <row r="14849" s="166" customFormat="1" x14ac:dyDescent="0.2"/>
    <row r="14850" s="166" customFormat="1" x14ac:dyDescent="0.2"/>
    <row r="14851" s="166" customFormat="1" x14ac:dyDescent="0.2"/>
    <row r="14852" s="166" customFormat="1" x14ac:dyDescent="0.2"/>
    <row r="14853" s="166" customFormat="1" x14ac:dyDescent="0.2"/>
    <row r="14854" s="166" customFormat="1" x14ac:dyDescent="0.2"/>
    <row r="14855" s="166" customFormat="1" x14ac:dyDescent="0.2"/>
    <row r="14856" s="166" customFormat="1" x14ac:dyDescent="0.2"/>
    <row r="14857" s="166" customFormat="1" x14ac:dyDescent="0.2"/>
    <row r="14858" s="166" customFormat="1" x14ac:dyDescent="0.2"/>
    <row r="14859" s="166" customFormat="1" x14ac:dyDescent="0.2"/>
    <row r="14860" s="166" customFormat="1" x14ac:dyDescent="0.2"/>
    <row r="14861" s="166" customFormat="1" x14ac:dyDescent="0.2"/>
    <row r="14862" s="166" customFormat="1" x14ac:dyDescent="0.2"/>
    <row r="14863" s="166" customFormat="1" x14ac:dyDescent="0.2"/>
    <row r="14864" s="166" customFormat="1" x14ac:dyDescent="0.2"/>
    <row r="14865" s="166" customFormat="1" x14ac:dyDescent="0.2"/>
    <row r="14866" s="166" customFormat="1" x14ac:dyDescent="0.2"/>
    <row r="14867" s="166" customFormat="1" x14ac:dyDescent="0.2"/>
    <row r="14868" s="166" customFormat="1" x14ac:dyDescent="0.2"/>
    <row r="14869" s="166" customFormat="1" x14ac:dyDescent="0.2"/>
    <row r="14870" s="166" customFormat="1" x14ac:dyDescent="0.2"/>
    <row r="14871" s="166" customFormat="1" x14ac:dyDescent="0.2"/>
    <row r="14872" s="166" customFormat="1" x14ac:dyDescent="0.2"/>
    <row r="14873" s="166" customFormat="1" x14ac:dyDescent="0.2"/>
    <row r="14874" s="166" customFormat="1" x14ac:dyDescent="0.2"/>
    <row r="14875" s="166" customFormat="1" x14ac:dyDescent="0.2"/>
    <row r="14876" s="166" customFormat="1" x14ac:dyDescent="0.2"/>
    <row r="14877" s="166" customFormat="1" x14ac:dyDescent="0.2"/>
    <row r="14878" s="166" customFormat="1" x14ac:dyDescent="0.2"/>
    <row r="14879" s="166" customFormat="1" x14ac:dyDescent="0.2"/>
    <row r="14880" s="166" customFormat="1" x14ac:dyDescent="0.2"/>
    <row r="14881" s="166" customFormat="1" x14ac:dyDescent="0.2"/>
    <row r="14882" s="166" customFormat="1" x14ac:dyDescent="0.2"/>
    <row r="14883" s="166" customFormat="1" x14ac:dyDescent="0.2"/>
    <row r="14884" s="166" customFormat="1" x14ac:dyDescent="0.2"/>
    <row r="14885" s="166" customFormat="1" x14ac:dyDescent="0.2"/>
    <row r="14886" s="166" customFormat="1" x14ac:dyDescent="0.2"/>
    <row r="14887" s="166" customFormat="1" x14ac:dyDescent="0.2"/>
    <row r="14888" s="166" customFormat="1" x14ac:dyDescent="0.2"/>
    <row r="14889" s="166" customFormat="1" x14ac:dyDescent="0.2"/>
    <row r="14890" s="166" customFormat="1" x14ac:dyDescent="0.2"/>
    <row r="14891" s="166" customFormat="1" x14ac:dyDescent="0.2"/>
    <row r="14892" s="166" customFormat="1" x14ac:dyDescent="0.2"/>
    <row r="14893" s="166" customFormat="1" x14ac:dyDescent="0.2"/>
    <row r="14894" s="166" customFormat="1" x14ac:dyDescent="0.2"/>
    <row r="14895" s="166" customFormat="1" x14ac:dyDescent="0.2"/>
    <row r="14896" s="166" customFormat="1" x14ac:dyDescent="0.2"/>
    <row r="14897" s="166" customFormat="1" x14ac:dyDescent="0.2"/>
    <row r="14898" s="166" customFormat="1" x14ac:dyDescent="0.2"/>
    <row r="14899" s="166" customFormat="1" x14ac:dyDescent="0.2"/>
    <row r="14900" s="166" customFormat="1" x14ac:dyDescent="0.2"/>
    <row r="14901" s="166" customFormat="1" x14ac:dyDescent="0.2"/>
    <row r="14902" s="166" customFormat="1" x14ac:dyDescent="0.2"/>
    <row r="14903" s="166" customFormat="1" x14ac:dyDescent="0.2"/>
    <row r="14904" s="166" customFormat="1" x14ac:dyDescent="0.2"/>
    <row r="14905" s="166" customFormat="1" x14ac:dyDescent="0.2"/>
    <row r="14906" s="166" customFormat="1" x14ac:dyDescent="0.2"/>
    <row r="14907" s="166" customFormat="1" x14ac:dyDescent="0.2"/>
    <row r="14908" s="166" customFormat="1" x14ac:dyDescent="0.2"/>
    <row r="14909" s="166" customFormat="1" x14ac:dyDescent="0.2"/>
    <row r="14910" s="166" customFormat="1" x14ac:dyDescent="0.2"/>
    <row r="14911" s="166" customFormat="1" x14ac:dyDescent="0.2"/>
    <row r="14912" s="166" customFormat="1" x14ac:dyDescent="0.2"/>
    <row r="14913" s="166" customFormat="1" x14ac:dyDescent="0.2"/>
    <row r="14914" s="166" customFormat="1" x14ac:dyDescent="0.2"/>
    <row r="14915" s="166" customFormat="1" x14ac:dyDescent="0.2"/>
    <row r="14916" s="166" customFormat="1" x14ac:dyDescent="0.2"/>
    <row r="14917" s="166" customFormat="1" x14ac:dyDescent="0.2"/>
    <row r="14918" s="166" customFormat="1" x14ac:dyDescent="0.2"/>
    <row r="14919" s="166" customFormat="1" x14ac:dyDescent="0.2"/>
    <row r="14920" s="166" customFormat="1" x14ac:dyDescent="0.2"/>
    <row r="14921" s="166" customFormat="1" x14ac:dyDescent="0.2"/>
    <row r="14922" s="166" customFormat="1" x14ac:dyDescent="0.2"/>
    <row r="14923" s="166" customFormat="1" x14ac:dyDescent="0.2"/>
    <row r="14924" s="166" customFormat="1" x14ac:dyDescent="0.2"/>
    <row r="14925" s="166" customFormat="1" x14ac:dyDescent="0.2"/>
    <row r="14926" s="166" customFormat="1" x14ac:dyDescent="0.2"/>
    <row r="14927" s="166" customFormat="1" x14ac:dyDescent="0.2"/>
    <row r="14928" s="166" customFormat="1" x14ac:dyDescent="0.2"/>
    <row r="14929" s="166" customFormat="1" x14ac:dyDescent="0.2"/>
    <row r="14930" s="166" customFormat="1" x14ac:dyDescent="0.2"/>
    <row r="14931" s="166" customFormat="1" x14ac:dyDescent="0.2"/>
    <row r="14932" s="166" customFormat="1" x14ac:dyDescent="0.2"/>
    <row r="14933" s="166" customFormat="1" x14ac:dyDescent="0.2"/>
    <row r="14934" s="166" customFormat="1" x14ac:dyDescent="0.2"/>
    <row r="14935" s="166" customFormat="1" x14ac:dyDescent="0.2"/>
    <row r="14936" s="166" customFormat="1" x14ac:dyDescent="0.2"/>
    <row r="14937" s="166" customFormat="1" x14ac:dyDescent="0.2"/>
    <row r="14938" s="166" customFormat="1" x14ac:dyDescent="0.2"/>
    <row r="14939" s="166" customFormat="1" x14ac:dyDescent="0.2"/>
    <row r="14940" s="166" customFormat="1" x14ac:dyDescent="0.2"/>
    <row r="14941" s="166" customFormat="1" x14ac:dyDescent="0.2"/>
    <row r="14942" s="166" customFormat="1" x14ac:dyDescent="0.2"/>
    <row r="14943" s="166" customFormat="1" x14ac:dyDescent="0.2"/>
    <row r="14944" s="166" customFormat="1" x14ac:dyDescent="0.2"/>
    <row r="14945" s="166" customFormat="1" x14ac:dyDescent="0.2"/>
    <row r="14946" s="166" customFormat="1" x14ac:dyDescent="0.2"/>
    <row r="14947" s="166" customFormat="1" x14ac:dyDescent="0.2"/>
    <row r="14948" s="166" customFormat="1" x14ac:dyDescent="0.2"/>
    <row r="14949" s="166" customFormat="1" x14ac:dyDescent="0.2"/>
    <row r="14950" s="166" customFormat="1" x14ac:dyDescent="0.2"/>
    <row r="14951" s="166" customFormat="1" x14ac:dyDescent="0.2"/>
    <row r="14952" s="166" customFormat="1" x14ac:dyDescent="0.2"/>
    <row r="14953" s="166" customFormat="1" x14ac:dyDescent="0.2"/>
    <row r="14954" s="166" customFormat="1" x14ac:dyDescent="0.2"/>
    <row r="14955" s="166" customFormat="1" x14ac:dyDescent="0.2"/>
    <row r="14956" s="166" customFormat="1" x14ac:dyDescent="0.2"/>
    <row r="14957" s="166" customFormat="1" x14ac:dyDescent="0.2"/>
    <row r="14958" s="166" customFormat="1" x14ac:dyDescent="0.2"/>
    <row r="14959" s="166" customFormat="1" x14ac:dyDescent="0.2"/>
    <row r="14960" s="166" customFormat="1" x14ac:dyDescent="0.2"/>
    <row r="14961" s="166" customFormat="1" x14ac:dyDescent="0.2"/>
    <row r="14962" s="166" customFormat="1" x14ac:dyDescent="0.2"/>
    <row r="14963" s="166" customFormat="1" x14ac:dyDescent="0.2"/>
    <row r="14964" s="166" customFormat="1" x14ac:dyDescent="0.2"/>
    <row r="14965" s="166" customFormat="1" x14ac:dyDescent="0.2"/>
    <row r="14966" s="166" customFormat="1" x14ac:dyDescent="0.2"/>
    <row r="14967" s="166" customFormat="1" x14ac:dyDescent="0.2"/>
    <row r="14968" s="166" customFormat="1" x14ac:dyDescent="0.2"/>
    <row r="14969" s="166" customFormat="1" x14ac:dyDescent="0.2"/>
    <row r="14970" s="166" customFormat="1" x14ac:dyDescent="0.2"/>
    <row r="14971" s="166" customFormat="1" x14ac:dyDescent="0.2"/>
    <row r="14972" s="166" customFormat="1" x14ac:dyDescent="0.2"/>
    <row r="14973" s="166" customFormat="1" x14ac:dyDescent="0.2"/>
    <row r="14974" s="166" customFormat="1" x14ac:dyDescent="0.2"/>
    <row r="14975" s="166" customFormat="1" x14ac:dyDescent="0.2"/>
    <row r="14976" s="166" customFormat="1" x14ac:dyDescent="0.2"/>
    <row r="14977" s="166" customFormat="1" x14ac:dyDescent="0.2"/>
    <row r="14978" s="166" customFormat="1" x14ac:dyDescent="0.2"/>
    <row r="14979" s="166" customFormat="1" x14ac:dyDescent="0.2"/>
    <row r="14980" s="166" customFormat="1" x14ac:dyDescent="0.2"/>
    <row r="14981" s="166" customFormat="1" x14ac:dyDescent="0.2"/>
    <row r="14982" s="166" customFormat="1" x14ac:dyDescent="0.2"/>
    <row r="14983" s="166" customFormat="1" x14ac:dyDescent="0.2"/>
    <row r="14984" s="166" customFormat="1" x14ac:dyDescent="0.2"/>
    <row r="14985" s="166" customFormat="1" x14ac:dyDescent="0.2"/>
    <row r="14986" s="166" customFormat="1" x14ac:dyDescent="0.2"/>
    <row r="14987" s="166" customFormat="1" x14ac:dyDescent="0.2"/>
    <row r="14988" s="166" customFormat="1" x14ac:dyDescent="0.2"/>
    <row r="14989" s="166" customFormat="1" x14ac:dyDescent="0.2"/>
    <row r="14990" s="166" customFormat="1" x14ac:dyDescent="0.2"/>
    <row r="14991" s="166" customFormat="1" x14ac:dyDescent="0.2"/>
    <row r="14992" s="166" customFormat="1" x14ac:dyDescent="0.2"/>
    <row r="14993" s="166" customFormat="1" x14ac:dyDescent="0.2"/>
    <row r="14994" s="166" customFormat="1" x14ac:dyDescent="0.2"/>
    <row r="14995" s="166" customFormat="1" x14ac:dyDescent="0.2"/>
    <row r="14996" s="166" customFormat="1" x14ac:dyDescent="0.2"/>
    <row r="14997" s="166" customFormat="1" x14ac:dyDescent="0.2"/>
    <row r="14998" s="166" customFormat="1" x14ac:dyDescent="0.2"/>
    <row r="14999" s="166" customFormat="1" x14ac:dyDescent="0.2"/>
    <row r="15000" s="166" customFormat="1" x14ac:dyDescent="0.2"/>
    <row r="15001" s="166" customFormat="1" x14ac:dyDescent="0.2"/>
    <row r="15002" s="166" customFormat="1" x14ac:dyDescent="0.2"/>
    <row r="15003" s="166" customFormat="1" x14ac:dyDescent="0.2"/>
    <row r="15004" s="166" customFormat="1" x14ac:dyDescent="0.2"/>
    <row r="15005" s="166" customFormat="1" x14ac:dyDescent="0.2"/>
    <row r="15006" s="166" customFormat="1" x14ac:dyDescent="0.2"/>
    <row r="15007" s="166" customFormat="1" x14ac:dyDescent="0.2"/>
    <row r="15008" s="166" customFormat="1" x14ac:dyDescent="0.2"/>
    <row r="15009" s="166" customFormat="1" x14ac:dyDescent="0.2"/>
    <row r="15010" s="166" customFormat="1" x14ac:dyDescent="0.2"/>
    <row r="15011" s="166" customFormat="1" x14ac:dyDescent="0.2"/>
    <row r="15012" s="166" customFormat="1" x14ac:dyDescent="0.2"/>
    <row r="15013" s="166" customFormat="1" x14ac:dyDescent="0.2"/>
    <row r="15014" s="166" customFormat="1" x14ac:dyDescent="0.2"/>
    <row r="15015" s="166" customFormat="1" x14ac:dyDescent="0.2"/>
    <row r="15016" s="166" customFormat="1" x14ac:dyDescent="0.2"/>
    <row r="15017" s="166" customFormat="1" x14ac:dyDescent="0.2"/>
    <row r="15018" s="166" customFormat="1" x14ac:dyDescent="0.2"/>
    <row r="15019" s="166" customFormat="1" x14ac:dyDescent="0.2"/>
    <row r="15020" s="166" customFormat="1" x14ac:dyDescent="0.2"/>
    <row r="15021" s="166" customFormat="1" x14ac:dyDescent="0.2"/>
    <row r="15022" s="166" customFormat="1" x14ac:dyDescent="0.2"/>
    <row r="15023" s="166" customFormat="1" x14ac:dyDescent="0.2"/>
    <row r="15024" s="166" customFormat="1" x14ac:dyDescent="0.2"/>
    <row r="15025" s="166" customFormat="1" x14ac:dyDescent="0.2"/>
    <row r="15026" s="166" customFormat="1" x14ac:dyDescent="0.2"/>
    <row r="15027" s="166" customFormat="1" x14ac:dyDescent="0.2"/>
    <row r="15028" s="166" customFormat="1" x14ac:dyDescent="0.2"/>
    <row r="15029" s="166" customFormat="1" x14ac:dyDescent="0.2"/>
    <row r="15030" s="166" customFormat="1" x14ac:dyDescent="0.2"/>
    <row r="15031" s="166" customFormat="1" x14ac:dyDescent="0.2"/>
    <row r="15032" s="166" customFormat="1" x14ac:dyDescent="0.2"/>
    <row r="15033" s="166" customFormat="1" x14ac:dyDescent="0.2"/>
    <row r="15034" s="166" customFormat="1" x14ac:dyDescent="0.2"/>
    <row r="15035" s="166" customFormat="1" x14ac:dyDescent="0.2"/>
    <row r="15036" s="166" customFormat="1" x14ac:dyDescent="0.2"/>
    <row r="15037" s="166" customFormat="1" x14ac:dyDescent="0.2"/>
    <row r="15038" s="166" customFormat="1" x14ac:dyDescent="0.2"/>
    <row r="15039" s="166" customFormat="1" x14ac:dyDescent="0.2"/>
    <row r="15040" s="166" customFormat="1" x14ac:dyDescent="0.2"/>
    <row r="15041" s="166" customFormat="1" x14ac:dyDescent="0.2"/>
    <row r="15042" s="166" customFormat="1" x14ac:dyDescent="0.2"/>
    <row r="15043" s="166" customFormat="1" x14ac:dyDescent="0.2"/>
    <row r="15044" s="166" customFormat="1" x14ac:dyDescent="0.2"/>
    <row r="15045" s="166" customFormat="1" x14ac:dyDescent="0.2"/>
    <row r="15046" s="166" customFormat="1" x14ac:dyDescent="0.2"/>
    <row r="15047" s="166" customFormat="1" x14ac:dyDescent="0.2"/>
    <row r="15048" s="166" customFormat="1" x14ac:dyDescent="0.2"/>
    <row r="15049" s="166" customFormat="1" x14ac:dyDescent="0.2"/>
    <row r="15050" s="166" customFormat="1" x14ac:dyDescent="0.2"/>
    <row r="15051" s="166" customFormat="1" x14ac:dyDescent="0.2"/>
    <row r="15052" s="166" customFormat="1" x14ac:dyDescent="0.2"/>
    <row r="15053" s="166" customFormat="1" x14ac:dyDescent="0.2"/>
    <row r="15054" s="166" customFormat="1" x14ac:dyDescent="0.2"/>
    <row r="15055" s="166" customFormat="1" x14ac:dyDescent="0.2"/>
    <row r="15056" s="166" customFormat="1" x14ac:dyDescent="0.2"/>
    <row r="15057" s="166" customFormat="1" x14ac:dyDescent="0.2"/>
    <row r="15058" s="166" customFormat="1" x14ac:dyDescent="0.2"/>
    <row r="15059" s="166" customFormat="1" x14ac:dyDescent="0.2"/>
    <row r="15060" s="166" customFormat="1" x14ac:dyDescent="0.2"/>
    <row r="15061" s="166" customFormat="1" x14ac:dyDescent="0.2"/>
    <row r="15062" s="166" customFormat="1" x14ac:dyDescent="0.2"/>
    <row r="15063" s="166" customFormat="1" x14ac:dyDescent="0.2"/>
    <row r="15064" s="166" customFormat="1" x14ac:dyDescent="0.2"/>
    <row r="15065" s="166" customFormat="1" x14ac:dyDescent="0.2"/>
    <row r="15066" s="166" customFormat="1" x14ac:dyDescent="0.2"/>
    <row r="15067" s="166" customFormat="1" x14ac:dyDescent="0.2"/>
    <row r="15068" s="166" customFormat="1" x14ac:dyDescent="0.2"/>
    <row r="15069" s="166" customFormat="1" x14ac:dyDescent="0.2"/>
    <row r="15070" s="166" customFormat="1" x14ac:dyDescent="0.2"/>
    <row r="15071" s="166" customFormat="1" x14ac:dyDescent="0.2"/>
    <row r="15072" s="166" customFormat="1" x14ac:dyDescent="0.2"/>
    <row r="15073" s="166" customFormat="1" x14ac:dyDescent="0.2"/>
    <row r="15074" s="166" customFormat="1" x14ac:dyDescent="0.2"/>
    <row r="15075" s="166" customFormat="1" x14ac:dyDescent="0.2"/>
    <row r="15076" s="166" customFormat="1" x14ac:dyDescent="0.2"/>
    <row r="15077" s="166" customFormat="1" x14ac:dyDescent="0.2"/>
    <row r="15078" s="166" customFormat="1" x14ac:dyDescent="0.2"/>
    <row r="15079" s="166" customFormat="1" x14ac:dyDescent="0.2"/>
    <row r="15080" s="166" customFormat="1" x14ac:dyDescent="0.2"/>
    <row r="15081" s="166" customFormat="1" x14ac:dyDescent="0.2"/>
    <row r="15082" s="166" customFormat="1" x14ac:dyDescent="0.2"/>
    <row r="15083" s="166" customFormat="1" x14ac:dyDescent="0.2"/>
    <row r="15084" s="166" customFormat="1" x14ac:dyDescent="0.2"/>
    <row r="15085" s="166" customFormat="1" x14ac:dyDescent="0.2"/>
    <row r="15086" s="166" customFormat="1" x14ac:dyDescent="0.2"/>
    <row r="15087" s="166" customFormat="1" x14ac:dyDescent="0.2"/>
    <row r="15088" s="166" customFormat="1" x14ac:dyDescent="0.2"/>
    <row r="15089" s="166" customFormat="1" x14ac:dyDescent="0.2"/>
    <row r="15090" s="166" customFormat="1" x14ac:dyDescent="0.2"/>
    <row r="15091" s="166" customFormat="1" x14ac:dyDescent="0.2"/>
    <row r="15092" s="166" customFormat="1" x14ac:dyDescent="0.2"/>
    <row r="15093" s="166" customFormat="1" x14ac:dyDescent="0.2"/>
    <row r="15094" s="166" customFormat="1" x14ac:dyDescent="0.2"/>
    <row r="15095" s="166" customFormat="1" x14ac:dyDescent="0.2"/>
    <row r="15096" s="166" customFormat="1" x14ac:dyDescent="0.2"/>
    <row r="15097" s="166" customFormat="1" x14ac:dyDescent="0.2"/>
    <row r="15098" s="166" customFormat="1" x14ac:dyDescent="0.2"/>
    <row r="15099" s="166" customFormat="1" x14ac:dyDescent="0.2"/>
    <row r="15100" s="166" customFormat="1" x14ac:dyDescent="0.2"/>
    <row r="15101" s="166" customFormat="1" x14ac:dyDescent="0.2"/>
    <row r="15102" s="166" customFormat="1" x14ac:dyDescent="0.2"/>
    <row r="15103" s="166" customFormat="1" x14ac:dyDescent="0.2"/>
    <row r="15104" s="166" customFormat="1" x14ac:dyDescent="0.2"/>
    <row r="15105" s="166" customFormat="1" x14ac:dyDescent="0.2"/>
    <row r="15106" s="166" customFormat="1" x14ac:dyDescent="0.2"/>
    <row r="15107" s="166" customFormat="1" x14ac:dyDescent="0.2"/>
    <row r="15108" s="166" customFormat="1" x14ac:dyDescent="0.2"/>
    <row r="15109" s="166" customFormat="1" x14ac:dyDescent="0.2"/>
    <row r="15110" s="166" customFormat="1" x14ac:dyDescent="0.2"/>
    <row r="15111" s="166" customFormat="1" x14ac:dyDescent="0.2"/>
    <row r="15112" s="166" customFormat="1" x14ac:dyDescent="0.2"/>
    <row r="15113" s="166" customFormat="1" x14ac:dyDescent="0.2"/>
    <row r="15114" s="166" customFormat="1" x14ac:dyDescent="0.2"/>
    <row r="15115" s="166" customFormat="1" x14ac:dyDescent="0.2"/>
    <row r="15116" s="166" customFormat="1" x14ac:dyDescent="0.2"/>
    <row r="15117" s="166" customFormat="1" x14ac:dyDescent="0.2"/>
    <row r="15118" s="166" customFormat="1" x14ac:dyDescent="0.2"/>
    <row r="15119" s="166" customFormat="1" x14ac:dyDescent="0.2"/>
    <row r="15120" s="166" customFormat="1" x14ac:dyDescent="0.2"/>
    <row r="15121" s="166" customFormat="1" x14ac:dyDescent="0.2"/>
    <row r="15122" s="166" customFormat="1" x14ac:dyDescent="0.2"/>
    <row r="15123" s="166" customFormat="1" x14ac:dyDescent="0.2"/>
    <row r="15124" s="166" customFormat="1" x14ac:dyDescent="0.2"/>
    <row r="15125" s="166" customFormat="1" x14ac:dyDescent="0.2"/>
    <row r="15126" s="166" customFormat="1" x14ac:dyDescent="0.2"/>
    <row r="15127" s="166" customFormat="1" x14ac:dyDescent="0.2"/>
    <row r="15128" s="166" customFormat="1" x14ac:dyDescent="0.2"/>
    <row r="15129" s="166" customFormat="1" x14ac:dyDescent="0.2"/>
    <row r="15130" s="166" customFormat="1" x14ac:dyDescent="0.2"/>
    <row r="15131" s="166" customFormat="1" x14ac:dyDescent="0.2"/>
    <row r="15132" s="166" customFormat="1" x14ac:dyDescent="0.2"/>
    <row r="15133" s="166" customFormat="1" x14ac:dyDescent="0.2"/>
    <row r="15134" s="166" customFormat="1" x14ac:dyDescent="0.2"/>
    <row r="15135" s="166" customFormat="1" x14ac:dyDescent="0.2"/>
    <row r="15136" s="166" customFormat="1" x14ac:dyDescent="0.2"/>
    <row r="15137" s="166" customFormat="1" x14ac:dyDescent="0.2"/>
    <row r="15138" s="166" customFormat="1" x14ac:dyDescent="0.2"/>
    <row r="15139" s="166" customFormat="1" x14ac:dyDescent="0.2"/>
    <row r="15140" s="166" customFormat="1" x14ac:dyDescent="0.2"/>
    <row r="15141" s="166" customFormat="1" x14ac:dyDescent="0.2"/>
    <row r="15142" s="166" customFormat="1" x14ac:dyDescent="0.2"/>
    <row r="15143" s="166" customFormat="1" x14ac:dyDescent="0.2"/>
    <row r="15144" s="166" customFormat="1" x14ac:dyDescent="0.2"/>
    <row r="15145" s="166" customFormat="1" x14ac:dyDescent="0.2"/>
    <row r="15146" s="166" customFormat="1" x14ac:dyDescent="0.2"/>
    <row r="15147" s="166" customFormat="1" x14ac:dyDescent="0.2"/>
    <row r="15148" s="166" customFormat="1" x14ac:dyDescent="0.2"/>
    <row r="15149" s="166" customFormat="1" x14ac:dyDescent="0.2"/>
    <row r="15150" s="166" customFormat="1" x14ac:dyDescent="0.2"/>
    <row r="15151" s="166" customFormat="1" x14ac:dyDescent="0.2"/>
    <row r="15152" s="166" customFormat="1" x14ac:dyDescent="0.2"/>
    <row r="15153" s="166" customFormat="1" x14ac:dyDescent="0.2"/>
    <row r="15154" s="166" customFormat="1" x14ac:dyDescent="0.2"/>
    <row r="15155" s="166" customFormat="1" x14ac:dyDescent="0.2"/>
    <row r="15156" s="166" customFormat="1" x14ac:dyDescent="0.2"/>
    <row r="15157" s="166" customFormat="1" x14ac:dyDescent="0.2"/>
    <row r="15158" s="166" customFormat="1" x14ac:dyDescent="0.2"/>
    <row r="15159" s="166" customFormat="1" x14ac:dyDescent="0.2"/>
    <row r="15160" s="166" customFormat="1" x14ac:dyDescent="0.2"/>
    <row r="15161" s="166" customFormat="1" x14ac:dyDescent="0.2"/>
    <row r="15162" s="166" customFormat="1" x14ac:dyDescent="0.2"/>
    <row r="15163" s="166" customFormat="1" x14ac:dyDescent="0.2"/>
    <row r="15164" s="166" customFormat="1" x14ac:dyDescent="0.2"/>
    <row r="15165" s="166" customFormat="1" x14ac:dyDescent="0.2"/>
    <row r="15166" s="166" customFormat="1" x14ac:dyDescent="0.2"/>
    <row r="15167" s="166" customFormat="1" x14ac:dyDescent="0.2"/>
    <row r="15168" s="166" customFormat="1" x14ac:dyDescent="0.2"/>
    <row r="15169" s="166" customFormat="1" x14ac:dyDescent="0.2"/>
    <row r="15170" s="166" customFormat="1" x14ac:dyDescent="0.2"/>
    <row r="15171" s="166" customFormat="1" x14ac:dyDescent="0.2"/>
    <row r="15172" s="166" customFormat="1" x14ac:dyDescent="0.2"/>
    <row r="15173" s="166" customFormat="1" x14ac:dyDescent="0.2"/>
    <row r="15174" s="166" customFormat="1" x14ac:dyDescent="0.2"/>
    <row r="15175" s="166" customFormat="1" x14ac:dyDescent="0.2"/>
    <row r="15176" s="166" customFormat="1" x14ac:dyDescent="0.2"/>
    <row r="15177" s="166" customFormat="1" x14ac:dyDescent="0.2"/>
    <row r="15178" s="166" customFormat="1" x14ac:dyDescent="0.2"/>
    <row r="15179" s="166" customFormat="1" x14ac:dyDescent="0.2"/>
    <row r="15180" s="166" customFormat="1" x14ac:dyDescent="0.2"/>
    <row r="15181" s="166" customFormat="1" x14ac:dyDescent="0.2"/>
    <row r="15182" s="166" customFormat="1" x14ac:dyDescent="0.2"/>
    <row r="15183" s="166" customFormat="1" x14ac:dyDescent="0.2"/>
    <row r="15184" s="166" customFormat="1" x14ac:dyDescent="0.2"/>
    <row r="15185" s="166" customFormat="1" x14ac:dyDescent="0.2"/>
    <row r="15186" s="166" customFormat="1" x14ac:dyDescent="0.2"/>
    <row r="15187" s="166" customFormat="1" x14ac:dyDescent="0.2"/>
    <row r="15188" s="166" customFormat="1" x14ac:dyDescent="0.2"/>
    <row r="15189" s="166" customFormat="1" x14ac:dyDescent="0.2"/>
    <row r="15190" s="166" customFormat="1" x14ac:dyDescent="0.2"/>
    <row r="15191" s="166" customFormat="1" x14ac:dyDescent="0.2"/>
    <row r="15192" s="166" customFormat="1" x14ac:dyDescent="0.2"/>
    <row r="15193" s="166" customFormat="1" x14ac:dyDescent="0.2"/>
    <row r="15194" s="166" customFormat="1" x14ac:dyDescent="0.2"/>
    <row r="15195" s="166" customFormat="1" x14ac:dyDescent="0.2"/>
    <row r="15196" s="166" customFormat="1" x14ac:dyDescent="0.2"/>
    <row r="15197" s="166" customFormat="1" x14ac:dyDescent="0.2"/>
    <row r="15198" s="166" customFormat="1" x14ac:dyDescent="0.2"/>
    <row r="15199" s="166" customFormat="1" x14ac:dyDescent="0.2"/>
    <row r="15200" s="166" customFormat="1" x14ac:dyDescent="0.2"/>
    <row r="15201" s="166" customFormat="1" x14ac:dyDescent="0.2"/>
    <row r="15202" s="166" customFormat="1" x14ac:dyDescent="0.2"/>
    <row r="15203" s="166" customFormat="1" x14ac:dyDescent="0.2"/>
    <row r="15204" s="166" customFormat="1" x14ac:dyDescent="0.2"/>
    <row r="15205" s="166" customFormat="1" x14ac:dyDescent="0.2"/>
    <row r="15206" s="166" customFormat="1" x14ac:dyDescent="0.2"/>
    <row r="15207" s="166" customFormat="1" x14ac:dyDescent="0.2"/>
    <row r="15208" s="166" customFormat="1" x14ac:dyDescent="0.2"/>
    <row r="15209" s="166" customFormat="1" x14ac:dyDescent="0.2"/>
    <row r="15210" s="166" customFormat="1" x14ac:dyDescent="0.2"/>
    <row r="15211" s="166" customFormat="1" x14ac:dyDescent="0.2"/>
    <row r="15212" s="166" customFormat="1" x14ac:dyDescent="0.2"/>
    <row r="15213" s="166" customFormat="1" x14ac:dyDescent="0.2"/>
    <row r="15214" s="166" customFormat="1" x14ac:dyDescent="0.2"/>
    <row r="15215" s="166" customFormat="1" x14ac:dyDescent="0.2"/>
    <row r="15216" s="166" customFormat="1" x14ac:dyDescent="0.2"/>
    <row r="15217" s="166" customFormat="1" x14ac:dyDescent="0.2"/>
    <row r="15218" s="166" customFormat="1" x14ac:dyDescent="0.2"/>
    <row r="15219" s="166" customFormat="1" x14ac:dyDescent="0.2"/>
    <row r="15220" s="166" customFormat="1" x14ac:dyDescent="0.2"/>
    <row r="15221" s="166" customFormat="1" x14ac:dyDescent="0.2"/>
    <row r="15222" s="166" customFormat="1" x14ac:dyDescent="0.2"/>
    <row r="15223" s="166" customFormat="1" x14ac:dyDescent="0.2"/>
    <row r="15224" s="166" customFormat="1" x14ac:dyDescent="0.2"/>
    <row r="15225" s="166" customFormat="1" x14ac:dyDescent="0.2"/>
    <row r="15226" s="166" customFormat="1" x14ac:dyDescent="0.2"/>
    <row r="15227" s="166" customFormat="1" x14ac:dyDescent="0.2"/>
    <row r="15228" s="166" customFormat="1" x14ac:dyDescent="0.2"/>
    <row r="15229" s="166" customFormat="1" x14ac:dyDescent="0.2"/>
    <row r="15230" s="166" customFormat="1" x14ac:dyDescent="0.2"/>
    <row r="15231" s="166" customFormat="1" x14ac:dyDescent="0.2"/>
    <row r="15232" s="166" customFormat="1" x14ac:dyDescent="0.2"/>
    <row r="15233" s="166" customFormat="1" x14ac:dyDescent="0.2"/>
    <row r="15234" s="166" customFormat="1" x14ac:dyDescent="0.2"/>
    <row r="15235" s="166" customFormat="1" x14ac:dyDescent="0.2"/>
    <row r="15236" s="166" customFormat="1" x14ac:dyDescent="0.2"/>
    <row r="15237" s="166" customFormat="1" x14ac:dyDescent="0.2"/>
    <row r="15238" s="166" customFormat="1" x14ac:dyDescent="0.2"/>
    <row r="15239" s="166" customFormat="1" x14ac:dyDescent="0.2"/>
    <row r="15240" s="166" customFormat="1" x14ac:dyDescent="0.2"/>
    <row r="15241" s="166" customFormat="1" x14ac:dyDescent="0.2"/>
    <row r="15242" s="166" customFormat="1" x14ac:dyDescent="0.2"/>
    <row r="15243" s="166" customFormat="1" x14ac:dyDescent="0.2"/>
    <row r="15244" s="166" customFormat="1" x14ac:dyDescent="0.2"/>
    <row r="15245" s="166" customFormat="1" x14ac:dyDescent="0.2"/>
    <row r="15246" s="166" customFormat="1" x14ac:dyDescent="0.2"/>
    <row r="15247" s="166" customFormat="1" x14ac:dyDescent="0.2"/>
    <row r="15248" s="166" customFormat="1" x14ac:dyDescent="0.2"/>
    <row r="15249" s="166" customFormat="1" x14ac:dyDescent="0.2"/>
    <row r="15250" s="166" customFormat="1" x14ac:dyDescent="0.2"/>
    <row r="15251" s="166" customFormat="1" x14ac:dyDescent="0.2"/>
    <row r="15252" s="166" customFormat="1" x14ac:dyDescent="0.2"/>
    <row r="15253" s="166" customFormat="1" x14ac:dyDescent="0.2"/>
    <row r="15254" s="166" customFormat="1" x14ac:dyDescent="0.2"/>
    <row r="15255" s="166" customFormat="1" x14ac:dyDescent="0.2"/>
    <row r="15256" s="166" customFormat="1" x14ac:dyDescent="0.2"/>
    <row r="15257" s="166" customFormat="1" x14ac:dyDescent="0.2"/>
    <row r="15258" s="166" customFormat="1" x14ac:dyDescent="0.2"/>
    <row r="15259" s="166" customFormat="1" x14ac:dyDescent="0.2"/>
    <row r="15260" s="166" customFormat="1" x14ac:dyDescent="0.2"/>
    <row r="15261" s="166" customFormat="1" x14ac:dyDescent="0.2"/>
    <row r="15262" s="166" customFormat="1" x14ac:dyDescent="0.2"/>
    <row r="15263" s="166" customFormat="1" x14ac:dyDescent="0.2"/>
    <row r="15264" s="166" customFormat="1" x14ac:dyDescent="0.2"/>
    <row r="15265" s="166" customFormat="1" x14ac:dyDescent="0.2"/>
    <row r="15266" s="166" customFormat="1" x14ac:dyDescent="0.2"/>
    <row r="15267" s="166" customFormat="1" x14ac:dyDescent="0.2"/>
    <row r="15268" s="166" customFormat="1" x14ac:dyDescent="0.2"/>
    <row r="15269" s="166" customFormat="1" x14ac:dyDescent="0.2"/>
    <row r="15270" s="166" customFormat="1" x14ac:dyDescent="0.2"/>
    <row r="15271" s="166" customFormat="1" x14ac:dyDescent="0.2"/>
    <row r="15272" s="166" customFormat="1" x14ac:dyDescent="0.2"/>
    <row r="15273" s="166" customFormat="1" x14ac:dyDescent="0.2"/>
    <row r="15274" s="166" customFormat="1" x14ac:dyDescent="0.2"/>
    <row r="15275" s="166" customFormat="1" x14ac:dyDescent="0.2"/>
    <row r="15276" s="166" customFormat="1" x14ac:dyDescent="0.2"/>
    <row r="15277" s="166" customFormat="1" x14ac:dyDescent="0.2"/>
    <row r="15278" s="166" customFormat="1" x14ac:dyDescent="0.2"/>
    <row r="15279" s="166" customFormat="1" x14ac:dyDescent="0.2"/>
    <row r="15280" s="166" customFormat="1" x14ac:dyDescent="0.2"/>
    <row r="15281" s="166" customFormat="1" x14ac:dyDescent="0.2"/>
    <row r="15282" s="166" customFormat="1" x14ac:dyDescent="0.2"/>
    <row r="15283" s="166" customFormat="1" x14ac:dyDescent="0.2"/>
    <row r="15284" s="166" customFormat="1" x14ac:dyDescent="0.2"/>
    <row r="15285" s="166" customFormat="1" x14ac:dyDescent="0.2"/>
    <row r="15286" s="166" customFormat="1" x14ac:dyDescent="0.2"/>
    <row r="15287" s="166" customFormat="1" x14ac:dyDescent="0.2"/>
    <row r="15288" s="166" customFormat="1" x14ac:dyDescent="0.2"/>
    <row r="15289" s="166" customFormat="1" x14ac:dyDescent="0.2"/>
    <row r="15290" s="166" customFormat="1" x14ac:dyDescent="0.2"/>
    <row r="15291" s="166" customFormat="1" x14ac:dyDescent="0.2"/>
    <row r="15292" s="166" customFormat="1" x14ac:dyDescent="0.2"/>
    <row r="15293" s="166" customFormat="1" x14ac:dyDescent="0.2"/>
    <row r="15294" s="166" customFormat="1" x14ac:dyDescent="0.2"/>
    <row r="15295" s="166" customFormat="1" x14ac:dyDescent="0.2"/>
    <row r="15296" s="166" customFormat="1" x14ac:dyDescent="0.2"/>
    <row r="15297" s="166" customFormat="1" x14ac:dyDescent="0.2"/>
    <row r="15298" s="166" customFormat="1" x14ac:dyDescent="0.2"/>
    <row r="15299" s="166" customFormat="1" x14ac:dyDescent="0.2"/>
    <row r="15300" s="166" customFormat="1" x14ac:dyDescent="0.2"/>
    <row r="15301" s="166" customFormat="1" x14ac:dyDescent="0.2"/>
    <row r="15302" s="166" customFormat="1" x14ac:dyDescent="0.2"/>
    <row r="15303" s="166" customFormat="1" x14ac:dyDescent="0.2"/>
    <row r="15304" s="166" customFormat="1" x14ac:dyDescent="0.2"/>
    <row r="15305" s="166" customFormat="1" x14ac:dyDescent="0.2"/>
    <row r="15306" s="166" customFormat="1" x14ac:dyDescent="0.2"/>
    <row r="15307" s="166" customFormat="1" x14ac:dyDescent="0.2"/>
    <row r="15308" s="166" customFormat="1" x14ac:dyDescent="0.2"/>
    <row r="15309" s="166" customFormat="1" x14ac:dyDescent="0.2"/>
    <row r="15310" s="166" customFormat="1" x14ac:dyDescent="0.2"/>
    <row r="15311" s="166" customFormat="1" x14ac:dyDescent="0.2"/>
    <row r="15312" s="166" customFormat="1" x14ac:dyDescent="0.2"/>
    <row r="15313" s="166" customFormat="1" x14ac:dyDescent="0.2"/>
    <row r="15314" s="166" customFormat="1" x14ac:dyDescent="0.2"/>
    <row r="15315" s="166" customFormat="1" x14ac:dyDescent="0.2"/>
    <row r="15316" s="166" customFormat="1" x14ac:dyDescent="0.2"/>
    <row r="15317" s="166" customFormat="1" x14ac:dyDescent="0.2"/>
    <row r="15318" s="166" customFormat="1" x14ac:dyDescent="0.2"/>
    <row r="15319" s="166" customFormat="1" x14ac:dyDescent="0.2"/>
    <row r="15320" s="166" customFormat="1" x14ac:dyDescent="0.2"/>
    <row r="15321" s="166" customFormat="1" x14ac:dyDescent="0.2"/>
    <row r="15322" s="166" customFormat="1" x14ac:dyDescent="0.2"/>
    <row r="15323" s="166" customFormat="1" x14ac:dyDescent="0.2"/>
    <row r="15324" s="166" customFormat="1" x14ac:dyDescent="0.2"/>
    <row r="15325" s="166" customFormat="1" x14ac:dyDescent="0.2"/>
    <row r="15326" s="166" customFormat="1" x14ac:dyDescent="0.2"/>
    <row r="15327" s="166" customFormat="1" x14ac:dyDescent="0.2"/>
    <row r="15328" s="166" customFormat="1" x14ac:dyDescent="0.2"/>
    <row r="15329" s="166" customFormat="1" x14ac:dyDescent="0.2"/>
    <row r="15330" s="166" customFormat="1" x14ac:dyDescent="0.2"/>
    <row r="15331" s="166" customFormat="1" x14ac:dyDescent="0.2"/>
    <row r="15332" s="166" customFormat="1" x14ac:dyDescent="0.2"/>
    <row r="15333" s="166" customFormat="1" x14ac:dyDescent="0.2"/>
    <row r="15334" s="166" customFormat="1" x14ac:dyDescent="0.2"/>
    <row r="15335" s="166" customFormat="1" x14ac:dyDescent="0.2"/>
    <row r="15336" s="166" customFormat="1" x14ac:dyDescent="0.2"/>
    <row r="15337" s="166" customFormat="1" x14ac:dyDescent="0.2"/>
    <row r="15338" s="166" customFormat="1" x14ac:dyDescent="0.2"/>
    <row r="15339" s="166" customFormat="1" x14ac:dyDescent="0.2"/>
    <row r="15340" s="166" customFormat="1" x14ac:dyDescent="0.2"/>
    <row r="15341" s="166" customFormat="1" x14ac:dyDescent="0.2"/>
    <row r="15342" s="166" customFormat="1" x14ac:dyDescent="0.2"/>
    <row r="15343" s="166" customFormat="1" x14ac:dyDescent="0.2"/>
    <row r="15344" s="166" customFormat="1" x14ac:dyDescent="0.2"/>
    <row r="15345" s="166" customFormat="1" x14ac:dyDescent="0.2"/>
    <row r="15346" s="166" customFormat="1" x14ac:dyDescent="0.2"/>
    <row r="15347" s="166" customFormat="1" x14ac:dyDescent="0.2"/>
    <row r="15348" s="166" customFormat="1" x14ac:dyDescent="0.2"/>
    <row r="15349" s="166" customFormat="1" x14ac:dyDescent="0.2"/>
    <row r="15350" s="166" customFormat="1" x14ac:dyDescent="0.2"/>
    <row r="15351" s="166" customFormat="1" x14ac:dyDescent="0.2"/>
    <row r="15352" s="166" customFormat="1" x14ac:dyDescent="0.2"/>
    <row r="15353" s="166" customFormat="1" x14ac:dyDescent="0.2"/>
    <row r="15354" s="166" customFormat="1" x14ac:dyDescent="0.2"/>
    <row r="15355" s="166" customFormat="1" x14ac:dyDescent="0.2"/>
    <row r="15356" s="166" customFormat="1" x14ac:dyDescent="0.2"/>
    <row r="15357" s="166" customFormat="1" x14ac:dyDescent="0.2"/>
    <row r="15358" s="166" customFormat="1" x14ac:dyDescent="0.2"/>
    <row r="15359" s="166" customFormat="1" x14ac:dyDescent="0.2"/>
    <row r="15360" s="166" customFormat="1" x14ac:dyDescent="0.2"/>
    <row r="15361" s="166" customFormat="1" x14ac:dyDescent="0.2"/>
    <row r="15362" s="166" customFormat="1" x14ac:dyDescent="0.2"/>
    <row r="15363" s="166" customFormat="1" x14ac:dyDescent="0.2"/>
    <row r="15364" s="166" customFormat="1" x14ac:dyDescent="0.2"/>
    <row r="15365" s="166" customFormat="1" x14ac:dyDescent="0.2"/>
    <row r="15366" s="166" customFormat="1" x14ac:dyDescent="0.2"/>
    <row r="15367" s="166" customFormat="1" x14ac:dyDescent="0.2"/>
    <row r="15368" s="166" customFormat="1" x14ac:dyDescent="0.2"/>
    <row r="15369" s="166" customFormat="1" x14ac:dyDescent="0.2"/>
    <row r="15370" s="166" customFormat="1" x14ac:dyDescent="0.2"/>
    <row r="15371" s="166" customFormat="1" x14ac:dyDescent="0.2"/>
    <row r="15372" s="166" customFormat="1" x14ac:dyDescent="0.2"/>
    <row r="15373" s="166" customFormat="1" x14ac:dyDescent="0.2"/>
    <row r="15374" s="166" customFormat="1" x14ac:dyDescent="0.2"/>
    <row r="15375" s="166" customFormat="1" x14ac:dyDescent="0.2"/>
    <row r="15376" s="166" customFormat="1" x14ac:dyDescent="0.2"/>
    <row r="15377" s="166" customFormat="1" x14ac:dyDescent="0.2"/>
    <row r="15378" s="166" customFormat="1" x14ac:dyDescent="0.2"/>
    <row r="15379" s="166" customFormat="1" x14ac:dyDescent="0.2"/>
    <row r="15380" s="166" customFormat="1" x14ac:dyDescent="0.2"/>
    <row r="15381" s="166" customFormat="1" x14ac:dyDescent="0.2"/>
    <row r="15382" s="166" customFormat="1" x14ac:dyDescent="0.2"/>
    <row r="15383" s="166" customFormat="1" x14ac:dyDescent="0.2"/>
    <row r="15384" s="166" customFormat="1" x14ac:dyDescent="0.2"/>
    <row r="15385" s="166" customFormat="1" x14ac:dyDescent="0.2"/>
    <row r="15386" s="166" customFormat="1" x14ac:dyDescent="0.2"/>
    <row r="15387" s="166" customFormat="1" x14ac:dyDescent="0.2"/>
    <row r="15388" s="166" customFormat="1" x14ac:dyDescent="0.2"/>
    <row r="15389" s="166" customFormat="1" x14ac:dyDescent="0.2"/>
    <row r="15390" s="166" customFormat="1" x14ac:dyDescent="0.2"/>
    <row r="15391" s="166" customFormat="1" x14ac:dyDescent="0.2"/>
    <row r="15392" s="166" customFormat="1" x14ac:dyDescent="0.2"/>
    <row r="15393" s="166" customFormat="1" x14ac:dyDescent="0.2"/>
    <row r="15394" s="166" customFormat="1" x14ac:dyDescent="0.2"/>
    <row r="15395" s="166" customFormat="1" x14ac:dyDescent="0.2"/>
    <row r="15396" s="166" customFormat="1" x14ac:dyDescent="0.2"/>
    <row r="15397" s="166" customFormat="1" x14ac:dyDescent="0.2"/>
    <row r="15398" s="166" customFormat="1" x14ac:dyDescent="0.2"/>
    <row r="15399" s="166" customFormat="1" x14ac:dyDescent="0.2"/>
    <row r="15400" s="166" customFormat="1" x14ac:dyDescent="0.2"/>
    <row r="15401" s="166" customFormat="1" x14ac:dyDescent="0.2"/>
    <row r="15402" s="166" customFormat="1" x14ac:dyDescent="0.2"/>
    <row r="15403" s="166" customFormat="1" x14ac:dyDescent="0.2"/>
    <row r="15404" s="166" customFormat="1" x14ac:dyDescent="0.2"/>
    <row r="15405" s="166" customFormat="1" x14ac:dyDescent="0.2"/>
    <row r="15406" s="166" customFormat="1" x14ac:dyDescent="0.2"/>
    <row r="15407" s="166" customFormat="1" x14ac:dyDescent="0.2"/>
    <row r="15408" s="166" customFormat="1" x14ac:dyDescent="0.2"/>
    <row r="15409" s="166" customFormat="1" x14ac:dyDescent="0.2"/>
    <row r="15410" s="166" customFormat="1" x14ac:dyDescent="0.2"/>
    <row r="15411" s="166" customFormat="1" x14ac:dyDescent="0.2"/>
    <row r="15412" s="166" customFormat="1" x14ac:dyDescent="0.2"/>
    <row r="15413" s="166" customFormat="1" x14ac:dyDescent="0.2"/>
    <row r="15414" s="166" customFormat="1" x14ac:dyDescent="0.2"/>
    <row r="15415" s="166" customFormat="1" x14ac:dyDescent="0.2"/>
    <row r="15416" s="166" customFormat="1" x14ac:dyDescent="0.2"/>
    <row r="15417" s="166" customFormat="1" x14ac:dyDescent="0.2"/>
    <row r="15418" s="166" customFormat="1" x14ac:dyDescent="0.2"/>
    <row r="15419" s="166" customFormat="1" x14ac:dyDescent="0.2"/>
    <row r="15420" s="166" customFormat="1" x14ac:dyDescent="0.2"/>
    <row r="15421" s="166" customFormat="1" x14ac:dyDescent="0.2"/>
    <row r="15422" s="166" customFormat="1" x14ac:dyDescent="0.2"/>
    <row r="15423" s="166" customFormat="1" x14ac:dyDescent="0.2"/>
    <row r="15424" s="166" customFormat="1" x14ac:dyDescent="0.2"/>
    <row r="15425" s="166" customFormat="1" x14ac:dyDescent="0.2"/>
    <row r="15426" s="166" customFormat="1" x14ac:dyDescent="0.2"/>
    <row r="15427" s="166" customFormat="1" x14ac:dyDescent="0.2"/>
    <row r="15428" s="166" customFormat="1" x14ac:dyDescent="0.2"/>
    <row r="15429" s="166" customFormat="1" x14ac:dyDescent="0.2"/>
    <row r="15430" s="166" customFormat="1" x14ac:dyDescent="0.2"/>
    <row r="15431" s="166" customFormat="1" x14ac:dyDescent="0.2"/>
    <row r="15432" s="166" customFormat="1" x14ac:dyDescent="0.2"/>
    <row r="15433" s="166" customFormat="1" x14ac:dyDescent="0.2"/>
    <row r="15434" s="166" customFormat="1" x14ac:dyDescent="0.2"/>
    <row r="15435" s="166" customFormat="1" x14ac:dyDescent="0.2"/>
    <row r="15436" s="166" customFormat="1" x14ac:dyDescent="0.2"/>
    <row r="15437" s="166" customFormat="1" x14ac:dyDescent="0.2"/>
    <row r="15438" s="166" customFormat="1" x14ac:dyDescent="0.2"/>
    <row r="15439" s="166" customFormat="1" x14ac:dyDescent="0.2"/>
    <row r="15440" s="166" customFormat="1" x14ac:dyDescent="0.2"/>
    <row r="15441" s="166" customFormat="1" x14ac:dyDescent="0.2"/>
    <row r="15442" s="166" customFormat="1" x14ac:dyDescent="0.2"/>
    <row r="15443" s="166" customFormat="1" x14ac:dyDescent="0.2"/>
    <row r="15444" s="166" customFormat="1" x14ac:dyDescent="0.2"/>
    <row r="15445" s="166" customFormat="1" x14ac:dyDescent="0.2"/>
    <row r="15446" s="166" customFormat="1" x14ac:dyDescent="0.2"/>
    <row r="15447" s="166" customFormat="1" x14ac:dyDescent="0.2"/>
    <row r="15448" s="166" customFormat="1" x14ac:dyDescent="0.2"/>
    <row r="15449" s="166" customFormat="1" x14ac:dyDescent="0.2"/>
    <row r="15450" s="166" customFormat="1" x14ac:dyDescent="0.2"/>
    <row r="15451" s="166" customFormat="1" x14ac:dyDescent="0.2"/>
    <row r="15452" s="166" customFormat="1" x14ac:dyDescent="0.2"/>
    <row r="15453" s="166" customFormat="1" x14ac:dyDescent="0.2"/>
    <row r="15454" s="166" customFormat="1" x14ac:dyDescent="0.2"/>
    <row r="15455" s="166" customFormat="1" x14ac:dyDescent="0.2"/>
    <row r="15456" s="166" customFormat="1" x14ac:dyDescent="0.2"/>
    <row r="15457" s="166" customFormat="1" x14ac:dyDescent="0.2"/>
    <row r="15458" s="166" customFormat="1" x14ac:dyDescent="0.2"/>
    <row r="15459" s="166" customFormat="1" x14ac:dyDescent="0.2"/>
    <row r="15460" s="166" customFormat="1" x14ac:dyDescent="0.2"/>
    <row r="15461" s="166" customFormat="1" x14ac:dyDescent="0.2"/>
    <row r="15462" s="166" customFormat="1" x14ac:dyDescent="0.2"/>
    <row r="15463" s="166" customFormat="1" x14ac:dyDescent="0.2"/>
    <row r="15464" s="166" customFormat="1" x14ac:dyDescent="0.2"/>
    <row r="15465" s="166" customFormat="1" x14ac:dyDescent="0.2"/>
    <row r="15466" s="166" customFormat="1" x14ac:dyDescent="0.2"/>
    <row r="15467" s="166" customFormat="1" x14ac:dyDescent="0.2"/>
    <row r="15468" s="166" customFormat="1" x14ac:dyDescent="0.2"/>
    <row r="15469" s="166" customFormat="1" x14ac:dyDescent="0.2"/>
    <row r="15470" s="166" customFormat="1" x14ac:dyDescent="0.2"/>
    <row r="15471" s="166" customFormat="1" x14ac:dyDescent="0.2"/>
    <row r="15472" s="166" customFormat="1" x14ac:dyDescent="0.2"/>
    <row r="15473" s="166" customFormat="1" x14ac:dyDescent="0.2"/>
    <row r="15474" s="166" customFormat="1" x14ac:dyDescent="0.2"/>
    <row r="15475" s="166" customFormat="1" x14ac:dyDescent="0.2"/>
    <row r="15476" s="166" customFormat="1" x14ac:dyDescent="0.2"/>
    <row r="15477" s="166" customFormat="1" x14ac:dyDescent="0.2"/>
    <row r="15478" s="166" customFormat="1" x14ac:dyDescent="0.2"/>
    <row r="15479" s="166" customFormat="1" x14ac:dyDescent="0.2"/>
    <row r="15480" s="166" customFormat="1" x14ac:dyDescent="0.2"/>
    <row r="15481" s="166" customFormat="1" x14ac:dyDescent="0.2"/>
    <row r="15482" s="166" customFormat="1" x14ac:dyDescent="0.2"/>
    <row r="15483" s="166" customFormat="1" x14ac:dyDescent="0.2"/>
    <row r="15484" s="166" customFormat="1" x14ac:dyDescent="0.2"/>
    <row r="15485" s="166" customFormat="1" x14ac:dyDescent="0.2"/>
    <row r="15486" s="166" customFormat="1" x14ac:dyDescent="0.2"/>
    <row r="15487" s="166" customFormat="1" x14ac:dyDescent="0.2"/>
    <row r="15488" s="166" customFormat="1" x14ac:dyDescent="0.2"/>
    <row r="15489" s="166" customFormat="1" x14ac:dyDescent="0.2"/>
    <row r="15490" s="166" customFormat="1" x14ac:dyDescent="0.2"/>
    <row r="15491" s="166" customFormat="1" x14ac:dyDescent="0.2"/>
    <row r="15492" s="166" customFormat="1" x14ac:dyDescent="0.2"/>
    <row r="15493" s="166" customFormat="1" x14ac:dyDescent="0.2"/>
    <row r="15494" s="166" customFormat="1" x14ac:dyDescent="0.2"/>
    <row r="15495" s="166" customFormat="1" x14ac:dyDescent="0.2"/>
    <row r="15496" s="166" customFormat="1" x14ac:dyDescent="0.2"/>
    <row r="15497" s="166" customFormat="1" x14ac:dyDescent="0.2"/>
    <row r="15498" s="166" customFormat="1" x14ac:dyDescent="0.2"/>
    <row r="15499" s="166" customFormat="1" x14ac:dyDescent="0.2"/>
    <row r="15500" s="166" customFormat="1" x14ac:dyDescent="0.2"/>
    <row r="15501" s="166" customFormat="1" x14ac:dyDescent="0.2"/>
    <row r="15502" s="166" customFormat="1" x14ac:dyDescent="0.2"/>
    <row r="15503" s="166" customFormat="1" x14ac:dyDescent="0.2"/>
    <row r="15504" s="166" customFormat="1" x14ac:dyDescent="0.2"/>
    <row r="15505" s="166" customFormat="1" x14ac:dyDescent="0.2"/>
    <row r="15506" s="166" customFormat="1" x14ac:dyDescent="0.2"/>
    <row r="15507" s="166" customFormat="1" x14ac:dyDescent="0.2"/>
    <row r="15508" s="166" customFormat="1" x14ac:dyDescent="0.2"/>
    <row r="15509" s="166" customFormat="1" x14ac:dyDescent="0.2"/>
    <row r="15510" s="166" customFormat="1" x14ac:dyDescent="0.2"/>
    <row r="15511" s="166" customFormat="1" x14ac:dyDescent="0.2"/>
    <row r="15512" s="166" customFormat="1" x14ac:dyDescent="0.2"/>
    <row r="15513" s="166" customFormat="1" x14ac:dyDescent="0.2"/>
    <row r="15514" s="166" customFormat="1" x14ac:dyDescent="0.2"/>
    <row r="15515" s="166" customFormat="1" x14ac:dyDescent="0.2"/>
    <row r="15516" s="166" customFormat="1" x14ac:dyDescent="0.2"/>
    <row r="15517" s="166" customFormat="1" x14ac:dyDescent="0.2"/>
    <row r="15518" s="166" customFormat="1" x14ac:dyDescent="0.2"/>
    <row r="15519" s="166" customFormat="1" x14ac:dyDescent="0.2"/>
    <row r="15520" s="166" customFormat="1" x14ac:dyDescent="0.2"/>
    <row r="15521" s="166" customFormat="1" x14ac:dyDescent="0.2"/>
    <row r="15522" s="166" customFormat="1" x14ac:dyDescent="0.2"/>
    <row r="15523" s="166" customFormat="1" x14ac:dyDescent="0.2"/>
    <row r="15524" s="166" customFormat="1" x14ac:dyDescent="0.2"/>
    <row r="15525" s="166" customFormat="1" x14ac:dyDescent="0.2"/>
    <row r="15526" s="166" customFormat="1" x14ac:dyDescent="0.2"/>
    <row r="15527" s="166" customFormat="1" x14ac:dyDescent="0.2"/>
    <row r="15528" s="166" customFormat="1" x14ac:dyDescent="0.2"/>
    <row r="15529" s="166" customFormat="1" x14ac:dyDescent="0.2"/>
    <row r="15530" s="166" customFormat="1" x14ac:dyDescent="0.2"/>
    <row r="15531" s="166" customFormat="1" x14ac:dyDescent="0.2"/>
    <row r="15532" s="166" customFormat="1" x14ac:dyDescent="0.2"/>
    <row r="15533" s="166" customFormat="1" x14ac:dyDescent="0.2"/>
    <row r="15534" s="166" customFormat="1" x14ac:dyDescent="0.2"/>
    <row r="15535" s="166" customFormat="1" x14ac:dyDescent="0.2"/>
    <row r="15536" s="166" customFormat="1" x14ac:dyDescent="0.2"/>
    <row r="15537" s="166" customFormat="1" x14ac:dyDescent="0.2"/>
    <row r="15538" s="166" customFormat="1" x14ac:dyDescent="0.2"/>
    <row r="15539" s="166" customFormat="1" x14ac:dyDescent="0.2"/>
    <row r="15540" s="166" customFormat="1" x14ac:dyDescent="0.2"/>
    <row r="15541" s="166" customFormat="1" x14ac:dyDescent="0.2"/>
    <row r="15542" s="166" customFormat="1" x14ac:dyDescent="0.2"/>
    <row r="15543" s="166" customFormat="1" x14ac:dyDescent="0.2"/>
    <row r="15544" s="166" customFormat="1" x14ac:dyDescent="0.2"/>
    <row r="15545" s="166" customFormat="1" x14ac:dyDescent="0.2"/>
    <row r="15546" s="166" customFormat="1" x14ac:dyDescent="0.2"/>
    <row r="15547" s="166" customFormat="1" x14ac:dyDescent="0.2"/>
    <row r="15548" s="166" customFormat="1" x14ac:dyDescent="0.2"/>
    <row r="15549" s="166" customFormat="1" x14ac:dyDescent="0.2"/>
    <row r="15550" s="166" customFormat="1" x14ac:dyDescent="0.2"/>
    <row r="15551" s="166" customFormat="1" x14ac:dyDescent="0.2"/>
    <row r="15552" s="166" customFormat="1" x14ac:dyDescent="0.2"/>
    <row r="15553" s="166" customFormat="1" x14ac:dyDescent="0.2"/>
    <row r="15554" s="166" customFormat="1" x14ac:dyDescent="0.2"/>
    <row r="15555" s="166" customFormat="1" x14ac:dyDescent="0.2"/>
    <row r="15556" s="166" customFormat="1" x14ac:dyDescent="0.2"/>
    <row r="15557" s="166" customFormat="1" x14ac:dyDescent="0.2"/>
    <row r="15558" s="166" customFormat="1" x14ac:dyDescent="0.2"/>
    <row r="15559" s="166" customFormat="1" x14ac:dyDescent="0.2"/>
    <row r="15560" s="166" customFormat="1" x14ac:dyDescent="0.2"/>
    <row r="15561" s="166" customFormat="1" x14ac:dyDescent="0.2"/>
    <row r="15562" s="166" customFormat="1" x14ac:dyDescent="0.2"/>
    <row r="15563" s="166" customFormat="1" x14ac:dyDescent="0.2"/>
    <row r="15564" s="166" customFormat="1" x14ac:dyDescent="0.2"/>
    <row r="15565" s="166" customFormat="1" x14ac:dyDescent="0.2"/>
    <row r="15566" s="166" customFormat="1" x14ac:dyDescent="0.2"/>
    <row r="15567" s="166" customFormat="1" x14ac:dyDescent="0.2"/>
    <row r="15568" s="166" customFormat="1" x14ac:dyDescent="0.2"/>
    <row r="15569" s="166" customFormat="1" x14ac:dyDescent="0.2"/>
    <row r="15570" s="166" customFormat="1" x14ac:dyDescent="0.2"/>
    <row r="15571" s="166" customFormat="1" x14ac:dyDescent="0.2"/>
    <row r="15572" s="166" customFormat="1" x14ac:dyDescent="0.2"/>
    <row r="15573" s="166" customFormat="1" x14ac:dyDescent="0.2"/>
    <row r="15574" s="166" customFormat="1" x14ac:dyDescent="0.2"/>
    <row r="15575" s="166" customFormat="1" x14ac:dyDescent="0.2"/>
    <row r="15576" s="166" customFormat="1" x14ac:dyDescent="0.2"/>
    <row r="15577" s="166" customFormat="1" x14ac:dyDescent="0.2"/>
    <row r="15578" s="166" customFormat="1" x14ac:dyDescent="0.2"/>
    <row r="15579" s="166" customFormat="1" x14ac:dyDescent="0.2"/>
    <row r="15580" s="166" customFormat="1" x14ac:dyDescent="0.2"/>
    <row r="15581" s="166" customFormat="1" x14ac:dyDescent="0.2"/>
    <row r="15582" s="166" customFormat="1" x14ac:dyDescent="0.2"/>
    <row r="15583" s="166" customFormat="1" x14ac:dyDescent="0.2"/>
    <row r="15584" s="166" customFormat="1" x14ac:dyDescent="0.2"/>
    <row r="15585" s="166" customFormat="1" x14ac:dyDescent="0.2"/>
    <row r="15586" s="166" customFormat="1" x14ac:dyDescent="0.2"/>
    <row r="15587" s="166" customFormat="1" x14ac:dyDescent="0.2"/>
    <row r="15588" s="166" customFormat="1" x14ac:dyDescent="0.2"/>
    <row r="15589" s="166" customFormat="1" x14ac:dyDescent="0.2"/>
    <row r="15590" s="166" customFormat="1" x14ac:dyDescent="0.2"/>
    <row r="15591" s="166" customFormat="1" x14ac:dyDescent="0.2"/>
    <row r="15592" s="166" customFormat="1" x14ac:dyDescent="0.2"/>
    <row r="15593" s="166" customFormat="1" x14ac:dyDescent="0.2"/>
    <row r="15594" s="166" customFormat="1" x14ac:dyDescent="0.2"/>
    <row r="15595" s="166" customFormat="1" x14ac:dyDescent="0.2"/>
    <row r="15596" s="166" customFormat="1" x14ac:dyDescent="0.2"/>
    <row r="15597" s="166" customFormat="1" x14ac:dyDescent="0.2"/>
    <row r="15598" s="166" customFormat="1" x14ac:dyDescent="0.2"/>
    <row r="15599" s="166" customFormat="1" x14ac:dyDescent="0.2"/>
    <row r="15600" s="166" customFormat="1" x14ac:dyDescent="0.2"/>
    <row r="15601" s="166" customFormat="1" x14ac:dyDescent="0.2"/>
    <row r="15602" s="166" customFormat="1" x14ac:dyDescent="0.2"/>
    <row r="15603" s="166" customFormat="1" x14ac:dyDescent="0.2"/>
    <row r="15604" s="166" customFormat="1" x14ac:dyDescent="0.2"/>
    <row r="15605" s="166" customFormat="1" x14ac:dyDescent="0.2"/>
    <row r="15606" s="166" customFormat="1" x14ac:dyDescent="0.2"/>
    <row r="15607" s="166" customFormat="1" x14ac:dyDescent="0.2"/>
    <row r="15608" s="166" customFormat="1" x14ac:dyDescent="0.2"/>
    <row r="15609" s="166" customFormat="1" x14ac:dyDescent="0.2"/>
    <row r="15610" s="166" customFormat="1" x14ac:dyDescent="0.2"/>
    <row r="15611" s="166" customFormat="1" x14ac:dyDescent="0.2"/>
    <row r="15612" s="166" customFormat="1" x14ac:dyDescent="0.2"/>
    <row r="15613" s="166" customFormat="1" x14ac:dyDescent="0.2"/>
    <row r="15614" s="166" customFormat="1" x14ac:dyDescent="0.2"/>
    <row r="15615" s="166" customFormat="1" x14ac:dyDescent="0.2"/>
    <row r="15616" s="166" customFormat="1" x14ac:dyDescent="0.2"/>
    <row r="15617" s="166" customFormat="1" x14ac:dyDescent="0.2"/>
    <row r="15618" s="166" customFormat="1" x14ac:dyDescent="0.2"/>
    <row r="15619" s="166" customFormat="1" x14ac:dyDescent="0.2"/>
    <row r="15620" s="166" customFormat="1" x14ac:dyDescent="0.2"/>
    <row r="15621" s="166" customFormat="1" x14ac:dyDescent="0.2"/>
    <row r="15622" s="166" customFormat="1" x14ac:dyDescent="0.2"/>
    <row r="15623" s="166" customFormat="1" x14ac:dyDescent="0.2"/>
    <row r="15624" s="166" customFormat="1" x14ac:dyDescent="0.2"/>
    <row r="15625" s="166" customFormat="1" x14ac:dyDescent="0.2"/>
    <row r="15626" s="166" customFormat="1" x14ac:dyDescent="0.2"/>
    <row r="15627" s="166" customFormat="1" x14ac:dyDescent="0.2"/>
    <row r="15628" s="166" customFormat="1" x14ac:dyDescent="0.2"/>
    <row r="15629" s="166" customFormat="1" x14ac:dyDescent="0.2"/>
    <row r="15630" s="166" customFormat="1" x14ac:dyDescent="0.2"/>
    <row r="15631" s="166" customFormat="1" x14ac:dyDescent="0.2"/>
    <row r="15632" s="166" customFormat="1" x14ac:dyDescent="0.2"/>
    <row r="15633" s="166" customFormat="1" x14ac:dyDescent="0.2"/>
    <row r="15634" s="166" customFormat="1" x14ac:dyDescent="0.2"/>
    <row r="15635" s="166" customFormat="1" x14ac:dyDescent="0.2"/>
    <row r="15636" s="166" customFormat="1" x14ac:dyDescent="0.2"/>
    <row r="15637" s="166" customFormat="1" x14ac:dyDescent="0.2"/>
    <row r="15638" s="166" customFormat="1" x14ac:dyDescent="0.2"/>
    <row r="15639" s="166" customFormat="1" x14ac:dyDescent="0.2"/>
    <row r="15640" s="166" customFormat="1" x14ac:dyDescent="0.2"/>
    <row r="15641" s="166" customFormat="1" x14ac:dyDescent="0.2"/>
    <row r="15642" s="166" customFormat="1" x14ac:dyDescent="0.2"/>
    <row r="15643" s="166" customFormat="1" x14ac:dyDescent="0.2"/>
    <row r="15644" s="166" customFormat="1" x14ac:dyDescent="0.2"/>
    <row r="15645" s="166" customFormat="1" x14ac:dyDescent="0.2"/>
    <row r="15646" s="166" customFormat="1" x14ac:dyDescent="0.2"/>
    <row r="15647" s="166" customFormat="1" x14ac:dyDescent="0.2"/>
    <row r="15648" s="166" customFormat="1" x14ac:dyDescent="0.2"/>
    <row r="15649" s="166" customFormat="1" x14ac:dyDescent="0.2"/>
    <row r="15650" s="166" customFormat="1" x14ac:dyDescent="0.2"/>
    <row r="15651" s="166" customFormat="1" x14ac:dyDescent="0.2"/>
    <row r="15652" s="166" customFormat="1" x14ac:dyDescent="0.2"/>
    <row r="15653" s="166" customFormat="1" x14ac:dyDescent="0.2"/>
    <row r="15654" s="166" customFormat="1" x14ac:dyDescent="0.2"/>
    <row r="15655" s="166" customFormat="1" x14ac:dyDescent="0.2"/>
    <row r="15656" s="166" customFormat="1" x14ac:dyDescent="0.2"/>
    <row r="15657" s="166" customFormat="1" x14ac:dyDescent="0.2"/>
    <row r="15658" s="166" customFormat="1" x14ac:dyDescent="0.2"/>
    <row r="15659" s="166" customFormat="1" x14ac:dyDescent="0.2"/>
    <row r="15660" s="166" customFormat="1" x14ac:dyDescent="0.2"/>
    <row r="15661" s="166" customFormat="1" x14ac:dyDescent="0.2"/>
    <row r="15662" s="166" customFormat="1" x14ac:dyDescent="0.2"/>
    <row r="15663" s="166" customFormat="1" x14ac:dyDescent="0.2"/>
    <row r="15664" s="166" customFormat="1" x14ac:dyDescent="0.2"/>
    <row r="15665" s="166" customFormat="1" x14ac:dyDescent="0.2"/>
    <row r="15666" s="166" customFormat="1" x14ac:dyDescent="0.2"/>
    <row r="15667" s="166" customFormat="1" x14ac:dyDescent="0.2"/>
    <row r="15668" s="166" customFormat="1" x14ac:dyDescent="0.2"/>
    <row r="15669" s="166" customFormat="1" x14ac:dyDescent="0.2"/>
    <row r="15670" s="166" customFormat="1" x14ac:dyDescent="0.2"/>
    <row r="15671" s="166" customFormat="1" x14ac:dyDescent="0.2"/>
    <row r="15672" s="166" customFormat="1" x14ac:dyDescent="0.2"/>
    <row r="15673" s="166" customFormat="1" x14ac:dyDescent="0.2"/>
    <row r="15674" s="166" customFormat="1" x14ac:dyDescent="0.2"/>
    <row r="15675" s="166" customFormat="1" x14ac:dyDescent="0.2"/>
    <row r="15676" s="166" customFormat="1" x14ac:dyDescent="0.2"/>
    <row r="15677" s="166" customFormat="1" x14ac:dyDescent="0.2"/>
    <row r="15678" s="166" customFormat="1" x14ac:dyDescent="0.2"/>
    <row r="15679" s="166" customFormat="1" x14ac:dyDescent="0.2"/>
    <row r="15680" s="166" customFormat="1" x14ac:dyDescent="0.2"/>
    <row r="15681" s="166" customFormat="1" x14ac:dyDescent="0.2"/>
    <row r="15682" s="166" customFormat="1" x14ac:dyDescent="0.2"/>
    <row r="15683" s="166" customFormat="1" x14ac:dyDescent="0.2"/>
    <row r="15684" s="166" customFormat="1" x14ac:dyDescent="0.2"/>
    <row r="15685" s="166" customFormat="1" x14ac:dyDescent="0.2"/>
    <row r="15686" s="166" customFormat="1" x14ac:dyDescent="0.2"/>
    <row r="15687" s="166" customFormat="1" x14ac:dyDescent="0.2"/>
    <row r="15688" s="166" customFormat="1" x14ac:dyDescent="0.2"/>
    <row r="15689" s="166" customFormat="1" x14ac:dyDescent="0.2"/>
    <row r="15690" s="166" customFormat="1" x14ac:dyDescent="0.2"/>
    <row r="15691" s="166" customFormat="1" x14ac:dyDescent="0.2"/>
    <row r="15692" s="166" customFormat="1" x14ac:dyDescent="0.2"/>
    <row r="15693" s="166" customFormat="1" x14ac:dyDescent="0.2"/>
    <row r="15694" s="166" customFormat="1" x14ac:dyDescent="0.2"/>
    <row r="15695" s="166" customFormat="1" x14ac:dyDescent="0.2"/>
    <row r="15696" s="166" customFormat="1" x14ac:dyDescent="0.2"/>
    <row r="15697" s="166" customFormat="1" x14ac:dyDescent="0.2"/>
    <row r="15698" s="166" customFormat="1" x14ac:dyDescent="0.2"/>
    <row r="15699" s="166" customFormat="1" x14ac:dyDescent="0.2"/>
    <row r="15700" s="166" customFormat="1" x14ac:dyDescent="0.2"/>
    <row r="15701" s="166" customFormat="1" x14ac:dyDescent="0.2"/>
    <row r="15702" s="166" customFormat="1" x14ac:dyDescent="0.2"/>
    <row r="15703" s="166" customFormat="1" x14ac:dyDescent="0.2"/>
    <row r="15704" s="166" customFormat="1" x14ac:dyDescent="0.2"/>
    <row r="15705" s="166" customFormat="1" x14ac:dyDescent="0.2"/>
    <row r="15706" s="166" customFormat="1" x14ac:dyDescent="0.2"/>
    <row r="15707" s="166" customFormat="1" x14ac:dyDescent="0.2"/>
    <row r="15708" s="166" customFormat="1" x14ac:dyDescent="0.2"/>
    <row r="15709" s="166" customFormat="1" x14ac:dyDescent="0.2"/>
    <row r="15710" s="166" customFormat="1" x14ac:dyDescent="0.2"/>
    <row r="15711" s="166" customFormat="1" x14ac:dyDescent="0.2"/>
    <row r="15712" s="166" customFormat="1" x14ac:dyDescent="0.2"/>
    <row r="15713" s="166" customFormat="1" x14ac:dyDescent="0.2"/>
    <row r="15714" s="166" customFormat="1" x14ac:dyDescent="0.2"/>
    <row r="15715" s="166" customFormat="1" x14ac:dyDescent="0.2"/>
    <row r="15716" s="166" customFormat="1" x14ac:dyDescent="0.2"/>
    <row r="15717" s="166" customFormat="1" x14ac:dyDescent="0.2"/>
    <row r="15718" s="166" customFormat="1" x14ac:dyDescent="0.2"/>
    <row r="15719" s="166" customFormat="1" x14ac:dyDescent="0.2"/>
    <row r="15720" s="166" customFormat="1" x14ac:dyDescent="0.2"/>
    <row r="15721" s="166" customFormat="1" x14ac:dyDescent="0.2"/>
    <row r="15722" s="166" customFormat="1" x14ac:dyDescent="0.2"/>
    <row r="15723" s="166" customFormat="1" x14ac:dyDescent="0.2"/>
    <row r="15724" s="166" customFormat="1" x14ac:dyDescent="0.2"/>
    <row r="15725" s="166" customFormat="1" x14ac:dyDescent="0.2"/>
    <row r="15726" s="166" customFormat="1" x14ac:dyDescent="0.2"/>
    <row r="15727" s="166" customFormat="1" x14ac:dyDescent="0.2"/>
    <row r="15728" s="166" customFormat="1" x14ac:dyDescent="0.2"/>
    <row r="15729" s="166" customFormat="1" x14ac:dyDescent="0.2"/>
    <row r="15730" s="166" customFormat="1" x14ac:dyDescent="0.2"/>
    <row r="15731" s="166" customFormat="1" x14ac:dyDescent="0.2"/>
    <row r="15732" s="166" customFormat="1" x14ac:dyDescent="0.2"/>
    <row r="15733" s="166" customFormat="1" x14ac:dyDescent="0.2"/>
    <row r="15734" s="166" customFormat="1" x14ac:dyDescent="0.2"/>
    <row r="15735" s="166" customFormat="1" x14ac:dyDescent="0.2"/>
    <row r="15736" s="166" customFormat="1" x14ac:dyDescent="0.2"/>
    <row r="15737" s="166" customFormat="1" x14ac:dyDescent="0.2"/>
    <row r="15738" s="166" customFormat="1" x14ac:dyDescent="0.2"/>
    <row r="15739" s="166" customFormat="1" x14ac:dyDescent="0.2"/>
    <row r="15740" s="166" customFormat="1" x14ac:dyDescent="0.2"/>
    <row r="15741" s="166" customFormat="1" x14ac:dyDescent="0.2"/>
    <row r="15742" s="166" customFormat="1" x14ac:dyDescent="0.2"/>
    <row r="15743" s="166" customFormat="1" x14ac:dyDescent="0.2"/>
    <row r="15744" s="166" customFormat="1" x14ac:dyDescent="0.2"/>
    <row r="15745" s="166" customFormat="1" x14ac:dyDescent="0.2"/>
    <row r="15746" s="166" customFormat="1" x14ac:dyDescent="0.2"/>
    <row r="15747" s="166" customFormat="1" x14ac:dyDescent="0.2"/>
    <row r="15748" s="166" customFormat="1" x14ac:dyDescent="0.2"/>
    <row r="15749" s="166" customFormat="1" x14ac:dyDescent="0.2"/>
    <row r="15750" s="166" customFormat="1" x14ac:dyDescent="0.2"/>
    <row r="15751" s="166" customFormat="1" x14ac:dyDescent="0.2"/>
    <row r="15752" s="166" customFormat="1" x14ac:dyDescent="0.2"/>
    <row r="15753" s="166" customFormat="1" x14ac:dyDescent="0.2"/>
    <row r="15754" s="166" customFormat="1" x14ac:dyDescent="0.2"/>
    <row r="15755" s="166" customFormat="1" x14ac:dyDescent="0.2"/>
    <row r="15756" s="166" customFormat="1" x14ac:dyDescent="0.2"/>
    <row r="15757" s="166" customFormat="1" x14ac:dyDescent="0.2"/>
    <row r="15758" s="166" customFormat="1" x14ac:dyDescent="0.2"/>
    <row r="15759" s="166" customFormat="1" x14ac:dyDescent="0.2"/>
    <row r="15760" s="166" customFormat="1" x14ac:dyDescent="0.2"/>
    <row r="15761" s="166" customFormat="1" x14ac:dyDescent="0.2"/>
    <row r="15762" s="166" customFormat="1" x14ac:dyDescent="0.2"/>
    <row r="15763" s="166" customFormat="1" x14ac:dyDescent="0.2"/>
    <row r="15764" s="166" customFormat="1" x14ac:dyDescent="0.2"/>
    <row r="15765" s="166" customFormat="1" x14ac:dyDescent="0.2"/>
    <row r="15766" s="166" customFormat="1" x14ac:dyDescent="0.2"/>
    <row r="15767" s="166" customFormat="1" x14ac:dyDescent="0.2"/>
    <row r="15768" s="166" customFormat="1" x14ac:dyDescent="0.2"/>
    <row r="15769" s="166" customFormat="1" x14ac:dyDescent="0.2"/>
    <row r="15770" s="166" customFormat="1" x14ac:dyDescent="0.2"/>
    <row r="15771" s="166" customFormat="1" x14ac:dyDescent="0.2"/>
    <row r="15772" s="166" customFormat="1" x14ac:dyDescent="0.2"/>
    <row r="15773" s="166" customFormat="1" x14ac:dyDescent="0.2"/>
    <row r="15774" s="166" customFormat="1" x14ac:dyDescent="0.2"/>
    <row r="15775" s="166" customFormat="1" x14ac:dyDescent="0.2"/>
    <row r="15776" s="166" customFormat="1" x14ac:dyDescent="0.2"/>
    <row r="15777" s="166" customFormat="1" x14ac:dyDescent="0.2"/>
    <row r="15778" s="166" customFormat="1" x14ac:dyDescent="0.2"/>
    <row r="15779" s="166" customFormat="1" x14ac:dyDescent="0.2"/>
    <row r="15780" s="166" customFormat="1" x14ac:dyDescent="0.2"/>
    <row r="15781" s="166" customFormat="1" x14ac:dyDescent="0.2"/>
    <row r="15782" s="166" customFormat="1" x14ac:dyDescent="0.2"/>
    <row r="15783" s="166" customFormat="1" x14ac:dyDescent="0.2"/>
    <row r="15784" s="166" customFormat="1" x14ac:dyDescent="0.2"/>
    <row r="15785" s="166" customFormat="1" x14ac:dyDescent="0.2"/>
    <row r="15786" s="166" customFormat="1" x14ac:dyDescent="0.2"/>
    <row r="15787" s="166" customFormat="1" x14ac:dyDescent="0.2"/>
    <row r="15788" s="166" customFormat="1" x14ac:dyDescent="0.2"/>
    <row r="15789" s="166" customFormat="1" x14ac:dyDescent="0.2"/>
    <row r="15790" s="166" customFormat="1" x14ac:dyDescent="0.2"/>
    <row r="15791" s="166" customFormat="1" x14ac:dyDescent="0.2"/>
    <row r="15792" s="166" customFormat="1" x14ac:dyDescent="0.2"/>
    <row r="15793" s="166" customFormat="1" x14ac:dyDescent="0.2"/>
    <row r="15794" s="166" customFormat="1" x14ac:dyDescent="0.2"/>
    <row r="15795" s="166" customFormat="1" x14ac:dyDescent="0.2"/>
    <row r="15796" s="166" customFormat="1" x14ac:dyDescent="0.2"/>
    <row r="15797" s="166" customFormat="1" x14ac:dyDescent="0.2"/>
    <row r="15798" s="166" customFormat="1" x14ac:dyDescent="0.2"/>
    <row r="15799" s="166" customFormat="1" x14ac:dyDescent="0.2"/>
    <row r="15800" s="166" customFormat="1" x14ac:dyDescent="0.2"/>
    <row r="15801" s="166" customFormat="1" x14ac:dyDescent="0.2"/>
    <row r="15802" s="166" customFormat="1" x14ac:dyDescent="0.2"/>
    <row r="15803" s="166" customFormat="1" x14ac:dyDescent="0.2"/>
    <row r="15804" s="166" customFormat="1" x14ac:dyDescent="0.2"/>
    <row r="15805" s="166" customFormat="1" x14ac:dyDescent="0.2"/>
    <row r="15806" s="166" customFormat="1" x14ac:dyDescent="0.2"/>
    <row r="15807" s="166" customFormat="1" x14ac:dyDescent="0.2"/>
    <row r="15808" s="166" customFormat="1" x14ac:dyDescent="0.2"/>
    <row r="15809" s="166" customFormat="1" x14ac:dyDescent="0.2"/>
    <row r="15810" s="166" customFormat="1" x14ac:dyDescent="0.2"/>
    <row r="15811" s="166" customFormat="1" x14ac:dyDescent="0.2"/>
    <row r="15812" s="166" customFormat="1" x14ac:dyDescent="0.2"/>
    <row r="15813" s="166" customFormat="1" x14ac:dyDescent="0.2"/>
    <row r="15814" s="166" customFormat="1" x14ac:dyDescent="0.2"/>
    <row r="15815" s="166" customFormat="1" x14ac:dyDescent="0.2"/>
    <row r="15816" s="166" customFormat="1" x14ac:dyDescent="0.2"/>
    <row r="15817" s="166" customFormat="1" x14ac:dyDescent="0.2"/>
    <row r="15818" s="166" customFormat="1" x14ac:dyDescent="0.2"/>
    <row r="15819" s="166" customFormat="1" x14ac:dyDescent="0.2"/>
    <row r="15820" s="166" customFormat="1" x14ac:dyDescent="0.2"/>
    <row r="15821" s="166" customFormat="1" x14ac:dyDescent="0.2"/>
    <row r="15822" s="166" customFormat="1" x14ac:dyDescent="0.2"/>
    <row r="15823" s="166" customFormat="1" x14ac:dyDescent="0.2"/>
    <row r="15824" s="166" customFormat="1" x14ac:dyDescent="0.2"/>
    <row r="15825" s="166" customFormat="1" x14ac:dyDescent="0.2"/>
    <row r="15826" s="166" customFormat="1" x14ac:dyDescent="0.2"/>
    <row r="15827" s="166" customFormat="1" x14ac:dyDescent="0.2"/>
    <row r="15828" s="166" customFormat="1" x14ac:dyDescent="0.2"/>
    <row r="15829" s="166" customFormat="1" x14ac:dyDescent="0.2"/>
    <row r="15830" s="166" customFormat="1" x14ac:dyDescent="0.2"/>
    <row r="15831" s="166" customFormat="1" x14ac:dyDescent="0.2"/>
    <row r="15832" s="166" customFormat="1" x14ac:dyDescent="0.2"/>
    <row r="15833" s="166" customFormat="1" x14ac:dyDescent="0.2"/>
    <row r="15834" s="166" customFormat="1" x14ac:dyDescent="0.2"/>
    <row r="15835" s="166" customFormat="1" x14ac:dyDescent="0.2"/>
    <row r="15836" s="166" customFormat="1" x14ac:dyDescent="0.2"/>
    <row r="15837" s="166" customFormat="1" x14ac:dyDescent="0.2"/>
    <row r="15838" s="166" customFormat="1" x14ac:dyDescent="0.2"/>
    <row r="15839" s="166" customFormat="1" x14ac:dyDescent="0.2"/>
    <row r="15840" s="166" customFormat="1" x14ac:dyDescent="0.2"/>
    <row r="15841" s="166" customFormat="1" x14ac:dyDescent="0.2"/>
    <row r="15842" s="166" customFormat="1" x14ac:dyDescent="0.2"/>
    <row r="15843" s="166" customFormat="1" x14ac:dyDescent="0.2"/>
    <row r="15844" s="166" customFormat="1" x14ac:dyDescent="0.2"/>
    <row r="15845" s="166" customFormat="1" x14ac:dyDescent="0.2"/>
    <row r="15846" s="166" customFormat="1" x14ac:dyDescent="0.2"/>
    <row r="15847" s="166" customFormat="1" x14ac:dyDescent="0.2"/>
    <row r="15848" s="166" customFormat="1" x14ac:dyDescent="0.2"/>
    <row r="15849" s="166" customFormat="1" x14ac:dyDescent="0.2"/>
    <row r="15850" s="166" customFormat="1" x14ac:dyDescent="0.2"/>
    <row r="15851" s="166" customFormat="1" x14ac:dyDescent="0.2"/>
    <row r="15852" s="166" customFormat="1" x14ac:dyDescent="0.2"/>
    <row r="15853" s="166" customFormat="1" x14ac:dyDescent="0.2"/>
    <row r="15854" s="166" customFormat="1" x14ac:dyDescent="0.2"/>
    <row r="15855" s="166" customFormat="1" x14ac:dyDescent="0.2"/>
    <row r="15856" s="166" customFormat="1" x14ac:dyDescent="0.2"/>
    <row r="15857" s="166" customFormat="1" x14ac:dyDescent="0.2"/>
    <row r="15858" s="166" customFormat="1" x14ac:dyDescent="0.2"/>
    <row r="15859" s="166" customFormat="1" x14ac:dyDescent="0.2"/>
    <row r="15860" s="166" customFormat="1" x14ac:dyDescent="0.2"/>
    <row r="15861" s="166" customFormat="1" x14ac:dyDescent="0.2"/>
    <row r="15862" s="166" customFormat="1" x14ac:dyDescent="0.2"/>
    <row r="15863" s="166" customFormat="1" x14ac:dyDescent="0.2"/>
    <row r="15864" s="166" customFormat="1" x14ac:dyDescent="0.2"/>
    <row r="15865" s="166" customFormat="1" x14ac:dyDescent="0.2"/>
    <row r="15866" s="166" customFormat="1" x14ac:dyDescent="0.2"/>
    <row r="15867" s="166" customFormat="1" x14ac:dyDescent="0.2"/>
    <row r="15868" s="166" customFormat="1" x14ac:dyDescent="0.2"/>
    <row r="15869" s="166" customFormat="1" x14ac:dyDescent="0.2"/>
    <row r="15870" s="166" customFormat="1" x14ac:dyDescent="0.2"/>
    <row r="15871" s="166" customFormat="1" x14ac:dyDescent="0.2"/>
    <row r="15872" s="166" customFormat="1" x14ac:dyDescent="0.2"/>
    <row r="15873" s="166" customFormat="1" x14ac:dyDescent="0.2"/>
    <row r="15874" s="166" customFormat="1" x14ac:dyDescent="0.2"/>
    <row r="15875" s="166" customFormat="1" x14ac:dyDescent="0.2"/>
    <row r="15876" s="166" customFormat="1" x14ac:dyDescent="0.2"/>
    <row r="15877" s="166" customFormat="1" x14ac:dyDescent="0.2"/>
    <row r="15878" s="166" customFormat="1" x14ac:dyDescent="0.2"/>
    <row r="15879" s="166" customFormat="1" x14ac:dyDescent="0.2"/>
    <row r="15880" s="166" customFormat="1" x14ac:dyDescent="0.2"/>
    <row r="15881" s="166" customFormat="1" x14ac:dyDescent="0.2"/>
    <row r="15882" s="166" customFormat="1" x14ac:dyDescent="0.2"/>
    <row r="15883" s="166" customFormat="1" x14ac:dyDescent="0.2"/>
    <row r="15884" s="166" customFormat="1" x14ac:dyDescent="0.2"/>
    <row r="15885" s="166" customFormat="1" x14ac:dyDescent="0.2"/>
    <row r="15886" s="166" customFormat="1" x14ac:dyDescent="0.2"/>
    <row r="15887" s="166" customFormat="1" x14ac:dyDescent="0.2"/>
    <row r="15888" s="166" customFormat="1" x14ac:dyDescent="0.2"/>
    <row r="15889" s="166" customFormat="1" x14ac:dyDescent="0.2"/>
    <row r="15890" s="166" customFormat="1" x14ac:dyDescent="0.2"/>
    <row r="15891" s="166" customFormat="1" x14ac:dyDescent="0.2"/>
    <row r="15892" s="166" customFormat="1" x14ac:dyDescent="0.2"/>
    <row r="15893" s="166" customFormat="1" x14ac:dyDescent="0.2"/>
    <row r="15894" s="166" customFormat="1" x14ac:dyDescent="0.2"/>
    <row r="15895" s="166" customFormat="1" x14ac:dyDescent="0.2"/>
    <row r="15896" s="166" customFormat="1" x14ac:dyDescent="0.2"/>
    <row r="15897" s="166" customFormat="1" x14ac:dyDescent="0.2"/>
    <row r="15898" s="166" customFormat="1" x14ac:dyDescent="0.2"/>
    <row r="15899" s="166" customFormat="1" x14ac:dyDescent="0.2"/>
    <row r="15900" s="166" customFormat="1" x14ac:dyDescent="0.2"/>
    <row r="15901" s="166" customFormat="1" x14ac:dyDescent="0.2"/>
    <row r="15902" s="166" customFormat="1" x14ac:dyDescent="0.2"/>
    <row r="15903" s="166" customFormat="1" x14ac:dyDescent="0.2"/>
    <row r="15904" s="166" customFormat="1" x14ac:dyDescent="0.2"/>
    <row r="15905" s="166" customFormat="1" x14ac:dyDescent="0.2"/>
    <row r="15906" s="166" customFormat="1" x14ac:dyDescent="0.2"/>
    <row r="15907" s="166" customFormat="1" x14ac:dyDescent="0.2"/>
    <row r="15908" s="166" customFormat="1" x14ac:dyDescent="0.2"/>
    <row r="15909" s="166" customFormat="1" x14ac:dyDescent="0.2"/>
    <row r="15910" s="166" customFormat="1" x14ac:dyDescent="0.2"/>
    <row r="15911" s="166" customFormat="1" x14ac:dyDescent="0.2"/>
    <row r="15912" s="166" customFormat="1" x14ac:dyDescent="0.2"/>
    <row r="15913" s="166" customFormat="1" x14ac:dyDescent="0.2"/>
    <row r="15914" s="166" customFormat="1" x14ac:dyDescent="0.2"/>
    <row r="15915" s="166" customFormat="1" x14ac:dyDescent="0.2"/>
    <row r="15916" s="166" customFormat="1" x14ac:dyDescent="0.2"/>
    <row r="15917" s="166" customFormat="1" x14ac:dyDescent="0.2"/>
    <row r="15918" s="166" customFormat="1" x14ac:dyDescent="0.2"/>
    <row r="15919" s="166" customFormat="1" x14ac:dyDescent="0.2"/>
    <row r="15920" s="166" customFormat="1" x14ac:dyDescent="0.2"/>
    <row r="15921" s="166" customFormat="1" x14ac:dyDescent="0.2"/>
    <row r="15922" s="166" customFormat="1" x14ac:dyDescent="0.2"/>
    <row r="15923" s="166" customFormat="1" x14ac:dyDescent="0.2"/>
    <row r="15924" s="166" customFormat="1" x14ac:dyDescent="0.2"/>
    <row r="15925" s="166" customFormat="1" x14ac:dyDescent="0.2"/>
    <row r="15926" s="166" customFormat="1" x14ac:dyDescent="0.2"/>
    <row r="15927" s="166" customFormat="1" x14ac:dyDescent="0.2"/>
    <row r="15928" s="166" customFormat="1" x14ac:dyDescent="0.2"/>
    <row r="15929" s="166" customFormat="1" x14ac:dyDescent="0.2"/>
    <row r="15930" s="166" customFormat="1" x14ac:dyDescent="0.2"/>
    <row r="15931" s="166" customFormat="1" x14ac:dyDescent="0.2"/>
    <row r="15932" s="166" customFormat="1" x14ac:dyDescent="0.2"/>
    <row r="15933" s="166" customFormat="1" x14ac:dyDescent="0.2"/>
    <row r="15934" s="166" customFormat="1" x14ac:dyDescent="0.2"/>
    <row r="15935" s="166" customFormat="1" x14ac:dyDescent="0.2"/>
    <row r="15936" s="166" customFormat="1" x14ac:dyDescent="0.2"/>
    <row r="15937" s="166" customFormat="1" x14ac:dyDescent="0.2"/>
    <row r="15938" s="166" customFormat="1" x14ac:dyDescent="0.2"/>
    <row r="15939" s="166" customFormat="1" x14ac:dyDescent="0.2"/>
    <row r="15940" s="166" customFormat="1" x14ac:dyDescent="0.2"/>
    <row r="15941" s="166" customFormat="1" x14ac:dyDescent="0.2"/>
    <row r="15942" s="166" customFormat="1" x14ac:dyDescent="0.2"/>
    <row r="15943" s="166" customFormat="1" x14ac:dyDescent="0.2"/>
    <row r="15944" s="166" customFormat="1" x14ac:dyDescent="0.2"/>
    <row r="15945" s="166" customFormat="1" x14ac:dyDescent="0.2"/>
    <row r="15946" s="166" customFormat="1" x14ac:dyDescent="0.2"/>
    <row r="15947" s="166" customFormat="1" x14ac:dyDescent="0.2"/>
    <row r="15948" s="166" customFormat="1" x14ac:dyDescent="0.2"/>
    <row r="15949" s="166" customFormat="1" x14ac:dyDescent="0.2"/>
    <row r="15950" s="166" customFormat="1" x14ac:dyDescent="0.2"/>
    <row r="15951" s="166" customFormat="1" x14ac:dyDescent="0.2"/>
    <row r="15952" s="166" customFormat="1" x14ac:dyDescent="0.2"/>
    <row r="15953" s="166" customFormat="1" x14ac:dyDescent="0.2"/>
    <row r="15954" s="166" customFormat="1" x14ac:dyDescent="0.2"/>
    <row r="15955" s="166" customFormat="1" x14ac:dyDescent="0.2"/>
    <row r="15956" s="166" customFormat="1" x14ac:dyDescent="0.2"/>
    <row r="15957" s="166" customFormat="1" x14ac:dyDescent="0.2"/>
    <row r="15958" s="166" customFormat="1" x14ac:dyDescent="0.2"/>
    <row r="15959" s="166" customFormat="1" x14ac:dyDescent="0.2"/>
    <row r="15960" s="166" customFormat="1" x14ac:dyDescent="0.2"/>
    <row r="15961" s="166" customFormat="1" x14ac:dyDescent="0.2"/>
    <row r="15962" s="166" customFormat="1" x14ac:dyDescent="0.2"/>
    <row r="15963" s="166" customFormat="1" x14ac:dyDescent="0.2"/>
    <row r="15964" s="166" customFormat="1" x14ac:dyDescent="0.2"/>
    <row r="15965" s="166" customFormat="1" x14ac:dyDescent="0.2"/>
    <row r="15966" s="166" customFormat="1" x14ac:dyDescent="0.2"/>
    <row r="15967" s="166" customFormat="1" x14ac:dyDescent="0.2"/>
    <row r="15968" s="166" customFormat="1" x14ac:dyDescent="0.2"/>
    <row r="15969" s="166" customFormat="1" x14ac:dyDescent="0.2"/>
    <row r="15970" s="166" customFormat="1" x14ac:dyDescent="0.2"/>
    <row r="15971" s="166" customFormat="1" x14ac:dyDescent="0.2"/>
    <row r="15972" s="166" customFormat="1" x14ac:dyDescent="0.2"/>
    <row r="15973" s="166" customFormat="1" x14ac:dyDescent="0.2"/>
    <row r="15974" s="166" customFormat="1" x14ac:dyDescent="0.2"/>
    <row r="15975" s="166" customFormat="1" x14ac:dyDescent="0.2"/>
    <row r="15976" s="166" customFormat="1" x14ac:dyDescent="0.2"/>
    <row r="15977" s="166" customFormat="1" x14ac:dyDescent="0.2"/>
    <row r="15978" s="166" customFormat="1" x14ac:dyDescent="0.2"/>
    <row r="15979" s="166" customFormat="1" x14ac:dyDescent="0.2"/>
    <row r="15980" s="166" customFormat="1" x14ac:dyDescent="0.2"/>
    <row r="15981" s="166" customFormat="1" x14ac:dyDescent="0.2"/>
    <row r="15982" s="166" customFormat="1" x14ac:dyDescent="0.2"/>
    <row r="15983" s="166" customFormat="1" x14ac:dyDescent="0.2"/>
    <row r="15984" s="166" customFormat="1" x14ac:dyDescent="0.2"/>
    <row r="15985" s="166" customFormat="1" x14ac:dyDescent="0.2"/>
    <row r="15986" s="166" customFormat="1" x14ac:dyDescent="0.2"/>
    <row r="15987" s="166" customFormat="1" x14ac:dyDescent="0.2"/>
    <row r="15988" s="166" customFormat="1" x14ac:dyDescent="0.2"/>
    <row r="15989" s="166" customFormat="1" x14ac:dyDescent="0.2"/>
    <row r="15990" s="166" customFormat="1" x14ac:dyDescent="0.2"/>
    <row r="15991" s="166" customFormat="1" x14ac:dyDescent="0.2"/>
    <row r="15992" s="166" customFormat="1" x14ac:dyDescent="0.2"/>
    <row r="15993" s="166" customFormat="1" x14ac:dyDescent="0.2"/>
    <row r="15994" s="166" customFormat="1" x14ac:dyDescent="0.2"/>
    <row r="15995" s="166" customFormat="1" x14ac:dyDescent="0.2"/>
    <row r="15996" s="166" customFormat="1" x14ac:dyDescent="0.2"/>
    <row r="15997" s="166" customFormat="1" x14ac:dyDescent="0.2"/>
    <row r="15998" s="166" customFormat="1" x14ac:dyDescent="0.2"/>
    <row r="15999" s="166" customFormat="1" x14ac:dyDescent="0.2"/>
    <row r="16000" s="166" customFormat="1" x14ac:dyDescent="0.2"/>
    <row r="16001" s="166" customFormat="1" x14ac:dyDescent="0.2"/>
    <row r="16002" s="166" customFormat="1" x14ac:dyDescent="0.2"/>
    <row r="16003" s="166" customFormat="1" x14ac:dyDescent="0.2"/>
    <row r="16004" s="166" customFormat="1" x14ac:dyDescent="0.2"/>
    <row r="16005" s="166" customFormat="1" x14ac:dyDescent="0.2"/>
    <row r="16006" s="166" customFormat="1" x14ac:dyDescent="0.2"/>
    <row r="16007" s="166" customFormat="1" x14ac:dyDescent="0.2"/>
    <row r="16008" s="166" customFormat="1" x14ac:dyDescent="0.2"/>
    <row r="16009" s="166" customFormat="1" x14ac:dyDescent="0.2"/>
    <row r="16010" s="166" customFormat="1" x14ac:dyDescent="0.2"/>
    <row r="16011" s="166" customFormat="1" x14ac:dyDescent="0.2"/>
    <row r="16012" s="166" customFormat="1" x14ac:dyDescent="0.2"/>
    <row r="16013" s="166" customFormat="1" x14ac:dyDescent="0.2"/>
    <row r="16014" s="166" customFormat="1" x14ac:dyDescent="0.2"/>
    <row r="16015" s="166" customFormat="1" x14ac:dyDescent="0.2"/>
    <row r="16016" s="166" customFormat="1" x14ac:dyDescent="0.2"/>
    <row r="16017" s="166" customFormat="1" x14ac:dyDescent="0.2"/>
    <row r="16018" s="166" customFormat="1" x14ac:dyDescent="0.2"/>
    <row r="16019" s="166" customFormat="1" x14ac:dyDescent="0.2"/>
    <row r="16020" s="166" customFormat="1" x14ac:dyDescent="0.2"/>
    <row r="16021" s="166" customFormat="1" x14ac:dyDescent="0.2"/>
    <row r="16022" s="166" customFormat="1" x14ac:dyDescent="0.2"/>
    <row r="16023" s="166" customFormat="1" x14ac:dyDescent="0.2"/>
    <row r="16024" s="166" customFormat="1" x14ac:dyDescent="0.2"/>
    <row r="16025" s="166" customFormat="1" x14ac:dyDescent="0.2"/>
    <row r="16026" s="166" customFormat="1" x14ac:dyDescent="0.2"/>
    <row r="16027" s="166" customFormat="1" x14ac:dyDescent="0.2"/>
    <row r="16028" s="166" customFormat="1" x14ac:dyDescent="0.2"/>
    <row r="16029" s="166" customFormat="1" x14ac:dyDescent="0.2"/>
    <row r="16030" s="166" customFormat="1" x14ac:dyDescent="0.2"/>
    <row r="16031" s="166" customFormat="1" x14ac:dyDescent="0.2"/>
    <row r="16032" s="166" customFormat="1" x14ac:dyDescent="0.2"/>
    <row r="16033" s="166" customFormat="1" x14ac:dyDescent="0.2"/>
    <row r="16034" s="166" customFormat="1" x14ac:dyDescent="0.2"/>
    <row r="16035" s="166" customFormat="1" x14ac:dyDescent="0.2"/>
    <row r="16036" s="166" customFormat="1" x14ac:dyDescent="0.2"/>
    <row r="16037" s="166" customFormat="1" x14ac:dyDescent="0.2"/>
    <row r="16038" s="166" customFormat="1" x14ac:dyDescent="0.2"/>
    <row r="16039" s="166" customFormat="1" x14ac:dyDescent="0.2"/>
    <row r="16040" s="166" customFormat="1" x14ac:dyDescent="0.2"/>
    <row r="16041" s="166" customFormat="1" x14ac:dyDescent="0.2"/>
    <row r="16042" s="166" customFormat="1" x14ac:dyDescent="0.2"/>
    <row r="16043" s="166" customFormat="1" x14ac:dyDescent="0.2"/>
    <row r="16044" s="166" customFormat="1" x14ac:dyDescent="0.2"/>
    <row r="16045" s="166" customFormat="1" x14ac:dyDescent="0.2"/>
    <row r="16046" s="166" customFormat="1" x14ac:dyDescent="0.2"/>
    <row r="16047" s="166" customFormat="1" x14ac:dyDescent="0.2"/>
    <row r="16048" s="166" customFormat="1" x14ac:dyDescent="0.2"/>
    <row r="16049" s="166" customFormat="1" x14ac:dyDescent="0.2"/>
    <row r="16050" s="166" customFormat="1" x14ac:dyDescent="0.2"/>
    <row r="16051" s="166" customFormat="1" x14ac:dyDescent="0.2"/>
    <row r="16052" s="166" customFormat="1" x14ac:dyDescent="0.2"/>
    <row r="16053" s="166" customFormat="1" x14ac:dyDescent="0.2"/>
    <row r="16054" s="166" customFormat="1" x14ac:dyDescent="0.2"/>
    <row r="16055" s="166" customFormat="1" x14ac:dyDescent="0.2"/>
    <row r="16056" s="166" customFormat="1" x14ac:dyDescent="0.2"/>
    <row r="16057" s="166" customFormat="1" x14ac:dyDescent="0.2"/>
    <row r="16058" s="166" customFormat="1" x14ac:dyDescent="0.2"/>
    <row r="16059" s="166" customFormat="1" x14ac:dyDescent="0.2"/>
    <row r="16060" s="166" customFormat="1" x14ac:dyDescent="0.2"/>
    <row r="16061" s="166" customFormat="1" x14ac:dyDescent="0.2"/>
    <row r="16062" s="166" customFormat="1" x14ac:dyDescent="0.2"/>
    <row r="16063" s="166" customFormat="1" x14ac:dyDescent="0.2"/>
    <row r="16064" s="166" customFormat="1" x14ac:dyDescent="0.2"/>
    <row r="16065" s="166" customFormat="1" x14ac:dyDescent="0.2"/>
    <row r="16066" s="166" customFormat="1" x14ac:dyDescent="0.2"/>
    <row r="16067" s="166" customFormat="1" x14ac:dyDescent="0.2"/>
    <row r="16068" s="166" customFormat="1" x14ac:dyDescent="0.2"/>
    <row r="16069" s="166" customFormat="1" x14ac:dyDescent="0.2"/>
    <row r="16070" s="166" customFormat="1" x14ac:dyDescent="0.2"/>
    <row r="16071" s="166" customFormat="1" x14ac:dyDescent="0.2"/>
    <row r="16072" s="166" customFormat="1" x14ac:dyDescent="0.2"/>
    <row r="16073" s="166" customFormat="1" x14ac:dyDescent="0.2"/>
    <row r="16074" s="166" customFormat="1" x14ac:dyDescent="0.2"/>
    <row r="16075" s="166" customFormat="1" x14ac:dyDescent="0.2"/>
    <row r="16076" s="166" customFormat="1" x14ac:dyDescent="0.2"/>
    <row r="16077" s="166" customFormat="1" x14ac:dyDescent="0.2"/>
    <row r="16078" s="166" customFormat="1" x14ac:dyDescent="0.2"/>
    <row r="16079" s="166" customFormat="1" x14ac:dyDescent="0.2"/>
    <row r="16080" s="166" customFormat="1" x14ac:dyDescent="0.2"/>
    <row r="16081" s="166" customFormat="1" x14ac:dyDescent="0.2"/>
    <row r="16082" s="166" customFormat="1" x14ac:dyDescent="0.2"/>
    <row r="16083" s="166" customFormat="1" x14ac:dyDescent="0.2"/>
    <row r="16084" s="166" customFormat="1" x14ac:dyDescent="0.2"/>
    <row r="16085" s="166" customFormat="1" x14ac:dyDescent="0.2"/>
    <row r="16086" s="166" customFormat="1" x14ac:dyDescent="0.2"/>
    <row r="16087" s="166" customFormat="1" x14ac:dyDescent="0.2"/>
    <row r="16088" s="166" customFormat="1" x14ac:dyDescent="0.2"/>
    <row r="16089" s="166" customFormat="1" x14ac:dyDescent="0.2"/>
    <row r="16090" s="166" customFormat="1" x14ac:dyDescent="0.2"/>
    <row r="16091" s="166" customFormat="1" x14ac:dyDescent="0.2"/>
    <row r="16092" s="166" customFormat="1" x14ac:dyDescent="0.2"/>
    <row r="16093" s="166" customFormat="1" x14ac:dyDescent="0.2"/>
    <row r="16094" s="166" customFormat="1" x14ac:dyDescent="0.2"/>
    <row r="16095" s="166" customFormat="1" x14ac:dyDescent="0.2"/>
    <row r="16096" s="166" customFormat="1" x14ac:dyDescent="0.2"/>
    <row r="16097" s="166" customFormat="1" x14ac:dyDescent="0.2"/>
    <row r="16098" s="166" customFormat="1" x14ac:dyDescent="0.2"/>
    <row r="16099" s="166" customFormat="1" x14ac:dyDescent="0.2"/>
    <row r="16100" s="166" customFormat="1" x14ac:dyDescent="0.2"/>
    <row r="16101" s="166" customFormat="1" x14ac:dyDescent="0.2"/>
    <row r="16102" s="166" customFormat="1" x14ac:dyDescent="0.2"/>
    <row r="16103" s="166" customFormat="1" x14ac:dyDescent="0.2"/>
    <row r="16104" s="166" customFormat="1" x14ac:dyDescent="0.2"/>
    <row r="16105" s="166" customFormat="1" x14ac:dyDescent="0.2"/>
    <row r="16106" s="166" customFormat="1" x14ac:dyDescent="0.2"/>
    <row r="16107" s="166" customFormat="1" x14ac:dyDescent="0.2"/>
    <row r="16108" s="166" customFormat="1" x14ac:dyDescent="0.2"/>
    <row r="16109" s="166" customFormat="1" x14ac:dyDescent="0.2"/>
    <row r="16110" s="166" customFormat="1" x14ac:dyDescent="0.2"/>
    <row r="16111" s="166" customFormat="1" x14ac:dyDescent="0.2"/>
    <row r="16112" s="166" customFormat="1" x14ac:dyDescent="0.2"/>
    <row r="16113" s="166" customFormat="1" x14ac:dyDescent="0.2"/>
    <row r="16114" s="166" customFormat="1" x14ac:dyDescent="0.2"/>
    <row r="16115" s="166" customFormat="1" x14ac:dyDescent="0.2"/>
    <row r="16116" s="166" customFormat="1" x14ac:dyDescent="0.2"/>
    <row r="16117" s="166" customFormat="1" x14ac:dyDescent="0.2"/>
    <row r="16118" s="166" customFormat="1" x14ac:dyDescent="0.2"/>
    <row r="16119" s="166" customFormat="1" x14ac:dyDescent="0.2"/>
    <row r="16120" s="166" customFormat="1" x14ac:dyDescent="0.2"/>
    <row r="16121" s="166" customFormat="1" x14ac:dyDescent="0.2"/>
    <row r="16122" s="166" customFormat="1" x14ac:dyDescent="0.2"/>
    <row r="16123" s="166" customFormat="1" x14ac:dyDescent="0.2"/>
    <row r="16124" s="166" customFormat="1" x14ac:dyDescent="0.2"/>
    <row r="16125" s="166" customFormat="1" x14ac:dyDescent="0.2"/>
    <row r="16126" s="166" customFormat="1" x14ac:dyDescent="0.2"/>
    <row r="16127" s="166" customFormat="1" x14ac:dyDescent="0.2"/>
    <row r="16128" s="166" customFormat="1" x14ac:dyDescent="0.2"/>
    <row r="16129" s="166" customFormat="1" x14ac:dyDescent="0.2"/>
    <row r="16130" s="166" customFormat="1" x14ac:dyDescent="0.2"/>
    <row r="16131" s="166" customFormat="1" x14ac:dyDescent="0.2"/>
    <row r="16132" s="166" customFormat="1" x14ac:dyDescent="0.2"/>
    <row r="16133" s="166" customFormat="1" x14ac:dyDescent="0.2"/>
    <row r="16134" s="166" customFormat="1" x14ac:dyDescent="0.2"/>
    <row r="16135" s="166" customFormat="1" x14ac:dyDescent="0.2"/>
    <row r="16136" s="166" customFormat="1" x14ac:dyDescent="0.2"/>
    <row r="16137" s="166" customFormat="1" x14ac:dyDescent="0.2"/>
    <row r="16138" s="166" customFormat="1" x14ac:dyDescent="0.2"/>
    <row r="16139" s="166" customFormat="1" x14ac:dyDescent="0.2"/>
    <row r="16140" s="166" customFormat="1" x14ac:dyDescent="0.2"/>
    <row r="16141" s="166" customFormat="1" x14ac:dyDescent="0.2"/>
    <row r="16142" s="166" customFormat="1" x14ac:dyDescent="0.2"/>
    <row r="16143" s="166" customFormat="1" x14ac:dyDescent="0.2"/>
    <row r="16144" s="166" customFormat="1" x14ac:dyDescent="0.2"/>
    <row r="16145" s="166" customFormat="1" x14ac:dyDescent="0.2"/>
    <row r="16146" s="166" customFormat="1" x14ac:dyDescent="0.2"/>
    <row r="16147" s="166" customFormat="1" x14ac:dyDescent="0.2"/>
    <row r="16148" s="166" customFormat="1" x14ac:dyDescent="0.2"/>
    <row r="16149" s="166" customFormat="1" x14ac:dyDescent="0.2"/>
    <row r="16150" s="166" customFormat="1" x14ac:dyDescent="0.2"/>
    <row r="16151" s="166" customFormat="1" x14ac:dyDescent="0.2"/>
    <row r="16152" s="166" customFormat="1" x14ac:dyDescent="0.2"/>
    <row r="16153" s="166" customFormat="1" x14ac:dyDescent="0.2"/>
    <row r="16154" s="166" customFormat="1" x14ac:dyDescent="0.2"/>
    <row r="16155" s="166" customFormat="1" x14ac:dyDescent="0.2"/>
    <row r="16156" s="166" customFormat="1" x14ac:dyDescent="0.2"/>
    <row r="16157" s="166" customFormat="1" x14ac:dyDescent="0.2"/>
    <row r="16158" s="166" customFormat="1" x14ac:dyDescent="0.2"/>
    <row r="16159" s="166" customFormat="1" x14ac:dyDescent="0.2"/>
    <row r="16160" s="166" customFormat="1" x14ac:dyDescent="0.2"/>
    <row r="16161" s="166" customFormat="1" x14ac:dyDescent="0.2"/>
    <row r="16162" s="166" customFormat="1" x14ac:dyDescent="0.2"/>
    <row r="16163" s="166" customFormat="1" x14ac:dyDescent="0.2"/>
    <row r="16164" s="166" customFormat="1" x14ac:dyDescent="0.2"/>
    <row r="16165" s="166" customFormat="1" x14ac:dyDescent="0.2"/>
    <row r="16166" s="166" customFormat="1" x14ac:dyDescent="0.2"/>
    <row r="16167" s="166" customFormat="1" x14ac:dyDescent="0.2"/>
    <row r="16168" s="166" customFormat="1" x14ac:dyDescent="0.2"/>
    <row r="16169" s="166" customFormat="1" x14ac:dyDescent="0.2"/>
    <row r="16170" s="166" customFormat="1" x14ac:dyDescent="0.2"/>
    <row r="16171" s="166" customFormat="1" x14ac:dyDescent="0.2"/>
    <row r="16172" s="166" customFormat="1" x14ac:dyDescent="0.2"/>
    <row r="16173" s="166" customFormat="1" x14ac:dyDescent="0.2"/>
    <row r="16174" s="166" customFormat="1" x14ac:dyDescent="0.2"/>
    <row r="16175" s="166" customFormat="1" x14ac:dyDescent="0.2"/>
    <row r="16176" s="166" customFormat="1" x14ac:dyDescent="0.2"/>
    <row r="16177" s="166" customFormat="1" x14ac:dyDescent="0.2"/>
    <row r="16178" s="166" customFormat="1" x14ac:dyDescent="0.2"/>
    <row r="16179" s="166" customFormat="1" x14ac:dyDescent="0.2"/>
    <row r="16180" s="166" customFormat="1" x14ac:dyDescent="0.2"/>
    <row r="16181" s="166" customFormat="1" x14ac:dyDescent="0.2"/>
    <row r="16182" s="166" customFormat="1" x14ac:dyDescent="0.2"/>
    <row r="16183" s="166" customFormat="1" x14ac:dyDescent="0.2"/>
    <row r="16184" s="166" customFormat="1" x14ac:dyDescent="0.2"/>
    <row r="16185" s="166" customFormat="1" x14ac:dyDescent="0.2"/>
    <row r="16186" s="166" customFormat="1" x14ac:dyDescent="0.2"/>
    <row r="16187" s="166" customFormat="1" x14ac:dyDescent="0.2"/>
    <row r="16188" s="166" customFormat="1" x14ac:dyDescent="0.2"/>
    <row r="16189" s="166" customFormat="1" x14ac:dyDescent="0.2"/>
    <row r="16190" s="166" customFormat="1" x14ac:dyDescent="0.2"/>
    <row r="16191" s="166" customFormat="1" x14ac:dyDescent="0.2"/>
    <row r="16192" s="166" customFormat="1" x14ac:dyDescent="0.2"/>
    <row r="16193" s="166" customFormat="1" x14ac:dyDescent="0.2"/>
    <row r="16194" s="166" customFormat="1" x14ac:dyDescent="0.2"/>
    <row r="16195" s="166" customFormat="1" x14ac:dyDescent="0.2"/>
    <row r="16196" s="166" customFormat="1" x14ac:dyDescent="0.2"/>
    <row r="16197" s="166" customFormat="1" x14ac:dyDescent="0.2"/>
    <row r="16198" s="166" customFormat="1" x14ac:dyDescent="0.2"/>
    <row r="16199" s="166" customFormat="1" x14ac:dyDescent="0.2"/>
    <row r="16200" s="166" customFormat="1" x14ac:dyDescent="0.2"/>
    <row r="16201" s="166" customFormat="1" x14ac:dyDescent="0.2"/>
    <row r="16202" s="166" customFormat="1" x14ac:dyDescent="0.2"/>
    <row r="16203" s="166" customFormat="1" x14ac:dyDescent="0.2"/>
    <row r="16204" s="166" customFormat="1" x14ac:dyDescent="0.2"/>
    <row r="16205" s="166" customFormat="1" x14ac:dyDescent="0.2"/>
    <row r="16206" s="166" customFormat="1" x14ac:dyDescent="0.2"/>
    <row r="16207" s="166" customFormat="1" x14ac:dyDescent="0.2"/>
    <row r="16208" s="166" customFormat="1" x14ac:dyDescent="0.2"/>
    <row r="16209" s="166" customFormat="1" x14ac:dyDescent="0.2"/>
    <row r="16210" s="166" customFormat="1" x14ac:dyDescent="0.2"/>
    <row r="16211" s="166" customFormat="1" x14ac:dyDescent="0.2"/>
    <row r="16212" s="166" customFormat="1" x14ac:dyDescent="0.2"/>
    <row r="16213" s="166" customFormat="1" x14ac:dyDescent="0.2"/>
    <row r="16214" s="166" customFormat="1" x14ac:dyDescent="0.2"/>
    <row r="16215" s="166" customFormat="1" x14ac:dyDescent="0.2"/>
    <row r="16216" s="166" customFormat="1" x14ac:dyDescent="0.2"/>
    <row r="16217" s="166" customFormat="1" x14ac:dyDescent="0.2"/>
    <row r="16218" s="166" customFormat="1" x14ac:dyDescent="0.2"/>
    <row r="16219" s="166" customFormat="1" x14ac:dyDescent="0.2"/>
    <row r="16220" s="166" customFormat="1" x14ac:dyDescent="0.2"/>
    <row r="16221" s="166" customFormat="1" x14ac:dyDescent="0.2"/>
    <row r="16222" s="166" customFormat="1" x14ac:dyDescent="0.2"/>
    <row r="16223" s="166" customFormat="1" x14ac:dyDescent="0.2"/>
    <row r="16224" s="166" customFormat="1" x14ac:dyDescent="0.2"/>
    <row r="16225" s="166" customFormat="1" x14ac:dyDescent="0.2"/>
    <row r="16226" s="166" customFormat="1" x14ac:dyDescent="0.2"/>
    <row r="16227" s="166" customFormat="1" x14ac:dyDescent="0.2"/>
    <row r="16228" s="166" customFormat="1" x14ac:dyDescent="0.2"/>
    <row r="16229" s="166" customFormat="1" x14ac:dyDescent="0.2"/>
    <row r="16230" s="166" customFormat="1" x14ac:dyDescent="0.2"/>
    <row r="16231" s="166" customFormat="1" x14ac:dyDescent="0.2"/>
    <row r="16232" s="166" customFormat="1" x14ac:dyDescent="0.2"/>
    <row r="16233" s="166" customFormat="1" x14ac:dyDescent="0.2"/>
    <row r="16234" s="166" customFormat="1" x14ac:dyDescent="0.2"/>
    <row r="16235" s="166" customFormat="1" x14ac:dyDescent="0.2"/>
    <row r="16236" s="166" customFormat="1" x14ac:dyDescent="0.2"/>
    <row r="16237" s="166" customFormat="1" x14ac:dyDescent="0.2"/>
    <row r="16238" s="166" customFormat="1" x14ac:dyDescent="0.2"/>
    <row r="16239" s="166" customFormat="1" x14ac:dyDescent="0.2"/>
    <row r="16240" s="166" customFormat="1" x14ac:dyDescent="0.2"/>
    <row r="16241" s="166" customFormat="1" x14ac:dyDescent="0.2"/>
    <row r="16242" s="166" customFormat="1" x14ac:dyDescent="0.2"/>
    <row r="16243" s="166" customFormat="1" x14ac:dyDescent="0.2"/>
    <row r="16244" s="166" customFormat="1" x14ac:dyDescent="0.2"/>
    <row r="16245" s="166" customFormat="1" x14ac:dyDescent="0.2"/>
    <row r="16246" s="166" customFormat="1" x14ac:dyDescent="0.2"/>
    <row r="16247" s="166" customFormat="1" x14ac:dyDescent="0.2"/>
    <row r="16248" s="166" customFormat="1" x14ac:dyDescent="0.2"/>
    <row r="16249" s="166" customFormat="1" x14ac:dyDescent="0.2"/>
    <row r="16250" s="166" customFormat="1" x14ac:dyDescent="0.2"/>
    <row r="16251" s="166" customFormat="1" x14ac:dyDescent="0.2"/>
    <row r="16252" s="166" customFormat="1" x14ac:dyDescent="0.2"/>
    <row r="16253" s="166" customFormat="1" x14ac:dyDescent="0.2"/>
    <row r="16254" s="166" customFormat="1" x14ac:dyDescent="0.2"/>
    <row r="16255" s="166" customFormat="1" x14ac:dyDescent="0.2"/>
    <row r="16256" s="166" customFormat="1" x14ac:dyDescent="0.2"/>
    <row r="16257" s="166" customFormat="1" x14ac:dyDescent="0.2"/>
    <row r="16258" s="166" customFormat="1" x14ac:dyDescent="0.2"/>
    <row r="16259" s="166" customFormat="1" x14ac:dyDescent="0.2"/>
    <row r="16260" s="166" customFormat="1" x14ac:dyDescent="0.2"/>
    <row r="16261" s="166" customFormat="1" x14ac:dyDescent="0.2"/>
    <row r="16262" s="166" customFormat="1" x14ac:dyDescent="0.2"/>
    <row r="16263" s="166" customFormat="1" x14ac:dyDescent="0.2"/>
    <row r="16264" s="166" customFormat="1" x14ac:dyDescent="0.2"/>
    <row r="16265" s="166" customFormat="1" x14ac:dyDescent="0.2"/>
    <row r="16266" s="166" customFormat="1" x14ac:dyDescent="0.2"/>
    <row r="16267" s="166" customFormat="1" x14ac:dyDescent="0.2"/>
    <row r="16268" s="166" customFormat="1" x14ac:dyDescent="0.2"/>
    <row r="16269" s="166" customFormat="1" x14ac:dyDescent="0.2"/>
    <row r="16270" s="166" customFormat="1" x14ac:dyDescent="0.2"/>
    <row r="16271" s="166" customFormat="1" x14ac:dyDescent="0.2"/>
    <row r="16272" s="166" customFormat="1" x14ac:dyDescent="0.2"/>
    <row r="16273" s="166" customFormat="1" x14ac:dyDescent="0.2"/>
    <row r="16274" s="166" customFormat="1" x14ac:dyDescent="0.2"/>
    <row r="16275" s="166" customFormat="1" x14ac:dyDescent="0.2"/>
    <row r="16276" s="166" customFormat="1" x14ac:dyDescent="0.2"/>
    <row r="16277" s="166" customFormat="1" x14ac:dyDescent="0.2"/>
    <row r="16278" s="166" customFormat="1" x14ac:dyDescent="0.2"/>
    <row r="16279" s="166" customFormat="1" x14ac:dyDescent="0.2"/>
    <row r="16280" s="166" customFormat="1" x14ac:dyDescent="0.2"/>
    <row r="16281" s="166" customFormat="1" x14ac:dyDescent="0.2"/>
    <row r="16282" s="166" customFormat="1" x14ac:dyDescent="0.2"/>
    <row r="16283" s="166" customFormat="1" x14ac:dyDescent="0.2"/>
    <row r="16284" s="166" customFormat="1" x14ac:dyDescent="0.2"/>
    <row r="16285" s="166" customFormat="1" x14ac:dyDescent="0.2"/>
    <row r="16286" s="166" customFormat="1" x14ac:dyDescent="0.2"/>
    <row r="16287" s="166" customFormat="1" x14ac:dyDescent="0.2"/>
    <row r="16288" s="166" customFormat="1" x14ac:dyDescent="0.2"/>
    <row r="16289" s="166" customFormat="1" x14ac:dyDescent="0.2"/>
    <row r="16290" s="166" customFormat="1" x14ac:dyDescent="0.2"/>
    <row r="16291" s="166" customFormat="1" x14ac:dyDescent="0.2"/>
    <row r="16292" s="166" customFormat="1" x14ac:dyDescent="0.2"/>
    <row r="16293" s="166" customFormat="1" x14ac:dyDescent="0.2"/>
    <row r="16294" s="166" customFormat="1" x14ac:dyDescent="0.2"/>
    <row r="16295" s="166" customFormat="1" x14ac:dyDescent="0.2"/>
    <row r="16296" s="166" customFormat="1" x14ac:dyDescent="0.2"/>
    <row r="16297" s="166" customFormat="1" x14ac:dyDescent="0.2"/>
    <row r="16298" s="166" customFormat="1" x14ac:dyDescent="0.2"/>
    <row r="16299" s="166" customFormat="1" x14ac:dyDescent="0.2"/>
    <row r="16300" s="166" customFormat="1" x14ac:dyDescent="0.2"/>
    <row r="16301" s="166" customFormat="1" x14ac:dyDescent="0.2"/>
    <row r="16302" s="166" customFormat="1" x14ac:dyDescent="0.2"/>
    <row r="16303" s="166" customFormat="1" x14ac:dyDescent="0.2"/>
    <row r="16304" s="166" customFormat="1" x14ac:dyDescent="0.2"/>
    <row r="16305" s="166" customFormat="1" x14ac:dyDescent="0.2"/>
    <row r="16306" s="166" customFormat="1" x14ac:dyDescent="0.2"/>
    <row r="16307" s="166" customFormat="1" x14ac:dyDescent="0.2"/>
    <row r="16308" s="166" customFormat="1" x14ac:dyDescent="0.2"/>
    <row r="16309" s="166" customFormat="1" x14ac:dyDescent="0.2"/>
    <row r="16310" s="166" customFormat="1" x14ac:dyDescent="0.2"/>
    <row r="16311" s="166" customFormat="1" x14ac:dyDescent="0.2"/>
    <row r="16312" s="166" customFormat="1" x14ac:dyDescent="0.2"/>
    <row r="16313" s="166" customFormat="1" x14ac:dyDescent="0.2"/>
    <row r="16314" s="166" customFormat="1" x14ac:dyDescent="0.2"/>
    <row r="16315" s="166" customFormat="1" x14ac:dyDescent="0.2"/>
    <row r="16316" s="166" customFormat="1" x14ac:dyDescent="0.2"/>
    <row r="16317" s="166" customFormat="1" x14ac:dyDescent="0.2"/>
    <row r="16318" s="166" customFormat="1" x14ac:dyDescent="0.2"/>
    <row r="16319" s="166" customFormat="1" x14ac:dyDescent="0.2"/>
    <row r="16320" s="166" customFormat="1" x14ac:dyDescent="0.2"/>
    <row r="16321" s="166" customFormat="1" x14ac:dyDescent="0.2"/>
    <row r="16322" s="166" customFormat="1" x14ac:dyDescent="0.2"/>
    <row r="16323" s="166" customFormat="1" x14ac:dyDescent="0.2"/>
    <row r="16324" s="166" customFormat="1" x14ac:dyDescent="0.2"/>
    <row r="16325" s="166" customFormat="1" x14ac:dyDescent="0.2"/>
    <row r="16326" s="166" customFormat="1" x14ac:dyDescent="0.2"/>
    <row r="16327" s="166" customFormat="1" x14ac:dyDescent="0.2"/>
    <row r="16328" s="166" customFormat="1" x14ac:dyDescent="0.2"/>
    <row r="16329" s="166" customFormat="1" x14ac:dyDescent="0.2"/>
    <row r="16330" s="166" customFormat="1" x14ac:dyDescent="0.2"/>
    <row r="16331" s="166" customFormat="1" x14ac:dyDescent="0.2"/>
    <row r="16332" s="166" customFormat="1" x14ac:dyDescent="0.2"/>
    <row r="16333" s="166" customFormat="1" x14ac:dyDescent="0.2"/>
    <row r="16334" s="166" customFormat="1" x14ac:dyDescent="0.2"/>
    <row r="16335" s="166" customFormat="1" x14ac:dyDescent="0.2"/>
    <row r="16336" s="166" customFormat="1" x14ac:dyDescent="0.2"/>
    <row r="16337" s="166" customFormat="1" x14ac:dyDescent="0.2"/>
    <row r="16338" s="166" customFormat="1" x14ac:dyDescent="0.2"/>
    <row r="16339" s="166" customFormat="1" x14ac:dyDescent="0.2"/>
    <row r="16340" s="166" customFormat="1" x14ac:dyDescent="0.2"/>
    <row r="16341" s="166" customFormat="1" x14ac:dyDescent="0.2"/>
    <row r="16342" s="166" customFormat="1" x14ac:dyDescent="0.2"/>
    <row r="16343" s="166" customFormat="1" x14ac:dyDescent="0.2"/>
    <row r="16344" s="166" customFormat="1" x14ac:dyDescent="0.2"/>
    <row r="16345" s="166" customFormat="1" x14ac:dyDescent="0.2"/>
    <row r="16346" s="166" customFormat="1" x14ac:dyDescent="0.2"/>
    <row r="16347" s="166" customFormat="1" x14ac:dyDescent="0.2"/>
    <row r="16348" s="166" customFormat="1" x14ac:dyDescent="0.2"/>
    <row r="16349" s="166" customFormat="1" x14ac:dyDescent="0.2"/>
    <row r="16350" s="166" customFormat="1" x14ac:dyDescent="0.2"/>
    <row r="16351" s="166" customFormat="1" x14ac:dyDescent="0.2"/>
    <row r="16352" s="166" customFormat="1" x14ac:dyDescent="0.2"/>
    <row r="16353" s="166" customFormat="1" x14ac:dyDescent="0.2"/>
    <row r="16354" s="166" customFormat="1" x14ac:dyDescent="0.2"/>
    <row r="16355" s="166" customFormat="1" x14ac:dyDescent="0.2"/>
    <row r="16356" s="166" customFormat="1" x14ac:dyDescent="0.2"/>
    <row r="16357" s="166" customFormat="1" x14ac:dyDescent="0.2"/>
    <row r="16358" s="166" customFormat="1" x14ac:dyDescent="0.2"/>
    <row r="16359" s="166" customFormat="1" x14ac:dyDescent="0.2"/>
    <row r="16360" s="166" customFormat="1" x14ac:dyDescent="0.2"/>
    <row r="16361" s="166" customFormat="1" x14ac:dyDescent="0.2"/>
    <row r="16362" s="166" customFormat="1" x14ac:dyDescent="0.2"/>
    <row r="16363" s="166" customFormat="1" x14ac:dyDescent="0.2"/>
    <row r="16364" s="166" customFormat="1" x14ac:dyDescent="0.2"/>
    <row r="16365" s="166" customFormat="1" x14ac:dyDescent="0.2"/>
    <row r="16366" s="166" customFormat="1" x14ac:dyDescent="0.2"/>
    <row r="16367" s="166" customFormat="1" x14ac:dyDescent="0.2"/>
    <row r="16368" s="166" customFormat="1" x14ac:dyDescent="0.2"/>
    <row r="16369" s="166" customFormat="1" x14ac:dyDescent="0.2"/>
    <row r="16370" s="166" customFormat="1" x14ac:dyDescent="0.2"/>
    <row r="16371" s="166" customFormat="1" x14ac:dyDescent="0.2"/>
    <row r="16372" s="166" customFormat="1" x14ac:dyDescent="0.2"/>
    <row r="16373" s="166" customFormat="1" x14ac:dyDescent="0.2"/>
    <row r="16374" s="166" customFormat="1" x14ac:dyDescent="0.2"/>
    <row r="16375" s="166" customFormat="1" x14ac:dyDescent="0.2"/>
    <row r="16376" s="166" customFormat="1" x14ac:dyDescent="0.2"/>
    <row r="16377" s="166" customFormat="1" x14ac:dyDescent="0.2"/>
    <row r="16378" s="166" customFormat="1" x14ac:dyDescent="0.2"/>
    <row r="16379" s="166" customFormat="1" x14ac:dyDescent="0.2"/>
    <row r="16380" s="166" customFormat="1" x14ac:dyDescent="0.2"/>
    <row r="16381" s="166" customFormat="1" x14ac:dyDescent="0.2"/>
    <row r="16382" s="166" customFormat="1" x14ac:dyDescent="0.2"/>
    <row r="16383" s="166" customFormat="1" x14ac:dyDescent="0.2"/>
    <row r="16384" s="166" customFormat="1" x14ac:dyDescent="0.2"/>
    <row r="16385" s="166" customFormat="1" x14ac:dyDescent="0.2"/>
    <row r="16386" s="166" customFormat="1" x14ac:dyDescent="0.2"/>
    <row r="16387" s="166" customFormat="1" x14ac:dyDescent="0.2"/>
    <row r="16388" s="166" customFormat="1" x14ac:dyDescent="0.2"/>
    <row r="16389" s="166" customFormat="1" x14ac:dyDescent="0.2"/>
    <row r="16390" s="166" customFormat="1" x14ac:dyDescent="0.2"/>
    <row r="16391" s="166" customFormat="1" x14ac:dyDescent="0.2"/>
    <row r="16392" s="166" customFormat="1" x14ac:dyDescent="0.2"/>
    <row r="16393" s="166" customFormat="1" x14ac:dyDescent="0.2"/>
    <row r="16394" s="166" customFormat="1" x14ac:dyDescent="0.2"/>
    <row r="16395" s="166" customFormat="1" x14ac:dyDescent="0.2"/>
    <row r="16396" s="166" customFormat="1" x14ac:dyDescent="0.2"/>
    <row r="16397" s="166" customFormat="1" x14ac:dyDescent="0.2"/>
    <row r="16398" s="166" customFormat="1" x14ac:dyDescent="0.2"/>
    <row r="16399" s="166" customFormat="1" x14ac:dyDescent="0.2"/>
    <row r="16400" s="166" customFormat="1" x14ac:dyDescent="0.2"/>
    <row r="16401" s="166" customFormat="1" x14ac:dyDescent="0.2"/>
    <row r="16402" s="166" customFormat="1" x14ac:dyDescent="0.2"/>
    <row r="16403" s="166" customFormat="1" x14ac:dyDescent="0.2"/>
    <row r="16404" s="166" customFormat="1" x14ac:dyDescent="0.2"/>
    <row r="16405" s="166" customFormat="1" x14ac:dyDescent="0.2"/>
    <row r="16406" s="166" customFormat="1" x14ac:dyDescent="0.2"/>
    <row r="16407" s="166" customFormat="1" x14ac:dyDescent="0.2"/>
    <row r="16408" s="166" customFormat="1" x14ac:dyDescent="0.2"/>
    <row r="16409" s="166" customFormat="1" x14ac:dyDescent="0.2"/>
    <row r="16410" s="166" customFormat="1" x14ac:dyDescent="0.2"/>
    <row r="16411" s="166" customFormat="1" x14ac:dyDescent="0.2"/>
    <row r="16412" s="166" customFormat="1" x14ac:dyDescent="0.2"/>
    <row r="16413" s="166" customFormat="1" x14ac:dyDescent="0.2"/>
    <row r="16414" s="166" customFormat="1" x14ac:dyDescent="0.2"/>
    <row r="16415" s="166" customFormat="1" x14ac:dyDescent="0.2"/>
    <row r="16416" s="166" customFormat="1" x14ac:dyDescent="0.2"/>
    <row r="16417" s="166" customFormat="1" x14ac:dyDescent="0.2"/>
    <row r="16418" s="166" customFormat="1" x14ac:dyDescent="0.2"/>
    <row r="16419" s="166" customFormat="1" x14ac:dyDescent="0.2"/>
    <row r="16420" s="166" customFormat="1" x14ac:dyDescent="0.2"/>
    <row r="16421" s="166" customFormat="1" x14ac:dyDescent="0.2"/>
    <row r="16422" s="166" customFormat="1" x14ac:dyDescent="0.2"/>
    <row r="16423" s="166" customFormat="1" x14ac:dyDescent="0.2"/>
    <row r="16424" s="166" customFormat="1" x14ac:dyDescent="0.2"/>
    <row r="16425" s="166" customFormat="1" x14ac:dyDescent="0.2"/>
    <row r="16426" s="166" customFormat="1" x14ac:dyDescent="0.2"/>
    <row r="16427" s="166" customFormat="1" x14ac:dyDescent="0.2"/>
    <row r="16428" s="166" customFormat="1" x14ac:dyDescent="0.2"/>
    <row r="16429" s="166" customFormat="1" x14ac:dyDescent="0.2"/>
    <row r="16430" s="166" customFormat="1" x14ac:dyDescent="0.2"/>
    <row r="16431" s="166" customFormat="1" x14ac:dyDescent="0.2"/>
    <row r="16432" s="166" customFormat="1" x14ac:dyDescent="0.2"/>
    <row r="16433" s="166" customFormat="1" x14ac:dyDescent="0.2"/>
    <row r="16434" s="166" customFormat="1" x14ac:dyDescent="0.2"/>
    <row r="16435" s="166" customFormat="1" x14ac:dyDescent="0.2"/>
    <row r="16436" s="166" customFormat="1" x14ac:dyDescent="0.2"/>
    <row r="16437" s="166" customFormat="1" x14ac:dyDescent="0.2"/>
    <row r="16438" s="166" customFormat="1" x14ac:dyDescent="0.2"/>
    <row r="16439" s="166" customFormat="1" x14ac:dyDescent="0.2"/>
    <row r="16440" s="166" customFormat="1" x14ac:dyDescent="0.2"/>
    <row r="16441" s="166" customFormat="1" x14ac:dyDescent="0.2"/>
    <row r="16442" s="166" customFormat="1" x14ac:dyDescent="0.2"/>
    <row r="16443" s="166" customFormat="1" x14ac:dyDescent="0.2"/>
    <row r="16444" s="166" customFormat="1" x14ac:dyDescent="0.2"/>
    <row r="16445" s="166" customFormat="1" x14ac:dyDescent="0.2"/>
    <row r="16446" s="166" customFormat="1" x14ac:dyDescent="0.2"/>
    <row r="16447" s="166" customFormat="1" x14ac:dyDescent="0.2"/>
    <row r="16448" s="166" customFormat="1" x14ac:dyDescent="0.2"/>
    <row r="16449" s="166" customFormat="1" x14ac:dyDescent="0.2"/>
    <row r="16450" s="166" customFormat="1" x14ac:dyDescent="0.2"/>
    <row r="16451" s="166" customFormat="1" x14ac:dyDescent="0.2"/>
    <row r="16452" s="166" customFormat="1" x14ac:dyDescent="0.2"/>
    <row r="16453" s="166" customFormat="1" x14ac:dyDescent="0.2"/>
    <row r="16454" s="166" customFormat="1" x14ac:dyDescent="0.2"/>
    <row r="16455" s="166" customFormat="1" x14ac:dyDescent="0.2"/>
    <row r="16456" s="166" customFormat="1" x14ac:dyDescent="0.2"/>
    <row r="16457" s="166" customFormat="1" x14ac:dyDescent="0.2"/>
    <row r="16458" s="166" customFormat="1" x14ac:dyDescent="0.2"/>
    <row r="16459" s="166" customFormat="1" x14ac:dyDescent="0.2"/>
    <row r="16460" s="166" customFormat="1" x14ac:dyDescent="0.2"/>
    <row r="16461" s="166" customFormat="1" x14ac:dyDescent="0.2"/>
    <row r="16462" s="166" customFormat="1" x14ac:dyDescent="0.2"/>
    <row r="16463" s="166" customFormat="1" x14ac:dyDescent="0.2"/>
    <row r="16464" s="166" customFormat="1" x14ac:dyDescent="0.2"/>
    <row r="16465" s="166" customFormat="1" x14ac:dyDescent="0.2"/>
    <row r="16466" s="166" customFormat="1" x14ac:dyDescent="0.2"/>
    <row r="16467" s="166" customFormat="1" x14ac:dyDescent="0.2"/>
    <row r="16468" s="166" customFormat="1" x14ac:dyDescent="0.2"/>
    <row r="16469" s="166" customFormat="1" x14ac:dyDescent="0.2"/>
    <row r="16470" s="166" customFormat="1" x14ac:dyDescent="0.2"/>
    <row r="16471" s="166" customFormat="1" x14ac:dyDescent="0.2"/>
    <row r="16472" s="166" customFormat="1" x14ac:dyDescent="0.2"/>
    <row r="16473" s="166" customFormat="1" x14ac:dyDescent="0.2"/>
    <row r="16474" s="166" customFormat="1" x14ac:dyDescent="0.2"/>
    <row r="16475" s="166" customFormat="1" x14ac:dyDescent="0.2"/>
    <row r="16476" s="166" customFormat="1" x14ac:dyDescent="0.2"/>
    <row r="16477" s="166" customFormat="1" x14ac:dyDescent="0.2"/>
    <row r="16478" s="166" customFormat="1" x14ac:dyDescent="0.2"/>
    <row r="16479" s="166" customFormat="1" x14ac:dyDescent="0.2"/>
    <row r="16480" s="166" customFormat="1" x14ac:dyDescent="0.2"/>
    <row r="16481" s="166" customFormat="1" x14ac:dyDescent="0.2"/>
    <row r="16482" s="166" customFormat="1" x14ac:dyDescent="0.2"/>
    <row r="16483" s="166" customFormat="1" x14ac:dyDescent="0.2"/>
    <row r="16484" s="166" customFormat="1" x14ac:dyDescent="0.2"/>
    <row r="16485" s="166" customFormat="1" x14ac:dyDescent="0.2"/>
    <row r="16486" s="166" customFormat="1" x14ac:dyDescent="0.2"/>
    <row r="16487" s="166" customFormat="1" x14ac:dyDescent="0.2"/>
    <row r="16488" s="166" customFormat="1" x14ac:dyDescent="0.2"/>
    <row r="16489" s="166" customFormat="1" x14ac:dyDescent="0.2"/>
    <row r="16490" s="166" customFormat="1" x14ac:dyDescent="0.2"/>
    <row r="16491" s="166" customFormat="1" x14ac:dyDescent="0.2"/>
    <row r="16492" s="166" customFormat="1" x14ac:dyDescent="0.2"/>
    <row r="16493" s="166" customFormat="1" x14ac:dyDescent="0.2"/>
    <row r="16494" s="166" customFormat="1" x14ac:dyDescent="0.2"/>
    <row r="16495" s="166" customFormat="1" x14ac:dyDescent="0.2"/>
    <row r="16496" s="166" customFormat="1" x14ac:dyDescent="0.2"/>
    <row r="16497" s="166" customFormat="1" x14ac:dyDescent="0.2"/>
    <row r="16498" s="166" customFormat="1" x14ac:dyDescent="0.2"/>
    <row r="16499" s="166" customFormat="1" x14ac:dyDescent="0.2"/>
    <row r="16500" s="166" customFormat="1" x14ac:dyDescent="0.2"/>
    <row r="16501" s="166" customFormat="1" x14ac:dyDescent="0.2"/>
    <row r="16502" s="166" customFormat="1" x14ac:dyDescent="0.2"/>
    <row r="16503" s="166" customFormat="1" x14ac:dyDescent="0.2"/>
    <row r="16504" s="166" customFormat="1" x14ac:dyDescent="0.2"/>
    <row r="16505" s="166" customFormat="1" x14ac:dyDescent="0.2"/>
    <row r="16506" s="166" customFormat="1" x14ac:dyDescent="0.2"/>
    <row r="16507" s="166" customFormat="1" x14ac:dyDescent="0.2"/>
    <row r="16508" s="166" customFormat="1" x14ac:dyDescent="0.2"/>
    <row r="16509" s="166" customFormat="1" x14ac:dyDescent="0.2"/>
    <row r="16510" s="166" customFormat="1" x14ac:dyDescent="0.2"/>
    <row r="16511" s="166" customFormat="1" x14ac:dyDescent="0.2"/>
    <row r="16512" s="166" customFormat="1" x14ac:dyDescent="0.2"/>
    <row r="16513" s="166" customFormat="1" x14ac:dyDescent="0.2"/>
    <row r="16514" s="166" customFormat="1" x14ac:dyDescent="0.2"/>
    <row r="16515" s="166" customFormat="1" x14ac:dyDescent="0.2"/>
    <row r="16516" s="166" customFormat="1" x14ac:dyDescent="0.2"/>
    <row r="16517" s="166" customFormat="1" x14ac:dyDescent="0.2"/>
    <row r="16518" s="166" customFormat="1" x14ac:dyDescent="0.2"/>
    <row r="16519" s="166" customFormat="1" x14ac:dyDescent="0.2"/>
    <row r="16520" s="166" customFormat="1" x14ac:dyDescent="0.2"/>
    <row r="16521" s="166" customFormat="1" x14ac:dyDescent="0.2"/>
    <row r="16522" s="166" customFormat="1" x14ac:dyDescent="0.2"/>
    <row r="16523" s="166" customFormat="1" x14ac:dyDescent="0.2"/>
    <row r="16524" s="166" customFormat="1" x14ac:dyDescent="0.2"/>
    <row r="16525" s="166" customFormat="1" x14ac:dyDescent="0.2"/>
    <row r="16526" s="166" customFormat="1" x14ac:dyDescent="0.2"/>
    <row r="16527" s="166" customFormat="1" x14ac:dyDescent="0.2"/>
    <row r="16528" s="166" customFormat="1" x14ac:dyDescent="0.2"/>
    <row r="16529" s="166" customFormat="1" x14ac:dyDescent="0.2"/>
    <row r="16530" s="166" customFormat="1" x14ac:dyDescent="0.2"/>
    <row r="16531" s="166" customFormat="1" x14ac:dyDescent="0.2"/>
    <row r="16532" s="166" customFormat="1" x14ac:dyDescent="0.2"/>
    <row r="16533" s="166" customFormat="1" x14ac:dyDescent="0.2"/>
    <row r="16534" s="166" customFormat="1" x14ac:dyDescent="0.2"/>
    <row r="16535" s="166" customFormat="1" x14ac:dyDescent="0.2"/>
    <row r="16536" s="166" customFormat="1" x14ac:dyDescent="0.2"/>
    <row r="16537" s="166" customFormat="1" x14ac:dyDescent="0.2"/>
    <row r="16538" s="166" customFormat="1" x14ac:dyDescent="0.2"/>
    <row r="16539" s="166" customFormat="1" x14ac:dyDescent="0.2"/>
    <row r="16540" s="166" customFormat="1" x14ac:dyDescent="0.2"/>
    <row r="16541" s="166" customFormat="1" x14ac:dyDescent="0.2"/>
    <row r="16542" s="166" customFormat="1" x14ac:dyDescent="0.2"/>
    <row r="16543" s="166" customFormat="1" x14ac:dyDescent="0.2"/>
    <row r="16544" s="166" customFormat="1" x14ac:dyDescent="0.2"/>
    <row r="16545" s="166" customFormat="1" x14ac:dyDescent="0.2"/>
    <row r="16546" s="166" customFormat="1" x14ac:dyDescent="0.2"/>
    <row r="16547" s="166" customFormat="1" x14ac:dyDescent="0.2"/>
    <row r="16548" s="166" customFormat="1" x14ac:dyDescent="0.2"/>
    <row r="16549" s="166" customFormat="1" x14ac:dyDescent="0.2"/>
    <row r="16550" s="166" customFormat="1" x14ac:dyDescent="0.2"/>
    <row r="16551" s="166" customFormat="1" x14ac:dyDescent="0.2"/>
    <row r="16552" s="166" customFormat="1" x14ac:dyDescent="0.2"/>
    <row r="16553" s="166" customFormat="1" x14ac:dyDescent="0.2"/>
    <row r="16554" s="166" customFormat="1" x14ac:dyDescent="0.2"/>
    <row r="16555" s="166" customFormat="1" x14ac:dyDescent="0.2"/>
    <row r="16556" s="166" customFormat="1" x14ac:dyDescent="0.2"/>
    <row r="16557" s="166" customFormat="1" x14ac:dyDescent="0.2"/>
    <row r="16558" s="166" customFormat="1" x14ac:dyDescent="0.2"/>
    <row r="16559" s="166" customFormat="1" x14ac:dyDescent="0.2"/>
    <row r="16560" s="166" customFormat="1" x14ac:dyDescent="0.2"/>
    <row r="16561" s="166" customFormat="1" x14ac:dyDescent="0.2"/>
    <row r="16562" s="166" customFormat="1" x14ac:dyDescent="0.2"/>
    <row r="16563" s="166" customFormat="1" x14ac:dyDescent="0.2"/>
    <row r="16564" s="166" customFormat="1" x14ac:dyDescent="0.2"/>
    <row r="16565" s="166" customFormat="1" x14ac:dyDescent="0.2"/>
    <row r="16566" s="166" customFormat="1" x14ac:dyDescent="0.2"/>
    <row r="16567" s="166" customFormat="1" x14ac:dyDescent="0.2"/>
    <row r="16568" s="166" customFormat="1" x14ac:dyDescent="0.2"/>
    <row r="16569" s="166" customFormat="1" x14ac:dyDescent="0.2"/>
    <row r="16570" s="166" customFormat="1" x14ac:dyDescent="0.2"/>
    <row r="16571" s="166" customFormat="1" x14ac:dyDescent="0.2"/>
    <row r="16572" s="166" customFormat="1" x14ac:dyDescent="0.2"/>
    <row r="16573" s="166" customFormat="1" x14ac:dyDescent="0.2"/>
    <row r="16574" s="166" customFormat="1" x14ac:dyDescent="0.2"/>
    <row r="16575" s="166" customFormat="1" x14ac:dyDescent="0.2"/>
    <row r="16576" s="166" customFormat="1" x14ac:dyDescent="0.2"/>
    <row r="16577" s="166" customFormat="1" x14ac:dyDescent="0.2"/>
    <row r="16578" s="166" customFormat="1" x14ac:dyDescent="0.2"/>
    <row r="16579" s="166" customFormat="1" x14ac:dyDescent="0.2"/>
    <row r="16580" s="166" customFormat="1" x14ac:dyDescent="0.2"/>
    <row r="16581" s="166" customFormat="1" x14ac:dyDescent="0.2"/>
    <row r="16582" s="166" customFormat="1" x14ac:dyDescent="0.2"/>
    <row r="16583" s="166" customFormat="1" x14ac:dyDescent="0.2"/>
    <row r="16584" s="166" customFormat="1" x14ac:dyDescent="0.2"/>
    <row r="16585" s="166" customFormat="1" x14ac:dyDescent="0.2"/>
    <row r="16586" s="166" customFormat="1" x14ac:dyDescent="0.2"/>
    <row r="16587" s="166" customFormat="1" x14ac:dyDescent="0.2"/>
    <row r="16588" s="166" customFormat="1" x14ac:dyDescent="0.2"/>
    <row r="16589" s="166" customFormat="1" x14ac:dyDescent="0.2"/>
    <row r="16590" s="166" customFormat="1" x14ac:dyDescent="0.2"/>
    <row r="16591" s="166" customFormat="1" x14ac:dyDescent="0.2"/>
    <row r="16592" s="166" customFormat="1" x14ac:dyDescent="0.2"/>
    <row r="16593" s="166" customFormat="1" x14ac:dyDescent="0.2"/>
    <row r="16594" s="166" customFormat="1" x14ac:dyDescent="0.2"/>
    <row r="16595" s="166" customFormat="1" x14ac:dyDescent="0.2"/>
    <row r="16596" s="166" customFormat="1" x14ac:dyDescent="0.2"/>
    <row r="16597" s="166" customFormat="1" x14ac:dyDescent="0.2"/>
    <row r="16598" s="166" customFormat="1" x14ac:dyDescent="0.2"/>
    <row r="16599" s="166" customFormat="1" x14ac:dyDescent="0.2"/>
    <row r="16600" s="166" customFormat="1" x14ac:dyDescent="0.2"/>
    <row r="16601" s="166" customFormat="1" x14ac:dyDescent="0.2"/>
    <row r="16602" s="166" customFormat="1" x14ac:dyDescent="0.2"/>
    <row r="16603" s="166" customFormat="1" x14ac:dyDescent="0.2"/>
    <row r="16604" s="166" customFormat="1" x14ac:dyDescent="0.2"/>
    <row r="16605" s="166" customFormat="1" x14ac:dyDescent="0.2"/>
    <row r="16606" s="166" customFormat="1" x14ac:dyDescent="0.2"/>
    <row r="16607" s="166" customFormat="1" x14ac:dyDescent="0.2"/>
    <row r="16608" s="166" customFormat="1" x14ac:dyDescent="0.2"/>
    <row r="16609" s="166" customFormat="1" x14ac:dyDescent="0.2"/>
    <row r="16610" s="166" customFormat="1" x14ac:dyDescent="0.2"/>
    <row r="16611" s="166" customFormat="1" x14ac:dyDescent="0.2"/>
    <row r="16612" s="166" customFormat="1" x14ac:dyDescent="0.2"/>
    <row r="16613" s="166" customFormat="1" x14ac:dyDescent="0.2"/>
    <row r="16614" s="166" customFormat="1" x14ac:dyDescent="0.2"/>
    <row r="16615" s="166" customFormat="1" x14ac:dyDescent="0.2"/>
    <row r="16616" s="166" customFormat="1" x14ac:dyDescent="0.2"/>
    <row r="16617" s="166" customFormat="1" x14ac:dyDescent="0.2"/>
    <row r="16618" s="166" customFormat="1" x14ac:dyDescent="0.2"/>
    <row r="16619" s="166" customFormat="1" x14ac:dyDescent="0.2"/>
    <row r="16620" s="166" customFormat="1" x14ac:dyDescent="0.2"/>
    <row r="16621" s="166" customFormat="1" x14ac:dyDescent="0.2"/>
    <row r="16622" s="166" customFormat="1" x14ac:dyDescent="0.2"/>
    <row r="16623" s="166" customFormat="1" x14ac:dyDescent="0.2"/>
    <row r="16624" s="166" customFormat="1" x14ac:dyDescent="0.2"/>
    <row r="16625" s="166" customFormat="1" x14ac:dyDescent="0.2"/>
    <row r="16626" s="166" customFormat="1" x14ac:dyDescent="0.2"/>
    <row r="16627" s="166" customFormat="1" x14ac:dyDescent="0.2"/>
    <row r="16628" s="166" customFormat="1" x14ac:dyDescent="0.2"/>
    <row r="16629" s="166" customFormat="1" x14ac:dyDescent="0.2"/>
    <row r="16630" s="166" customFormat="1" x14ac:dyDescent="0.2"/>
    <row r="16631" s="166" customFormat="1" x14ac:dyDescent="0.2"/>
    <row r="16632" s="166" customFormat="1" x14ac:dyDescent="0.2"/>
    <row r="16633" s="166" customFormat="1" x14ac:dyDescent="0.2"/>
    <row r="16634" s="166" customFormat="1" x14ac:dyDescent="0.2"/>
    <row r="16635" s="166" customFormat="1" x14ac:dyDescent="0.2"/>
    <row r="16636" s="166" customFormat="1" x14ac:dyDescent="0.2"/>
    <row r="16637" s="166" customFormat="1" x14ac:dyDescent="0.2"/>
    <row r="16638" s="166" customFormat="1" x14ac:dyDescent="0.2"/>
    <row r="16639" s="166" customFormat="1" x14ac:dyDescent="0.2"/>
    <row r="16640" s="166" customFormat="1" x14ac:dyDescent="0.2"/>
    <row r="16641" s="166" customFormat="1" x14ac:dyDescent="0.2"/>
    <row r="16642" s="166" customFormat="1" x14ac:dyDescent="0.2"/>
    <row r="16643" s="166" customFormat="1" x14ac:dyDescent="0.2"/>
    <row r="16644" s="166" customFormat="1" x14ac:dyDescent="0.2"/>
    <row r="16645" s="166" customFormat="1" x14ac:dyDescent="0.2"/>
    <row r="16646" s="166" customFormat="1" x14ac:dyDescent="0.2"/>
    <row r="16647" s="166" customFormat="1" x14ac:dyDescent="0.2"/>
    <row r="16648" s="166" customFormat="1" x14ac:dyDescent="0.2"/>
    <row r="16649" s="166" customFormat="1" x14ac:dyDescent="0.2"/>
    <row r="16650" s="166" customFormat="1" x14ac:dyDescent="0.2"/>
    <row r="16651" s="166" customFormat="1" x14ac:dyDescent="0.2"/>
    <row r="16652" s="166" customFormat="1" x14ac:dyDescent="0.2"/>
    <row r="16653" s="166" customFormat="1" x14ac:dyDescent="0.2"/>
    <row r="16654" s="166" customFormat="1" x14ac:dyDescent="0.2"/>
    <row r="16655" s="166" customFormat="1" x14ac:dyDescent="0.2"/>
    <row r="16656" s="166" customFormat="1" x14ac:dyDescent="0.2"/>
    <row r="16657" s="166" customFormat="1" x14ac:dyDescent="0.2"/>
    <row r="16658" s="166" customFormat="1" x14ac:dyDescent="0.2"/>
    <row r="16659" s="166" customFormat="1" x14ac:dyDescent="0.2"/>
    <row r="16660" s="166" customFormat="1" x14ac:dyDescent="0.2"/>
    <row r="16661" s="166" customFormat="1" x14ac:dyDescent="0.2"/>
    <row r="16662" s="166" customFormat="1" x14ac:dyDescent="0.2"/>
    <row r="16663" s="166" customFormat="1" x14ac:dyDescent="0.2"/>
    <row r="16664" s="166" customFormat="1" x14ac:dyDescent="0.2"/>
    <row r="16665" s="166" customFormat="1" x14ac:dyDescent="0.2"/>
    <row r="16666" s="166" customFormat="1" x14ac:dyDescent="0.2"/>
    <row r="16667" s="166" customFormat="1" x14ac:dyDescent="0.2"/>
    <row r="16668" s="166" customFormat="1" x14ac:dyDescent="0.2"/>
    <row r="16669" s="166" customFormat="1" x14ac:dyDescent="0.2"/>
    <row r="16670" s="166" customFormat="1" x14ac:dyDescent="0.2"/>
    <row r="16671" s="166" customFormat="1" x14ac:dyDescent="0.2"/>
    <row r="16672" s="166" customFormat="1" x14ac:dyDescent="0.2"/>
    <row r="16673" s="166" customFormat="1" x14ac:dyDescent="0.2"/>
    <row r="16674" s="166" customFormat="1" x14ac:dyDescent="0.2"/>
    <row r="16675" s="166" customFormat="1" x14ac:dyDescent="0.2"/>
    <row r="16676" s="166" customFormat="1" x14ac:dyDescent="0.2"/>
    <row r="16677" s="166" customFormat="1" x14ac:dyDescent="0.2"/>
    <row r="16678" s="166" customFormat="1" x14ac:dyDescent="0.2"/>
    <row r="16679" s="166" customFormat="1" x14ac:dyDescent="0.2"/>
    <row r="16680" s="166" customFormat="1" x14ac:dyDescent="0.2"/>
    <row r="16681" s="166" customFormat="1" x14ac:dyDescent="0.2"/>
    <row r="16682" s="166" customFormat="1" x14ac:dyDescent="0.2"/>
    <row r="16683" s="166" customFormat="1" x14ac:dyDescent="0.2"/>
    <row r="16684" s="166" customFormat="1" x14ac:dyDescent="0.2"/>
    <row r="16685" s="166" customFormat="1" x14ac:dyDescent="0.2"/>
    <row r="16686" s="166" customFormat="1" x14ac:dyDescent="0.2"/>
    <row r="16687" s="166" customFormat="1" x14ac:dyDescent="0.2"/>
    <row r="16688" s="166" customFormat="1" x14ac:dyDescent="0.2"/>
    <row r="16689" s="166" customFormat="1" x14ac:dyDescent="0.2"/>
    <row r="16690" s="166" customFormat="1" x14ac:dyDescent="0.2"/>
    <row r="16691" s="166" customFormat="1" x14ac:dyDescent="0.2"/>
    <row r="16692" s="166" customFormat="1" x14ac:dyDescent="0.2"/>
    <row r="16693" s="166" customFormat="1" x14ac:dyDescent="0.2"/>
    <row r="16694" s="166" customFormat="1" x14ac:dyDescent="0.2"/>
    <row r="16695" s="166" customFormat="1" x14ac:dyDescent="0.2"/>
    <row r="16696" s="166" customFormat="1" x14ac:dyDescent="0.2"/>
    <row r="16697" s="166" customFormat="1" x14ac:dyDescent="0.2"/>
    <row r="16698" s="166" customFormat="1" x14ac:dyDescent="0.2"/>
    <row r="16699" s="166" customFormat="1" x14ac:dyDescent="0.2"/>
    <row r="16700" s="166" customFormat="1" x14ac:dyDescent="0.2"/>
    <row r="16701" s="166" customFormat="1" x14ac:dyDescent="0.2"/>
    <row r="16702" s="166" customFormat="1" x14ac:dyDescent="0.2"/>
    <row r="16703" s="166" customFormat="1" x14ac:dyDescent="0.2"/>
    <row r="16704" s="166" customFormat="1" x14ac:dyDescent="0.2"/>
    <row r="16705" s="166" customFormat="1" x14ac:dyDescent="0.2"/>
    <row r="16706" s="166" customFormat="1" x14ac:dyDescent="0.2"/>
    <row r="16707" s="166" customFormat="1" x14ac:dyDescent="0.2"/>
    <row r="16708" s="166" customFormat="1" x14ac:dyDescent="0.2"/>
    <row r="16709" s="166" customFormat="1" x14ac:dyDescent="0.2"/>
    <row r="16710" s="166" customFormat="1" x14ac:dyDescent="0.2"/>
    <row r="16711" s="166" customFormat="1" x14ac:dyDescent="0.2"/>
    <row r="16712" s="166" customFormat="1" x14ac:dyDescent="0.2"/>
    <row r="16713" s="166" customFormat="1" x14ac:dyDescent="0.2"/>
    <row r="16714" s="166" customFormat="1" x14ac:dyDescent="0.2"/>
    <row r="16715" s="166" customFormat="1" x14ac:dyDescent="0.2"/>
    <row r="16716" s="166" customFormat="1" x14ac:dyDescent="0.2"/>
    <row r="16717" s="166" customFormat="1" x14ac:dyDescent="0.2"/>
    <row r="16718" s="166" customFormat="1" x14ac:dyDescent="0.2"/>
    <row r="16719" s="166" customFormat="1" x14ac:dyDescent="0.2"/>
    <row r="16720" s="166" customFormat="1" x14ac:dyDescent="0.2"/>
    <row r="16721" s="166" customFormat="1" x14ac:dyDescent="0.2"/>
    <row r="16722" s="166" customFormat="1" x14ac:dyDescent="0.2"/>
    <row r="16723" s="166" customFormat="1" x14ac:dyDescent="0.2"/>
    <row r="16724" s="166" customFormat="1" x14ac:dyDescent="0.2"/>
    <row r="16725" s="166" customFormat="1" x14ac:dyDescent="0.2"/>
    <row r="16726" s="166" customFormat="1" x14ac:dyDescent="0.2"/>
    <row r="16727" s="166" customFormat="1" x14ac:dyDescent="0.2"/>
    <row r="16728" s="166" customFormat="1" x14ac:dyDescent="0.2"/>
    <row r="16729" s="166" customFormat="1" x14ac:dyDescent="0.2"/>
    <row r="16730" s="166" customFormat="1" x14ac:dyDescent="0.2"/>
    <row r="16731" s="166" customFormat="1" x14ac:dyDescent="0.2"/>
    <row r="16732" s="166" customFormat="1" x14ac:dyDescent="0.2"/>
    <row r="16733" s="166" customFormat="1" x14ac:dyDescent="0.2"/>
    <row r="16734" s="166" customFormat="1" x14ac:dyDescent="0.2"/>
    <row r="16735" s="166" customFormat="1" x14ac:dyDescent="0.2"/>
    <row r="16736" s="166" customFormat="1" x14ac:dyDescent="0.2"/>
    <row r="16737" s="166" customFormat="1" x14ac:dyDescent="0.2"/>
    <row r="16738" s="166" customFormat="1" x14ac:dyDescent="0.2"/>
    <row r="16739" s="166" customFormat="1" x14ac:dyDescent="0.2"/>
    <row r="16740" s="166" customFormat="1" x14ac:dyDescent="0.2"/>
    <row r="16741" s="166" customFormat="1" x14ac:dyDescent="0.2"/>
    <row r="16742" s="166" customFormat="1" x14ac:dyDescent="0.2"/>
    <row r="16743" s="166" customFormat="1" x14ac:dyDescent="0.2"/>
    <row r="16744" s="166" customFormat="1" x14ac:dyDescent="0.2"/>
    <row r="16745" s="166" customFormat="1" x14ac:dyDescent="0.2"/>
    <row r="16746" s="166" customFormat="1" x14ac:dyDescent="0.2"/>
    <row r="16747" s="166" customFormat="1" x14ac:dyDescent="0.2"/>
    <row r="16748" s="166" customFormat="1" x14ac:dyDescent="0.2"/>
    <row r="16749" s="166" customFormat="1" x14ac:dyDescent="0.2"/>
    <row r="16750" s="166" customFormat="1" x14ac:dyDescent="0.2"/>
    <row r="16751" s="166" customFormat="1" x14ac:dyDescent="0.2"/>
    <row r="16752" s="166" customFormat="1" x14ac:dyDescent="0.2"/>
    <row r="16753" s="166" customFormat="1" x14ac:dyDescent="0.2"/>
    <row r="16754" s="166" customFormat="1" x14ac:dyDescent="0.2"/>
    <row r="16755" s="166" customFormat="1" x14ac:dyDescent="0.2"/>
    <row r="16756" s="166" customFormat="1" x14ac:dyDescent="0.2"/>
    <row r="16757" s="166" customFormat="1" x14ac:dyDescent="0.2"/>
    <row r="16758" s="166" customFormat="1" x14ac:dyDescent="0.2"/>
    <row r="16759" s="166" customFormat="1" x14ac:dyDescent="0.2"/>
    <row r="16760" s="166" customFormat="1" x14ac:dyDescent="0.2"/>
    <row r="16761" s="166" customFormat="1" x14ac:dyDescent="0.2"/>
    <row r="16762" s="166" customFormat="1" x14ac:dyDescent="0.2"/>
    <row r="16763" s="166" customFormat="1" x14ac:dyDescent="0.2"/>
    <row r="16764" s="166" customFormat="1" x14ac:dyDescent="0.2"/>
    <row r="16765" s="166" customFormat="1" x14ac:dyDescent="0.2"/>
    <row r="16766" s="166" customFormat="1" x14ac:dyDescent="0.2"/>
    <row r="16767" s="166" customFormat="1" x14ac:dyDescent="0.2"/>
    <row r="16768" s="166" customFormat="1" x14ac:dyDescent="0.2"/>
    <row r="16769" s="166" customFormat="1" x14ac:dyDescent="0.2"/>
    <row r="16770" s="166" customFormat="1" x14ac:dyDescent="0.2"/>
    <row r="16771" s="166" customFormat="1" x14ac:dyDescent="0.2"/>
    <row r="16772" s="166" customFormat="1" x14ac:dyDescent="0.2"/>
    <row r="16773" s="166" customFormat="1" x14ac:dyDescent="0.2"/>
    <row r="16774" s="166" customFormat="1" x14ac:dyDescent="0.2"/>
    <row r="16775" s="166" customFormat="1" x14ac:dyDescent="0.2"/>
    <row r="16776" s="166" customFormat="1" x14ac:dyDescent="0.2"/>
    <row r="16777" s="166" customFormat="1" x14ac:dyDescent="0.2"/>
    <row r="16778" s="166" customFormat="1" x14ac:dyDescent="0.2"/>
    <row r="16779" s="166" customFormat="1" x14ac:dyDescent="0.2"/>
    <row r="16780" s="166" customFormat="1" x14ac:dyDescent="0.2"/>
    <row r="16781" s="166" customFormat="1" x14ac:dyDescent="0.2"/>
    <row r="16782" s="166" customFormat="1" x14ac:dyDescent="0.2"/>
    <row r="16783" s="166" customFormat="1" x14ac:dyDescent="0.2"/>
    <row r="16784" s="166" customFormat="1" x14ac:dyDescent="0.2"/>
    <row r="16785" s="166" customFormat="1" x14ac:dyDescent="0.2"/>
    <row r="16786" s="166" customFormat="1" x14ac:dyDescent="0.2"/>
    <row r="16787" s="166" customFormat="1" x14ac:dyDescent="0.2"/>
    <row r="16788" s="166" customFormat="1" x14ac:dyDescent="0.2"/>
    <row r="16789" s="166" customFormat="1" x14ac:dyDescent="0.2"/>
    <row r="16790" s="166" customFormat="1" x14ac:dyDescent="0.2"/>
    <row r="16791" s="166" customFormat="1" x14ac:dyDescent="0.2"/>
    <row r="16792" s="166" customFormat="1" x14ac:dyDescent="0.2"/>
    <row r="16793" s="166" customFormat="1" x14ac:dyDescent="0.2"/>
    <row r="16794" s="166" customFormat="1" x14ac:dyDescent="0.2"/>
    <row r="16795" s="166" customFormat="1" x14ac:dyDescent="0.2"/>
    <row r="16796" s="166" customFormat="1" x14ac:dyDescent="0.2"/>
    <row r="16797" s="166" customFormat="1" x14ac:dyDescent="0.2"/>
    <row r="16798" s="166" customFormat="1" x14ac:dyDescent="0.2"/>
    <row r="16799" s="166" customFormat="1" x14ac:dyDescent="0.2"/>
    <row r="16800" s="166" customFormat="1" x14ac:dyDescent="0.2"/>
    <row r="16801" s="166" customFormat="1" x14ac:dyDescent="0.2"/>
    <row r="16802" s="166" customFormat="1" x14ac:dyDescent="0.2"/>
    <row r="16803" s="166" customFormat="1" x14ac:dyDescent="0.2"/>
    <row r="16804" s="166" customFormat="1" x14ac:dyDescent="0.2"/>
    <row r="16805" s="166" customFormat="1" x14ac:dyDescent="0.2"/>
    <row r="16806" s="166" customFormat="1" x14ac:dyDescent="0.2"/>
    <row r="16807" s="166" customFormat="1" x14ac:dyDescent="0.2"/>
    <row r="16808" s="166" customFormat="1" x14ac:dyDescent="0.2"/>
    <row r="16809" s="166" customFormat="1" x14ac:dyDescent="0.2"/>
    <row r="16810" s="166" customFormat="1" x14ac:dyDescent="0.2"/>
    <row r="16811" s="166" customFormat="1" x14ac:dyDescent="0.2"/>
    <row r="16812" s="166" customFormat="1" x14ac:dyDescent="0.2"/>
    <row r="16813" s="166" customFormat="1" x14ac:dyDescent="0.2"/>
    <row r="16814" s="166" customFormat="1" x14ac:dyDescent="0.2"/>
    <row r="16815" s="166" customFormat="1" x14ac:dyDescent="0.2"/>
    <row r="16816" s="166" customFormat="1" x14ac:dyDescent="0.2"/>
    <row r="16817" s="166" customFormat="1" x14ac:dyDescent="0.2"/>
    <row r="16818" s="166" customFormat="1" x14ac:dyDescent="0.2"/>
    <row r="16819" s="166" customFormat="1" x14ac:dyDescent="0.2"/>
    <row r="16820" s="166" customFormat="1" x14ac:dyDescent="0.2"/>
    <row r="16821" s="166" customFormat="1" x14ac:dyDescent="0.2"/>
    <row r="16822" s="166" customFormat="1" x14ac:dyDescent="0.2"/>
    <row r="16823" s="166" customFormat="1" x14ac:dyDescent="0.2"/>
    <row r="16824" s="166" customFormat="1" x14ac:dyDescent="0.2"/>
    <row r="16825" s="166" customFormat="1" x14ac:dyDescent="0.2"/>
    <row r="16826" s="166" customFormat="1" x14ac:dyDescent="0.2"/>
    <row r="16827" s="166" customFormat="1" x14ac:dyDescent="0.2"/>
    <row r="16828" s="166" customFormat="1" x14ac:dyDescent="0.2"/>
    <row r="16829" s="166" customFormat="1" x14ac:dyDescent="0.2"/>
    <row r="16830" s="166" customFormat="1" x14ac:dyDescent="0.2"/>
    <row r="16831" s="166" customFormat="1" x14ac:dyDescent="0.2"/>
    <row r="16832" s="166" customFormat="1" x14ac:dyDescent="0.2"/>
    <row r="16833" s="166" customFormat="1" x14ac:dyDescent="0.2"/>
    <row r="16834" s="166" customFormat="1" x14ac:dyDescent="0.2"/>
    <row r="16835" s="166" customFormat="1" x14ac:dyDescent="0.2"/>
    <row r="16836" s="166" customFormat="1" x14ac:dyDescent="0.2"/>
    <row r="16837" s="166" customFormat="1" x14ac:dyDescent="0.2"/>
    <row r="16838" s="166" customFormat="1" x14ac:dyDescent="0.2"/>
    <row r="16839" s="166" customFormat="1" x14ac:dyDescent="0.2"/>
    <row r="16840" s="166" customFormat="1" x14ac:dyDescent="0.2"/>
    <row r="16841" s="166" customFormat="1" x14ac:dyDescent="0.2"/>
    <row r="16842" s="166" customFormat="1" x14ac:dyDescent="0.2"/>
    <row r="16843" s="166" customFormat="1" x14ac:dyDescent="0.2"/>
    <row r="16844" s="166" customFormat="1" x14ac:dyDescent="0.2"/>
    <row r="16845" s="166" customFormat="1" x14ac:dyDescent="0.2"/>
    <row r="16846" s="166" customFormat="1" x14ac:dyDescent="0.2"/>
    <row r="16847" s="166" customFormat="1" x14ac:dyDescent="0.2"/>
    <row r="16848" s="166" customFormat="1" x14ac:dyDescent="0.2"/>
    <row r="16849" s="166" customFormat="1" x14ac:dyDescent="0.2"/>
    <row r="16850" s="166" customFormat="1" x14ac:dyDescent="0.2"/>
    <row r="16851" s="166" customFormat="1" x14ac:dyDescent="0.2"/>
    <row r="16852" s="166" customFormat="1" x14ac:dyDescent="0.2"/>
    <row r="16853" s="166" customFormat="1" x14ac:dyDescent="0.2"/>
    <row r="16854" s="166" customFormat="1" x14ac:dyDescent="0.2"/>
    <row r="16855" s="166" customFormat="1" x14ac:dyDescent="0.2"/>
    <row r="16856" s="166" customFormat="1" x14ac:dyDescent="0.2"/>
    <row r="16857" s="166" customFormat="1" x14ac:dyDescent="0.2"/>
    <row r="16858" s="166" customFormat="1" x14ac:dyDescent="0.2"/>
    <row r="16859" s="166" customFormat="1" x14ac:dyDescent="0.2"/>
    <row r="16860" s="166" customFormat="1" x14ac:dyDescent="0.2"/>
    <row r="16861" s="166" customFormat="1" x14ac:dyDescent="0.2"/>
    <row r="16862" s="166" customFormat="1" x14ac:dyDescent="0.2"/>
    <row r="16863" s="166" customFormat="1" x14ac:dyDescent="0.2"/>
    <row r="16864" s="166" customFormat="1" x14ac:dyDescent="0.2"/>
    <row r="16865" s="166" customFormat="1" x14ac:dyDescent="0.2"/>
    <row r="16866" s="166" customFormat="1" x14ac:dyDescent="0.2"/>
    <row r="16867" s="166" customFormat="1" x14ac:dyDescent="0.2"/>
    <row r="16868" s="166" customFormat="1" x14ac:dyDescent="0.2"/>
    <row r="16869" s="166" customFormat="1" x14ac:dyDescent="0.2"/>
    <row r="16870" s="166" customFormat="1" x14ac:dyDescent="0.2"/>
    <row r="16871" s="166" customFormat="1" x14ac:dyDescent="0.2"/>
    <row r="16872" s="166" customFormat="1" x14ac:dyDescent="0.2"/>
    <row r="16873" s="166" customFormat="1" x14ac:dyDescent="0.2"/>
    <row r="16874" s="166" customFormat="1" x14ac:dyDescent="0.2"/>
    <row r="16875" s="166" customFormat="1" x14ac:dyDescent="0.2"/>
    <row r="16876" s="166" customFormat="1" x14ac:dyDescent="0.2"/>
    <row r="16877" s="166" customFormat="1" x14ac:dyDescent="0.2"/>
    <row r="16878" s="166" customFormat="1" x14ac:dyDescent="0.2"/>
    <row r="16879" s="166" customFormat="1" x14ac:dyDescent="0.2"/>
    <row r="16880" s="166" customFormat="1" x14ac:dyDescent="0.2"/>
    <row r="16881" s="166" customFormat="1" x14ac:dyDescent="0.2"/>
    <row r="16882" s="166" customFormat="1" x14ac:dyDescent="0.2"/>
    <row r="16883" s="166" customFormat="1" x14ac:dyDescent="0.2"/>
    <row r="16884" s="166" customFormat="1" x14ac:dyDescent="0.2"/>
    <row r="16885" s="166" customFormat="1" x14ac:dyDescent="0.2"/>
    <row r="16886" s="166" customFormat="1" x14ac:dyDescent="0.2"/>
    <row r="16887" s="166" customFormat="1" x14ac:dyDescent="0.2"/>
    <row r="16888" s="166" customFormat="1" x14ac:dyDescent="0.2"/>
    <row r="16889" s="166" customFormat="1" x14ac:dyDescent="0.2"/>
    <row r="16890" s="166" customFormat="1" x14ac:dyDescent="0.2"/>
    <row r="16891" s="166" customFormat="1" x14ac:dyDescent="0.2"/>
    <row r="16892" s="166" customFormat="1" x14ac:dyDescent="0.2"/>
    <row r="16893" s="166" customFormat="1" x14ac:dyDescent="0.2"/>
    <row r="16894" s="166" customFormat="1" x14ac:dyDescent="0.2"/>
    <row r="16895" s="166" customFormat="1" x14ac:dyDescent="0.2"/>
    <row r="16896" s="166" customFormat="1" x14ac:dyDescent="0.2"/>
    <row r="16897" s="166" customFormat="1" x14ac:dyDescent="0.2"/>
    <row r="16898" s="166" customFormat="1" x14ac:dyDescent="0.2"/>
    <row r="16899" s="166" customFormat="1" x14ac:dyDescent="0.2"/>
    <row r="16900" s="166" customFormat="1" x14ac:dyDescent="0.2"/>
    <row r="16901" s="166" customFormat="1" x14ac:dyDescent="0.2"/>
    <row r="16902" s="166" customFormat="1" x14ac:dyDescent="0.2"/>
    <row r="16903" s="166" customFormat="1" x14ac:dyDescent="0.2"/>
    <row r="16904" s="166" customFormat="1" x14ac:dyDescent="0.2"/>
    <row r="16905" s="166" customFormat="1" x14ac:dyDescent="0.2"/>
    <row r="16906" s="166" customFormat="1" x14ac:dyDescent="0.2"/>
    <row r="16907" s="166" customFormat="1" x14ac:dyDescent="0.2"/>
    <row r="16908" s="166" customFormat="1" x14ac:dyDescent="0.2"/>
    <row r="16909" s="166" customFormat="1" x14ac:dyDescent="0.2"/>
    <row r="16910" s="166" customFormat="1" x14ac:dyDescent="0.2"/>
    <row r="16911" s="166" customFormat="1" x14ac:dyDescent="0.2"/>
    <row r="16912" s="166" customFormat="1" x14ac:dyDescent="0.2"/>
    <row r="16913" s="166" customFormat="1" x14ac:dyDescent="0.2"/>
    <row r="16914" s="166" customFormat="1" x14ac:dyDescent="0.2"/>
    <row r="16915" s="166" customFormat="1" x14ac:dyDescent="0.2"/>
    <row r="16916" s="166" customFormat="1" x14ac:dyDescent="0.2"/>
    <row r="16917" s="166" customFormat="1" x14ac:dyDescent="0.2"/>
    <row r="16918" s="166" customFormat="1" x14ac:dyDescent="0.2"/>
    <row r="16919" s="166" customFormat="1" x14ac:dyDescent="0.2"/>
    <row r="16920" s="166" customFormat="1" x14ac:dyDescent="0.2"/>
    <row r="16921" s="166" customFormat="1" x14ac:dyDescent="0.2"/>
    <row r="16922" s="166" customFormat="1" x14ac:dyDescent="0.2"/>
    <row r="16923" s="166" customFormat="1" x14ac:dyDescent="0.2"/>
    <row r="16924" s="166" customFormat="1" x14ac:dyDescent="0.2"/>
    <row r="16925" s="166" customFormat="1" x14ac:dyDescent="0.2"/>
    <row r="16926" s="166" customFormat="1" x14ac:dyDescent="0.2"/>
    <row r="16927" s="166" customFormat="1" x14ac:dyDescent="0.2"/>
    <row r="16928" s="166" customFormat="1" x14ac:dyDescent="0.2"/>
    <row r="16929" s="166" customFormat="1" x14ac:dyDescent="0.2"/>
    <row r="16930" s="166" customFormat="1" x14ac:dyDescent="0.2"/>
    <row r="16931" s="166" customFormat="1" x14ac:dyDescent="0.2"/>
    <row r="16932" s="166" customFormat="1" x14ac:dyDescent="0.2"/>
    <row r="16933" s="166" customFormat="1" x14ac:dyDescent="0.2"/>
    <row r="16934" s="166" customFormat="1" x14ac:dyDescent="0.2"/>
    <row r="16935" s="166" customFormat="1" x14ac:dyDescent="0.2"/>
    <row r="16936" s="166" customFormat="1" x14ac:dyDescent="0.2"/>
    <row r="16937" s="166" customFormat="1" x14ac:dyDescent="0.2"/>
    <row r="16938" s="166" customFormat="1" x14ac:dyDescent="0.2"/>
    <row r="16939" s="166" customFormat="1" x14ac:dyDescent="0.2"/>
    <row r="16940" s="166" customFormat="1" x14ac:dyDescent="0.2"/>
    <row r="16941" s="166" customFormat="1" x14ac:dyDescent="0.2"/>
    <row r="16942" s="166" customFormat="1" x14ac:dyDescent="0.2"/>
    <row r="16943" s="166" customFormat="1" x14ac:dyDescent="0.2"/>
    <row r="16944" s="166" customFormat="1" x14ac:dyDescent="0.2"/>
    <row r="16945" s="166" customFormat="1" x14ac:dyDescent="0.2"/>
    <row r="16946" s="166" customFormat="1" x14ac:dyDescent="0.2"/>
    <row r="16947" s="166" customFormat="1" x14ac:dyDescent="0.2"/>
    <row r="16948" s="166" customFormat="1" x14ac:dyDescent="0.2"/>
    <row r="16949" s="166" customFormat="1" x14ac:dyDescent="0.2"/>
    <row r="16950" s="166" customFormat="1" x14ac:dyDescent="0.2"/>
    <row r="16951" s="166" customFormat="1" x14ac:dyDescent="0.2"/>
    <row r="16952" s="166" customFormat="1" x14ac:dyDescent="0.2"/>
    <row r="16953" s="166" customFormat="1" x14ac:dyDescent="0.2"/>
    <row r="16954" s="166" customFormat="1" x14ac:dyDescent="0.2"/>
    <row r="16955" s="166" customFormat="1" x14ac:dyDescent="0.2"/>
    <row r="16956" s="166" customFormat="1" x14ac:dyDescent="0.2"/>
    <row r="16957" s="166" customFormat="1" x14ac:dyDescent="0.2"/>
    <row r="16958" s="166" customFormat="1" x14ac:dyDescent="0.2"/>
    <row r="16959" s="166" customFormat="1" x14ac:dyDescent="0.2"/>
    <row r="16960" s="166" customFormat="1" x14ac:dyDescent="0.2"/>
    <row r="16961" s="166" customFormat="1" x14ac:dyDescent="0.2"/>
    <row r="16962" s="166" customFormat="1" x14ac:dyDescent="0.2"/>
    <row r="16963" s="166" customFormat="1" x14ac:dyDescent="0.2"/>
    <row r="16964" s="166" customFormat="1" x14ac:dyDescent="0.2"/>
    <row r="16965" s="166" customFormat="1" x14ac:dyDescent="0.2"/>
    <row r="16966" s="166" customFormat="1" x14ac:dyDescent="0.2"/>
    <row r="16967" s="166" customFormat="1" x14ac:dyDescent="0.2"/>
    <row r="16968" s="166" customFormat="1" x14ac:dyDescent="0.2"/>
    <row r="16969" s="166" customFormat="1" x14ac:dyDescent="0.2"/>
    <row r="16970" s="166" customFormat="1" x14ac:dyDescent="0.2"/>
    <row r="16971" s="166" customFormat="1" x14ac:dyDescent="0.2"/>
    <row r="16972" s="166" customFormat="1" x14ac:dyDescent="0.2"/>
    <row r="16973" s="166" customFormat="1" x14ac:dyDescent="0.2"/>
    <row r="16974" s="166" customFormat="1" x14ac:dyDescent="0.2"/>
    <row r="16975" s="166" customFormat="1" x14ac:dyDescent="0.2"/>
    <row r="16976" s="166" customFormat="1" x14ac:dyDescent="0.2"/>
    <row r="16977" s="166" customFormat="1" x14ac:dyDescent="0.2"/>
    <row r="16978" s="166" customFormat="1" x14ac:dyDescent="0.2"/>
    <row r="16979" s="166" customFormat="1" x14ac:dyDescent="0.2"/>
    <row r="16980" s="166" customFormat="1" x14ac:dyDescent="0.2"/>
    <row r="16981" s="166" customFormat="1" x14ac:dyDescent="0.2"/>
    <row r="16982" s="166" customFormat="1" x14ac:dyDescent="0.2"/>
    <row r="16983" s="166" customFormat="1" x14ac:dyDescent="0.2"/>
    <row r="16984" s="166" customFormat="1" x14ac:dyDescent="0.2"/>
    <row r="16985" s="166" customFormat="1" x14ac:dyDescent="0.2"/>
    <row r="16986" s="166" customFormat="1" x14ac:dyDescent="0.2"/>
    <row r="16987" s="166" customFormat="1" x14ac:dyDescent="0.2"/>
    <row r="16988" s="166" customFormat="1" x14ac:dyDescent="0.2"/>
    <row r="16989" s="166" customFormat="1" x14ac:dyDescent="0.2"/>
    <row r="16990" s="166" customFormat="1" x14ac:dyDescent="0.2"/>
    <row r="16991" s="166" customFormat="1" x14ac:dyDescent="0.2"/>
    <row r="16992" s="166" customFormat="1" x14ac:dyDescent="0.2"/>
    <row r="16993" s="166" customFormat="1" x14ac:dyDescent="0.2"/>
    <row r="16994" s="166" customFormat="1" x14ac:dyDescent="0.2"/>
    <row r="16995" s="166" customFormat="1" x14ac:dyDescent="0.2"/>
    <row r="16996" s="166" customFormat="1" x14ac:dyDescent="0.2"/>
    <row r="16997" s="166" customFormat="1" x14ac:dyDescent="0.2"/>
    <row r="16998" s="166" customFormat="1" x14ac:dyDescent="0.2"/>
    <row r="16999" s="166" customFormat="1" x14ac:dyDescent="0.2"/>
    <row r="17000" s="166" customFormat="1" x14ac:dyDescent="0.2"/>
    <row r="17001" s="166" customFormat="1" x14ac:dyDescent="0.2"/>
    <row r="17002" s="166" customFormat="1" x14ac:dyDescent="0.2"/>
    <row r="17003" s="166" customFormat="1" x14ac:dyDescent="0.2"/>
    <row r="17004" s="166" customFormat="1" x14ac:dyDescent="0.2"/>
    <row r="17005" s="166" customFormat="1" x14ac:dyDescent="0.2"/>
    <row r="17006" s="166" customFormat="1" x14ac:dyDescent="0.2"/>
    <row r="17007" s="166" customFormat="1" x14ac:dyDescent="0.2"/>
    <row r="17008" s="166" customFormat="1" x14ac:dyDescent="0.2"/>
    <row r="17009" s="166" customFormat="1" x14ac:dyDescent="0.2"/>
    <row r="17010" s="166" customFormat="1" x14ac:dyDescent="0.2"/>
    <row r="17011" s="166" customFormat="1" x14ac:dyDescent="0.2"/>
    <row r="17012" s="166" customFormat="1" x14ac:dyDescent="0.2"/>
    <row r="17013" s="166" customFormat="1" x14ac:dyDescent="0.2"/>
    <row r="17014" s="166" customFormat="1" x14ac:dyDescent="0.2"/>
    <row r="17015" s="166" customFormat="1" x14ac:dyDescent="0.2"/>
    <row r="17016" s="166" customFormat="1" x14ac:dyDescent="0.2"/>
    <row r="17017" s="166" customFormat="1" x14ac:dyDescent="0.2"/>
    <row r="17018" s="166" customFormat="1" x14ac:dyDescent="0.2"/>
    <row r="17019" s="166" customFormat="1" x14ac:dyDescent="0.2"/>
    <row r="17020" s="166" customFormat="1" x14ac:dyDescent="0.2"/>
    <row r="17021" s="166" customFormat="1" x14ac:dyDescent="0.2"/>
    <row r="17022" s="166" customFormat="1" x14ac:dyDescent="0.2"/>
    <row r="17023" s="166" customFormat="1" x14ac:dyDescent="0.2"/>
    <row r="17024" s="166" customFormat="1" x14ac:dyDescent="0.2"/>
    <row r="17025" s="166" customFormat="1" x14ac:dyDescent="0.2"/>
    <row r="17026" s="166" customFormat="1" x14ac:dyDescent="0.2"/>
    <row r="17027" s="166" customFormat="1" x14ac:dyDescent="0.2"/>
    <row r="17028" s="166" customFormat="1" x14ac:dyDescent="0.2"/>
    <row r="17029" s="166" customFormat="1" x14ac:dyDescent="0.2"/>
    <row r="17030" s="166" customFormat="1" x14ac:dyDescent="0.2"/>
    <row r="17031" s="166" customFormat="1" x14ac:dyDescent="0.2"/>
    <row r="17032" s="166" customFormat="1" x14ac:dyDescent="0.2"/>
    <row r="17033" s="166" customFormat="1" x14ac:dyDescent="0.2"/>
    <row r="17034" s="166" customFormat="1" x14ac:dyDescent="0.2"/>
    <row r="17035" s="166" customFormat="1" x14ac:dyDescent="0.2"/>
    <row r="17036" s="166" customFormat="1" x14ac:dyDescent="0.2"/>
    <row r="17037" s="166" customFormat="1" x14ac:dyDescent="0.2"/>
    <row r="17038" s="166" customFormat="1" x14ac:dyDescent="0.2"/>
    <row r="17039" s="166" customFormat="1" x14ac:dyDescent="0.2"/>
    <row r="17040" s="166" customFormat="1" x14ac:dyDescent="0.2"/>
    <row r="17041" s="166" customFormat="1" x14ac:dyDescent="0.2"/>
    <row r="17042" s="166" customFormat="1" x14ac:dyDescent="0.2"/>
    <row r="17043" s="166" customFormat="1" x14ac:dyDescent="0.2"/>
    <row r="17044" s="166" customFormat="1" x14ac:dyDescent="0.2"/>
    <row r="17045" s="166" customFormat="1" x14ac:dyDescent="0.2"/>
    <row r="17046" s="166" customFormat="1" x14ac:dyDescent="0.2"/>
    <row r="17047" s="166" customFormat="1" x14ac:dyDescent="0.2"/>
    <row r="17048" s="166" customFormat="1" x14ac:dyDescent="0.2"/>
    <row r="17049" s="166" customFormat="1" x14ac:dyDescent="0.2"/>
    <row r="17050" s="166" customFormat="1" x14ac:dyDescent="0.2"/>
    <row r="17051" s="166" customFormat="1" x14ac:dyDescent="0.2"/>
    <row r="17052" s="166" customFormat="1" x14ac:dyDescent="0.2"/>
    <row r="17053" s="166" customFormat="1" x14ac:dyDescent="0.2"/>
    <row r="17054" s="166" customFormat="1" x14ac:dyDescent="0.2"/>
    <row r="17055" s="166" customFormat="1" x14ac:dyDescent="0.2"/>
    <row r="17056" s="166" customFormat="1" x14ac:dyDescent="0.2"/>
    <row r="17057" s="166" customFormat="1" x14ac:dyDescent="0.2"/>
    <row r="17058" s="166" customFormat="1" x14ac:dyDescent="0.2"/>
    <row r="17059" s="166" customFormat="1" x14ac:dyDescent="0.2"/>
    <row r="17060" s="166" customFormat="1" x14ac:dyDescent="0.2"/>
    <row r="17061" s="166" customFormat="1" x14ac:dyDescent="0.2"/>
    <row r="17062" s="166" customFormat="1" x14ac:dyDescent="0.2"/>
    <row r="17063" s="166" customFormat="1" x14ac:dyDescent="0.2"/>
    <row r="17064" s="166" customFormat="1" x14ac:dyDescent="0.2"/>
    <row r="17065" s="166" customFormat="1" x14ac:dyDescent="0.2"/>
    <row r="17066" s="166" customFormat="1" x14ac:dyDescent="0.2"/>
    <row r="17067" s="166" customFormat="1" x14ac:dyDescent="0.2"/>
    <row r="17068" s="166" customFormat="1" x14ac:dyDescent="0.2"/>
    <row r="17069" s="166" customFormat="1" x14ac:dyDescent="0.2"/>
    <row r="17070" s="166" customFormat="1" x14ac:dyDescent="0.2"/>
    <row r="17071" s="166" customFormat="1" x14ac:dyDescent="0.2"/>
    <row r="17072" s="166" customFormat="1" x14ac:dyDescent="0.2"/>
    <row r="17073" s="166" customFormat="1" x14ac:dyDescent="0.2"/>
    <row r="17074" s="166" customFormat="1" x14ac:dyDescent="0.2"/>
    <row r="17075" s="166" customFormat="1" x14ac:dyDescent="0.2"/>
    <row r="17076" s="166" customFormat="1" x14ac:dyDescent="0.2"/>
    <row r="17077" s="166" customFormat="1" x14ac:dyDescent="0.2"/>
    <row r="17078" s="166" customFormat="1" x14ac:dyDescent="0.2"/>
    <row r="17079" s="166" customFormat="1" x14ac:dyDescent="0.2"/>
    <row r="17080" s="166" customFormat="1" x14ac:dyDescent="0.2"/>
    <row r="17081" s="166" customFormat="1" x14ac:dyDescent="0.2"/>
    <row r="17082" s="166" customFormat="1" x14ac:dyDescent="0.2"/>
    <row r="17083" s="166" customFormat="1" x14ac:dyDescent="0.2"/>
    <row r="17084" s="166" customFormat="1" x14ac:dyDescent="0.2"/>
    <row r="17085" s="166" customFormat="1" x14ac:dyDescent="0.2"/>
    <row r="17086" s="166" customFormat="1" x14ac:dyDescent="0.2"/>
    <row r="17087" s="166" customFormat="1" x14ac:dyDescent="0.2"/>
    <row r="17088" s="166" customFormat="1" x14ac:dyDescent="0.2"/>
    <row r="17089" s="166" customFormat="1" x14ac:dyDescent="0.2"/>
    <row r="17090" s="166" customFormat="1" x14ac:dyDescent="0.2"/>
    <row r="17091" s="166" customFormat="1" x14ac:dyDescent="0.2"/>
    <row r="17092" s="166" customFormat="1" x14ac:dyDescent="0.2"/>
    <row r="17093" s="166" customFormat="1" x14ac:dyDescent="0.2"/>
    <row r="17094" s="166" customFormat="1" x14ac:dyDescent="0.2"/>
    <row r="17095" s="166" customFormat="1" x14ac:dyDescent="0.2"/>
    <row r="17096" s="166" customFormat="1" x14ac:dyDescent="0.2"/>
    <row r="17097" s="166" customFormat="1" x14ac:dyDescent="0.2"/>
    <row r="17098" s="166" customFormat="1" x14ac:dyDescent="0.2"/>
    <row r="17099" s="166" customFormat="1" x14ac:dyDescent="0.2"/>
    <row r="17100" s="166" customFormat="1" x14ac:dyDescent="0.2"/>
    <row r="17101" s="166" customFormat="1" x14ac:dyDescent="0.2"/>
    <row r="17102" s="166" customFormat="1" x14ac:dyDescent="0.2"/>
    <row r="17103" s="166" customFormat="1" x14ac:dyDescent="0.2"/>
    <row r="17104" s="166" customFormat="1" x14ac:dyDescent="0.2"/>
    <row r="17105" s="166" customFormat="1" x14ac:dyDescent="0.2"/>
    <row r="17106" s="166" customFormat="1" x14ac:dyDescent="0.2"/>
    <row r="17107" s="166" customFormat="1" x14ac:dyDescent="0.2"/>
    <row r="17108" s="166" customFormat="1" x14ac:dyDescent="0.2"/>
    <row r="17109" s="166" customFormat="1" x14ac:dyDescent="0.2"/>
    <row r="17110" s="166" customFormat="1" x14ac:dyDescent="0.2"/>
    <row r="17111" s="166" customFormat="1" x14ac:dyDescent="0.2"/>
    <row r="17112" s="166" customFormat="1" x14ac:dyDescent="0.2"/>
    <row r="17113" s="166" customFormat="1" x14ac:dyDescent="0.2"/>
    <row r="17114" s="166" customFormat="1" x14ac:dyDescent="0.2"/>
    <row r="17115" s="166" customFormat="1" x14ac:dyDescent="0.2"/>
    <row r="17116" s="166" customFormat="1" x14ac:dyDescent="0.2"/>
    <row r="17117" s="166" customFormat="1" x14ac:dyDescent="0.2"/>
    <row r="17118" s="166" customFormat="1" x14ac:dyDescent="0.2"/>
    <row r="17119" s="166" customFormat="1" x14ac:dyDescent="0.2"/>
    <row r="17120" s="166" customFormat="1" x14ac:dyDescent="0.2"/>
    <row r="17121" s="166" customFormat="1" x14ac:dyDescent="0.2"/>
    <row r="17122" s="166" customFormat="1" x14ac:dyDescent="0.2"/>
    <row r="17123" s="166" customFormat="1" x14ac:dyDescent="0.2"/>
    <row r="17124" s="166" customFormat="1" x14ac:dyDescent="0.2"/>
    <row r="17125" s="166" customFormat="1" x14ac:dyDescent="0.2"/>
    <row r="17126" s="166" customFormat="1" x14ac:dyDescent="0.2"/>
    <row r="17127" s="166" customFormat="1" x14ac:dyDescent="0.2"/>
    <row r="17128" s="166" customFormat="1" x14ac:dyDescent="0.2"/>
    <row r="17129" s="166" customFormat="1" x14ac:dyDescent="0.2"/>
    <row r="17130" s="166" customFormat="1" x14ac:dyDescent="0.2"/>
    <row r="17131" s="166" customFormat="1" x14ac:dyDescent="0.2"/>
    <row r="17132" s="166" customFormat="1" x14ac:dyDescent="0.2"/>
    <row r="17133" s="166" customFormat="1" x14ac:dyDescent="0.2"/>
    <row r="17134" s="166" customFormat="1" x14ac:dyDescent="0.2"/>
    <row r="17135" s="166" customFormat="1" x14ac:dyDescent="0.2"/>
    <row r="17136" s="166" customFormat="1" x14ac:dyDescent="0.2"/>
    <row r="17137" s="166" customFormat="1" x14ac:dyDescent="0.2"/>
    <row r="17138" s="166" customFormat="1" x14ac:dyDescent="0.2"/>
    <row r="17139" s="166" customFormat="1" x14ac:dyDescent="0.2"/>
    <row r="17140" s="166" customFormat="1" x14ac:dyDescent="0.2"/>
    <row r="17141" s="166" customFormat="1" x14ac:dyDescent="0.2"/>
    <row r="17142" s="166" customFormat="1" x14ac:dyDescent="0.2"/>
    <row r="17143" s="166" customFormat="1" x14ac:dyDescent="0.2"/>
    <row r="17144" s="166" customFormat="1" x14ac:dyDescent="0.2"/>
    <row r="17145" s="166" customFormat="1" x14ac:dyDescent="0.2"/>
    <row r="17146" s="166" customFormat="1" x14ac:dyDescent="0.2"/>
    <row r="17147" s="166" customFormat="1" x14ac:dyDescent="0.2"/>
    <row r="17148" s="166" customFormat="1" x14ac:dyDescent="0.2"/>
    <row r="17149" s="166" customFormat="1" x14ac:dyDescent="0.2"/>
    <row r="17150" s="166" customFormat="1" x14ac:dyDescent="0.2"/>
    <row r="17151" s="166" customFormat="1" x14ac:dyDescent="0.2"/>
    <row r="17152" s="166" customFormat="1" x14ac:dyDescent="0.2"/>
    <row r="17153" s="166" customFormat="1" x14ac:dyDescent="0.2"/>
    <row r="17154" s="166" customFormat="1" x14ac:dyDescent="0.2"/>
    <row r="17155" s="166" customFormat="1" x14ac:dyDescent="0.2"/>
    <row r="17156" s="166" customFormat="1" x14ac:dyDescent="0.2"/>
    <row r="17157" s="166" customFormat="1" x14ac:dyDescent="0.2"/>
    <row r="17158" s="166" customFormat="1" x14ac:dyDescent="0.2"/>
    <row r="17159" s="166" customFormat="1" x14ac:dyDescent="0.2"/>
    <row r="17160" s="166" customFormat="1" x14ac:dyDescent="0.2"/>
    <row r="17161" s="166" customFormat="1" x14ac:dyDescent="0.2"/>
    <row r="17162" s="166" customFormat="1" x14ac:dyDescent="0.2"/>
    <row r="17163" s="166" customFormat="1" x14ac:dyDescent="0.2"/>
    <row r="17164" s="166" customFormat="1" x14ac:dyDescent="0.2"/>
    <row r="17165" s="166" customFormat="1" x14ac:dyDescent="0.2"/>
    <row r="17166" s="166" customFormat="1" x14ac:dyDescent="0.2"/>
    <row r="17167" s="166" customFormat="1" x14ac:dyDescent="0.2"/>
    <row r="17168" s="166" customFormat="1" x14ac:dyDescent="0.2"/>
    <row r="17169" s="166" customFormat="1" x14ac:dyDescent="0.2"/>
    <row r="17170" s="166" customFormat="1" x14ac:dyDescent="0.2"/>
    <row r="17171" s="166" customFormat="1" x14ac:dyDescent="0.2"/>
    <row r="17172" s="166" customFormat="1" x14ac:dyDescent="0.2"/>
    <row r="17173" s="166" customFormat="1" x14ac:dyDescent="0.2"/>
    <row r="17174" s="166" customFormat="1" x14ac:dyDescent="0.2"/>
    <row r="17175" s="166" customFormat="1" x14ac:dyDescent="0.2"/>
    <row r="17176" s="166" customFormat="1" x14ac:dyDescent="0.2"/>
    <row r="17177" s="166" customFormat="1" x14ac:dyDescent="0.2"/>
    <row r="17178" s="166" customFormat="1" x14ac:dyDescent="0.2"/>
    <row r="17179" s="166" customFormat="1" x14ac:dyDescent="0.2"/>
    <row r="17180" s="166" customFormat="1" x14ac:dyDescent="0.2"/>
    <row r="17181" s="166" customFormat="1" x14ac:dyDescent="0.2"/>
    <row r="17182" s="166" customFormat="1" x14ac:dyDescent="0.2"/>
    <row r="17183" s="166" customFormat="1" x14ac:dyDescent="0.2"/>
    <row r="17184" s="166" customFormat="1" x14ac:dyDescent="0.2"/>
    <row r="17185" s="166" customFormat="1" x14ac:dyDescent="0.2"/>
    <row r="17186" s="166" customFormat="1" x14ac:dyDescent="0.2"/>
    <row r="17187" s="166" customFormat="1" x14ac:dyDescent="0.2"/>
    <row r="17188" s="166" customFormat="1" x14ac:dyDescent="0.2"/>
    <row r="17189" s="166" customFormat="1" x14ac:dyDescent="0.2"/>
    <row r="17190" s="166" customFormat="1" x14ac:dyDescent="0.2"/>
    <row r="17191" s="166" customFormat="1" x14ac:dyDescent="0.2"/>
    <row r="17192" s="166" customFormat="1" x14ac:dyDescent="0.2"/>
    <row r="17193" s="166" customFormat="1" x14ac:dyDescent="0.2"/>
    <row r="17194" s="166" customFormat="1" x14ac:dyDescent="0.2"/>
    <row r="17195" s="166" customFormat="1" x14ac:dyDescent="0.2"/>
    <row r="17196" s="166" customFormat="1" x14ac:dyDescent="0.2"/>
    <row r="17197" s="166" customFormat="1" x14ac:dyDescent="0.2"/>
    <row r="17198" s="166" customFormat="1" x14ac:dyDescent="0.2"/>
    <row r="17199" s="166" customFormat="1" x14ac:dyDescent="0.2"/>
    <row r="17200" s="166" customFormat="1" x14ac:dyDescent="0.2"/>
    <row r="17201" s="166" customFormat="1" x14ac:dyDescent="0.2"/>
    <row r="17202" s="166" customFormat="1" x14ac:dyDescent="0.2"/>
    <row r="17203" s="166" customFormat="1" x14ac:dyDescent="0.2"/>
    <row r="17204" s="166" customFormat="1" x14ac:dyDescent="0.2"/>
    <row r="17205" s="166" customFormat="1" x14ac:dyDescent="0.2"/>
    <row r="17206" s="166" customFormat="1" x14ac:dyDescent="0.2"/>
    <row r="17207" s="166" customFormat="1" x14ac:dyDescent="0.2"/>
    <row r="17208" s="166" customFormat="1" x14ac:dyDescent="0.2"/>
    <row r="17209" s="166" customFormat="1" x14ac:dyDescent="0.2"/>
    <row r="17210" s="166" customFormat="1" x14ac:dyDescent="0.2"/>
    <row r="17211" s="166" customFormat="1" x14ac:dyDescent="0.2"/>
    <row r="17212" s="166" customFormat="1" x14ac:dyDescent="0.2"/>
    <row r="17213" s="166" customFormat="1" x14ac:dyDescent="0.2"/>
    <row r="17214" s="166" customFormat="1" x14ac:dyDescent="0.2"/>
    <row r="17215" s="166" customFormat="1" x14ac:dyDescent="0.2"/>
    <row r="17216" s="166" customFormat="1" x14ac:dyDescent="0.2"/>
    <row r="17217" s="166" customFormat="1" x14ac:dyDescent="0.2"/>
    <row r="17218" s="166" customFormat="1" x14ac:dyDescent="0.2"/>
    <row r="17219" s="166" customFormat="1" x14ac:dyDescent="0.2"/>
    <row r="17220" s="166" customFormat="1" x14ac:dyDescent="0.2"/>
    <row r="17221" s="166" customFormat="1" x14ac:dyDescent="0.2"/>
    <row r="17222" s="166" customFormat="1" x14ac:dyDescent="0.2"/>
    <row r="17223" s="166" customFormat="1" x14ac:dyDescent="0.2"/>
    <row r="17224" s="166" customFormat="1" x14ac:dyDescent="0.2"/>
    <row r="17225" s="166" customFormat="1" x14ac:dyDescent="0.2"/>
    <row r="17226" s="166" customFormat="1" x14ac:dyDescent="0.2"/>
    <row r="17227" s="166" customFormat="1" x14ac:dyDescent="0.2"/>
    <row r="17228" s="166" customFormat="1" x14ac:dyDescent="0.2"/>
    <row r="17229" s="166" customFormat="1" x14ac:dyDescent="0.2"/>
    <row r="17230" s="166" customFormat="1" x14ac:dyDescent="0.2"/>
    <row r="17231" s="166" customFormat="1" x14ac:dyDescent="0.2"/>
    <row r="17232" s="166" customFormat="1" x14ac:dyDescent="0.2"/>
    <row r="17233" s="166" customFormat="1" x14ac:dyDescent="0.2"/>
    <row r="17234" s="166" customFormat="1" x14ac:dyDescent="0.2"/>
    <row r="17235" s="166" customFormat="1" x14ac:dyDescent="0.2"/>
    <row r="17236" s="166" customFormat="1" x14ac:dyDescent="0.2"/>
    <row r="17237" s="166" customFormat="1" x14ac:dyDescent="0.2"/>
    <row r="17238" s="166" customFormat="1" x14ac:dyDescent="0.2"/>
    <row r="17239" s="166" customFormat="1" x14ac:dyDescent="0.2"/>
    <row r="17240" s="166" customFormat="1" x14ac:dyDescent="0.2"/>
    <row r="17241" s="166" customFormat="1" x14ac:dyDescent="0.2"/>
    <row r="17242" s="166" customFormat="1" x14ac:dyDescent="0.2"/>
    <row r="17243" s="166" customFormat="1" x14ac:dyDescent="0.2"/>
    <row r="17244" s="166" customFormat="1" x14ac:dyDescent="0.2"/>
    <row r="17245" s="166" customFormat="1" x14ac:dyDescent="0.2"/>
    <row r="17246" s="166" customFormat="1" x14ac:dyDescent="0.2"/>
    <row r="17247" s="166" customFormat="1" x14ac:dyDescent="0.2"/>
    <row r="17248" s="166" customFormat="1" x14ac:dyDescent="0.2"/>
    <row r="17249" s="166" customFormat="1" x14ac:dyDescent="0.2"/>
    <row r="17250" s="166" customFormat="1" x14ac:dyDescent="0.2"/>
    <row r="17251" s="166" customFormat="1" x14ac:dyDescent="0.2"/>
    <row r="17252" s="166" customFormat="1" x14ac:dyDescent="0.2"/>
    <row r="17253" s="166" customFormat="1" x14ac:dyDescent="0.2"/>
    <row r="17254" s="166" customFormat="1" x14ac:dyDescent="0.2"/>
    <row r="17255" s="166" customFormat="1" x14ac:dyDescent="0.2"/>
    <row r="17256" s="166" customFormat="1" x14ac:dyDescent="0.2"/>
    <row r="17257" s="166" customFormat="1" x14ac:dyDescent="0.2"/>
    <row r="17258" s="166" customFormat="1" x14ac:dyDescent="0.2"/>
    <row r="17259" s="166" customFormat="1" x14ac:dyDescent="0.2"/>
    <row r="17260" s="166" customFormat="1" x14ac:dyDescent="0.2"/>
    <row r="17261" s="166" customFormat="1" x14ac:dyDescent="0.2"/>
    <row r="17262" s="166" customFormat="1" x14ac:dyDescent="0.2"/>
    <row r="17263" s="166" customFormat="1" x14ac:dyDescent="0.2"/>
    <row r="17264" s="166" customFormat="1" x14ac:dyDescent="0.2"/>
    <row r="17265" s="166" customFormat="1" x14ac:dyDescent="0.2"/>
    <row r="17266" s="166" customFormat="1" x14ac:dyDescent="0.2"/>
    <row r="17267" s="166" customFormat="1" x14ac:dyDescent="0.2"/>
    <row r="17268" s="166" customFormat="1" x14ac:dyDescent="0.2"/>
    <row r="17269" s="166" customFormat="1" x14ac:dyDescent="0.2"/>
    <row r="17270" s="166" customFormat="1" x14ac:dyDescent="0.2"/>
    <row r="17271" s="166" customFormat="1" x14ac:dyDescent="0.2"/>
    <row r="17272" s="166" customFormat="1" x14ac:dyDescent="0.2"/>
    <row r="17273" s="166" customFormat="1" x14ac:dyDescent="0.2"/>
    <row r="17274" s="166" customFormat="1" x14ac:dyDescent="0.2"/>
    <row r="17275" s="166" customFormat="1" x14ac:dyDescent="0.2"/>
    <row r="17276" s="166" customFormat="1" x14ac:dyDescent="0.2"/>
    <row r="17277" s="166" customFormat="1" x14ac:dyDescent="0.2"/>
    <row r="17278" s="166" customFormat="1" x14ac:dyDescent="0.2"/>
    <row r="17279" s="166" customFormat="1" x14ac:dyDescent="0.2"/>
    <row r="17280" s="166" customFormat="1" x14ac:dyDescent="0.2"/>
    <row r="17281" s="166" customFormat="1" x14ac:dyDescent="0.2"/>
    <row r="17282" s="166" customFormat="1" x14ac:dyDescent="0.2"/>
    <row r="17283" s="166" customFormat="1" x14ac:dyDescent="0.2"/>
    <row r="17284" s="166" customFormat="1" x14ac:dyDescent="0.2"/>
    <row r="17285" s="166" customFormat="1" x14ac:dyDescent="0.2"/>
    <row r="17286" s="166" customFormat="1" x14ac:dyDescent="0.2"/>
    <row r="17287" s="166" customFormat="1" x14ac:dyDescent="0.2"/>
    <row r="17288" s="166" customFormat="1" x14ac:dyDescent="0.2"/>
    <row r="17289" s="166" customFormat="1" x14ac:dyDescent="0.2"/>
    <row r="17290" s="166" customFormat="1" x14ac:dyDescent="0.2"/>
    <row r="17291" s="166" customFormat="1" x14ac:dyDescent="0.2"/>
    <row r="17292" s="166" customFormat="1" x14ac:dyDescent="0.2"/>
    <row r="17293" s="166" customFormat="1" x14ac:dyDescent="0.2"/>
    <row r="17294" s="166" customFormat="1" x14ac:dyDescent="0.2"/>
    <row r="17295" s="166" customFormat="1" x14ac:dyDescent="0.2"/>
    <row r="17296" s="166" customFormat="1" x14ac:dyDescent="0.2"/>
    <row r="17297" s="166" customFormat="1" x14ac:dyDescent="0.2"/>
    <row r="17298" s="166" customFormat="1" x14ac:dyDescent="0.2"/>
    <row r="17299" s="166" customFormat="1" x14ac:dyDescent="0.2"/>
    <row r="17300" s="166" customFormat="1" x14ac:dyDescent="0.2"/>
    <row r="17301" s="166" customFormat="1" x14ac:dyDescent="0.2"/>
    <row r="17302" s="166" customFormat="1" x14ac:dyDescent="0.2"/>
    <row r="17303" s="166" customFormat="1" x14ac:dyDescent="0.2"/>
    <row r="17304" s="166" customFormat="1" x14ac:dyDescent="0.2"/>
    <row r="17305" s="166" customFormat="1" x14ac:dyDescent="0.2"/>
    <row r="17306" s="166" customFormat="1" x14ac:dyDescent="0.2"/>
    <row r="17307" s="166" customFormat="1" x14ac:dyDescent="0.2"/>
    <row r="17308" s="166" customFormat="1" x14ac:dyDescent="0.2"/>
    <row r="17309" s="166" customFormat="1" x14ac:dyDescent="0.2"/>
    <row r="17310" s="166" customFormat="1" x14ac:dyDescent="0.2"/>
    <row r="17311" s="166" customFormat="1" x14ac:dyDescent="0.2"/>
    <row r="17312" s="166" customFormat="1" x14ac:dyDescent="0.2"/>
    <row r="17313" s="166" customFormat="1" x14ac:dyDescent="0.2"/>
    <row r="17314" s="166" customFormat="1" x14ac:dyDescent="0.2"/>
    <row r="17315" s="166" customFormat="1" x14ac:dyDescent="0.2"/>
    <row r="17316" s="166" customFormat="1" x14ac:dyDescent="0.2"/>
    <row r="17317" s="166" customFormat="1" x14ac:dyDescent="0.2"/>
    <row r="17318" s="166" customFormat="1" x14ac:dyDescent="0.2"/>
    <row r="17319" s="166" customFormat="1" x14ac:dyDescent="0.2"/>
    <row r="17320" s="166" customFormat="1" x14ac:dyDescent="0.2"/>
    <row r="17321" s="166" customFormat="1" x14ac:dyDescent="0.2"/>
    <row r="17322" s="166" customFormat="1" x14ac:dyDescent="0.2"/>
    <row r="17323" s="166" customFormat="1" x14ac:dyDescent="0.2"/>
    <row r="17324" s="166" customFormat="1" x14ac:dyDescent="0.2"/>
    <row r="17325" s="166" customFormat="1" x14ac:dyDescent="0.2"/>
    <row r="17326" s="166" customFormat="1" x14ac:dyDescent="0.2"/>
    <row r="17327" s="166" customFormat="1" x14ac:dyDescent="0.2"/>
    <row r="17328" s="166" customFormat="1" x14ac:dyDescent="0.2"/>
    <row r="17329" s="166" customFormat="1" x14ac:dyDescent="0.2"/>
    <row r="17330" s="166" customFormat="1" x14ac:dyDescent="0.2"/>
    <row r="17331" s="166" customFormat="1" x14ac:dyDescent="0.2"/>
    <row r="17332" s="166" customFormat="1" x14ac:dyDescent="0.2"/>
    <row r="17333" s="166" customFormat="1" x14ac:dyDescent="0.2"/>
    <row r="17334" s="166" customFormat="1" x14ac:dyDescent="0.2"/>
    <row r="17335" s="166" customFormat="1" x14ac:dyDescent="0.2"/>
    <row r="17336" s="166" customFormat="1" x14ac:dyDescent="0.2"/>
    <row r="17337" s="166" customFormat="1" x14ac:dyDescent="0.2"/>
    <row r="17338" s="166" customFormat="1" x14ac:dyDescent="0.2"/>
    <row r="17339" s="166" customFormat="1" x14ac:dyDescent="0.2"/>
    <row r="17340" s="166" customFormat="1" x14ac:dyDescent="0.2"/>
    <row r="17341" s="166" customFormat="1" x14ac:dyDescent="0.2"/>
    <row r="17342" s="166" customFormat="1" x14ac:dyDescent="0.2"/>
    <row r="17343" s="166" customFormat="1" x14ac:dyDescent="0.2"/>
    <row r="17344" s="166" customFormat="1" x14ac:dyDescent="0.2"/>
    <row r="17345" s="166" customFormat="1" x14ac:dyDescent="0.2"/>
    <row r="17346" s="166" customFormat="1" x14ac:dyDescent="0.2"/>
    <row r="17347" s="166" customFormat="1" x14ac:dyDescent="0.2"/>
    <row r="17348" s="166" customFormat="1" x14ac:dyDescent="0.2"/>
    <row r="17349" s="166" customFormat="1" x14ac:dyDescent="0.2"/>
    <row r="17350" s="166" customFormat="1" x14ac:dyDescent="0.2"/>
    <row r="17351" s="166" customFormat="1" x14ac:dyDescent="0.2"/>
    <row r="17352" s="166" customFormat="1" x14ac:dyDescent="0.2"/>
    <row r="17353" s="166" customFormat="1" x14ac:dyDescent="0.2"/>
    <row r="17354" s="166" customFormat="1" x14ac:dyDescent="0.2"/>
    <row r="17355" s="166" customFormat="1" x14ac:dyDescent="0.2"/>
    <row r="17356" s="166" customFormat="1" x14ac:dyDescent="0.2"/>
    <row r="17357" s="166" customFormat="1" x14ac:dyDescent="0.2"/>
    <row r="17358" s="166" customFormat="1" x14ac:dyDescent="0.2"/>
    <row r="17359" s="166" customFormat="1" x14ac:dyDescent="0.2"/>
    <row r="17360" s="166" customFormat="1" x14ac:dyDescent="0.2"/>
    <row r="17361" s="166" customFormat="1" x14ac:dyDescent="0.2"/>
    <row r="17362" s="166" customFormat="1" x14ac:dyDescent="0.2"/>
    <row r="17363" s="166" customFormat="1" x14ac:dyDescent="0.2"/>
    <row r="17364" s="166" customFormat="1" x14ac:dyDescent="0.2"/>
    <row r="17365" s="166" customFormat="1" x14ac:dyDescent="0.2"/>
    <row r="17366" s="166" customFormat="1" x14ac:dyDescent="0.2"/>
    <row r="17367" s="166" customFormat="1" x14ac:dyDescent="0.2"/>
    <row r="17368" s="166" customFormat="1" x14ac:dyDescent="0.2"/>
    <row r="17369" s="166" customFormat="1" x14ac:dyDescent="0.2"/>
    <row r="17370" s="166" customFormat="1" x14ac:dyDescent="0.2"/>
    <row r="17371" s="166" customFormat="1" x14ac:dyDescent="0.2"/>
    <row r="17372" s="166" customFormat="1" x14ac:dyDescent="0.2"/>
    <row r="17373" s="166" customFormat="1" x14ac:dyDescent="0.2"/>
    <row r="17374" s="166" customFormat="1" x14ac:dyDescent="0.2"/>
    <row r="17375" s="166" customFormat="1" x14ac:dyDescent="0.2"/>
    <row r="17376" s="166" customFormat="1" x14ac:dyDescent="0.2"/>
    <row r="17377" s="166" customFormat="1" x14ac:dyDescent="0.2"/>
    <row r="17378" s="166" customFormat="1" x14ac:dyDescent="0.2"/>
    <row r="17379" s="166" customFormat="1" x14ac:dyDescent="0.2"/>
    <row r="17380" s="166" customFormat="1" x14ac:dyDescent="0.2"/>
    <row r="17381" s="166" customFormat="1" x14ac:dyDescent="0.2"/>
    <row r="17382" s="166" customFormat="1" x14ac:dyDescent="0.2"/>
    <row r="17383" s="166" customFormat="1" x14ac:dyDescent="0.2"/>
    <row r="17384" s="166" customFormat="1" x14ac:dyDescent="0.2"/>
    <row r="17385" s="166" customFormat="1" x14ac:dyDescent="0.2"/>
    <row r="17386" s="166" customFormat="1" x14ac:dyDescent="0.2"/>
    <row r="17387" s="166" customFormat="1" x14ac:dyDescent="0.2"/>
    <row r="17388" s="166" customFormat="1" x14ac:dyDescent="0.2"/>
    <row r="17389" s="166" customFormat="1" x14ac:dyDescent="0.2"/>
    <row r="17390" s="166" customFormat="1" x14ac:dyDescent="0.2"/>
    <row r="17391" s="166" customFormat="1" x14ac:dyDescent="0.2"/>
    <row r="17392" s="166" customFormat="1" x14ac:dyDescent="0.2"/>
    <row r="17393" s="166" customFormat="1" x14ac:dyDescent="0.2"/>
    <row r="17394" s="166" customFormat="1" x14ac:dyDescent="0.2"/>
    <row r="17395" s="166" customFormat="1" x14ac:dyDescent="0.2"/>
    <row r="17396" s="166" customFormat="1" x14ac:dyDescent="0.2"/>
    <row r="17397" s="166" customFormat="1" x14ac:dyDescent="0.2"/>
    <row r="17398" s="166" customFormat="1" x14ac:dyDescent="0.2"/>
    <row r="17399" s="166" customFormat="1" x14ac:dyDescent="0.2"/>
    <row r="17400" s="166" customFormat="1" x14ac:dyDescent="0.2"/>
    <row r="17401" s="166" customFormat="1" x14ac:dyDescent="0.2"/>
    <row r="17402" s="166" customFormat="1" x14ac:dyDescent="0.2"/>
    <row r="17403" s="166" customFormat="1" x14ac:dyDescent="0.2"/>
    <row r="17404" s="166" customFormat="1" x14ac:dyDescent="0.2"/>
    <row r="17405" s="166" customFormat="1" x14ac:dyDescent="0.2"/>
    <row r="17406" s="166" customFormat="1" x14ac:dyDescent="0.2"/>
    <row r="17407" s="166" customFormat="1" x14ac:dyDescent="0.2"/>
    <row r="17408" s="166" customFormat="1" x14ac:dyDescent="0.2"/>
    <row r="17409" s="166" customFormat="1" x14ac:dyDescent="0.2"/>
    <row r="17410" s="166" customFormat="1" x14ac:dyDescent="0.2"/>
    <row r="17411" s="166" customFormat="1" x14ac:dyDescent="0.2"/>
    <row r="17412" s="166" customFormat="1" x14ac:dyDescent="0.2"/>
    <row r="17413" s="166" customFormat="1" x14ac:dyDescent="0.2"/>
    <row r="17414" s="166" customFormat="1" x14ac:dyDescent="0.2"/>
    <row r="17415" s="166" customFormat="1" x14ac:dyDescent="0.2"/>
    <row r="17416" s="166" customFormat="1" x14ac:dyDescent="0.2"/>
    <row r="17417" s="166" customFormat="1" x14ac:dyDescent="0.2"/>
    <row r="17418" s="166" customFormat="1" x14ac:dyDescent="0.2"/>
    <row r="17419" s="166" customFormat="1" x14ac:dyDescent="0.2"/>
    <row r="17420" s="166" customFormat="1" x14ac:dyDescent="0.2"/>
    <row r="17421" s="166" customFormat="1" x14ac:dyDescent="0.2"/>
    <row r="17422" s="166" customFormat="1" x14ac:dyDescent="0.2"/>
    <row r="17423" s="166" customFormat="1" x14ac:dyDescent="0.2"/>
    <row r="17424" s="166" customFormat="1" x14ac:dyDescent="0.2"/>
    <row r="17425" s="166" customFormat="1" x14ac:dyDescent="0.2"/>
    <row r="17426" s="166" customFormat="1" x14ac:dyDescent="0.2"/>
    <row r="17427" s="166" customFormat="1" x14ac:dyDescent="0.2"/>
    <row r="17428" s="166" customFormat="1" x14ac:dyDescent="0.2"/>
    <row r="17429" s="166" customFormat="1" x14ac:dyDescent="0.2"/>
    <row r="17430" s="166" customFormat="1" x14ac:dyDescent="0.2"/>
    <row r="17431" s="166" customFormat="1" x14ac:dyDescent="0.2"/>
    <row r="17432" s="166" customFormat="1" x14ac:dyDescent="0.2"/>
    <row r="17433" s="166" customFormat="1" x14ac:dyDescent="0.2"/>
    <row r="17434" s="166" customFormat="1" x14ac:dyDescent="0.2"/>
    <row r="17435" s="166" customFormat="1" x14ac:dyDescent="0.2"/>
    <row r="17436" s="166" customFormat="1" x14ac:dyDescent="0.2"/>
    <row r="17437" s="166" customFormat="1" x14ac:dyDescent="0.2"/>
    <row r="17438" s="166" customFormat="1" x14ac:dyDescent="0.2"/>
    <row r="17439" s="166" customFormat="1" x14ac:dyDescent="0.2"/>
    <row r="17440" s="166" customFormat="1" x14ac:dyDescent="0.2"/>
    <row r="17441" s="166" customFormat="1" x14ac:dyDescent="0.2"/>
    <row r="17442" s="166" customFormat="1" x14ac:dyDescent="0.2"/>
    <row r="17443" s="166" customFormat="1" x14ac:dyDescent="0.2"/>
    <row r="17444" s="166" customFormat="1" x14ac:dyDescent="0.2"/>
    <row r="17445" s="166" customFormat="1" x14ac:dyDescent="0.2"/>
    <row r="17446" s="166" customFormat="1" x14ac:dyDescent="0.2"/>
    <row r="17447" s="166" customFormat="1" x14ac:dyDescent="0.2"/>
    <row r="17448" s="166" customFormat="1" x14ac:dyDescent="0.2"/>
    <row r="17449" s="166" customFormat="1" x14ac:dyDescent="0.2"/>
    <row r="17450" s="166" customFormat="1" x14ac:dyDescent="0.2"/>
    <row r="17451" s="166" customFormat="1" x14ac:dyDescent="0.2"/>
    <row r="17452" s="166" customFormat="1" x14ac:dyDescent="0.2"/>
    <row r="17453" s="166" customFormat="1" x14ac:dyDescent="0.2"/>
    <row r="17454" s="166" customFormat="1" x14ac:dyDescent="0.2"/>
    <row r="17455" s="166" customFormat="1" x14ac:dyDescent="0.2"/>
    <row r="17456" s="166" customFormat="1" x14ac:dyDescent="0.2"/>
    <row r="17457" s="166" customFormat="1" x14ac:dyDescent="0.2"/>
    <row r="17458" s="166" customFormat="1" x14ac:dyDescent="0.2"/>
    <row r="17459" s="166" customFormat="1" x14ac:dyDescent="0.2"/>
    <row r="17460" s="166" customFormat="1" x14ac:dyDescent="0.2"/>
    <row r="17461" s="166" customFormat="1" x14ac:dyDescent="0.2"/>
    <row r="17462" s="166" customFormat="1" x14ac:dyDescent="0.2"/>
    <row r="17463" s="166" customFormat="1" x14ac:dyDescent="0.2"/>
    <row r="17464" s="166" customFormat="1" x14ac:dyDescent="0.2"/>
    <row r="17465" s="166" customFormat="1" x14ac:dyDescent="0.2"/>
    <row r="17466" s="166" customFormat="1" x14ac:dyDescent="0.2"/>
    <row r="17467" s="166" customFormat="1" x14ac:dyDescent="0.2"/>
    <row r="17468" s="166" customFormat="1" x14ac:dyDescent="0.2"/>
    <row r="17469" s="166" customFormat="1" x14ac:dyDescent="0.2"/>
    <row r="17470" s="166" customFormat="1" x14ac:dyDescent="0.2"/>
    <row r="17471" s="166" customFormat="1" x14ac:dyDescent="0.2"/>
    <row r="17472" s="166" customFormat="1" x14ac:dyDescent="0.2"/>
    <row r="17473" s="166" customFormat="1" x14ac:dyDescent="0.2"/>
    <row r="17474" s="166" customFormat="1" x14ac:dyDescent="0.2"/>
    <row r="17475" s="166" customFormat="1" x14ac:dyDescent="0.2"/>
    <row r="17476" s="166" customFormat="1" x14ac:dyDescent="0.2"/>
    <row r="17477" s="166" customFormat="1" x14ac:dyDescent="0.2"/>
    <row r="17478" s="166" customFormat="1" x14ac:dyDescent="0.2"/>
    <row r="17479" s="166" customFormat="1" x14ac:dyDescent="0.2"/>
    <row r="17480" s="166" customFormat="1" x14ac:dyDescent="0.2"/>
    <row r="17481" s="166" customFormat="1" x14ac:dyDescent="0.2"/>
    <row r="17482" s="166" customFormat="1" x14ac:dyDescent="0.2"/>
    <row r="17483" s="166" customFormat="1" x14ac:dyDescent="0.2"/>
    <row r="17484" s="166" customFormat="1" x14ac:dyDescent="0.2"/>
    <row r="17485" s="166" customFormat="1" x14ac:dyDescent="0.2"/>
    <row r="17486" s="166" customFormat="1" x14ac:dyDescent="0.2"/>
    <row r="17487" s="166" customFormat="1" x14ac:dyDescent="0.2"/>
    <row r="17488" s="166" customFormat="1" x14ac:dyDescent="0.2"/>
    <row r="17489" s="166" customFormat="1" x14ac:dyDescent="0.2"/>
    <row r="17490" s="166" customFormat="1" x14ac:dyDescent="0.2"/>
    <row r="17491" s="166" customFormat="1" x14ac:dyDescent="0.2"/>
    <row r="17492" s="166" customFormat="1" x14ac:dyDescent="0.2"/>
    <row r="17493" s="166" customFormat="1" x14ac:dyDescent="0.2"/>
    <row r="17494" s="166" customFormat="1" x14ac:dyDescent="0.2"/>
    <row r="17495" s="166" customFormat="1" x14ac:dyDescent="0.2"/>
    <row r="17496" s="166" customFormat="1" x14ac:dyDescent="0.2"/>
    <row r="17497" s="166" customFormat="1" x14ac:dyDescent="0.2"/>
    <row r="17498" s="166" customFormat="1" x14ac:dyDescent="0.2"/>
    <row r="17499" s="166" customFormat="1" x14ac:dyDescent="0.2"/>
    <row r="17500" s="166" customFormat="1" x14ac:dyDescent="0.2"/>
    <row r="17501" s="166" customFormat="1" x14ac:dyDescent="0.2"/>
    <row r="17502" s="166" customFormat="1" x14ac:dyDescent="0.2"/>
    <row r="17503" s="166" customFormat="1" x14ac:dyDescent="0.2"/>
    <row r="17504" s="166" customFormat="1" x14ac:dyDescent="0.2"/>
    <row r="17505" s="166" customFormat="1" x14ac:dyDescent="0.2"/>
    <row r="17506" s="166" customFormat="1" x14ac:dyDescent="0.2"/>
    <row r="17507" s="166" customFormat="1" x14ac:dyDescent="0.2"/>
    <row r="17508" s="166" customFormat="1" x14ac:dyDescent="0.2"/>
    <row r="17509" s="166" customFormat="1" x14ac:dyDescent="0.2"/>
    <row r="17510" s="166" customFormat="1" x14ac:dyDescent="0.2"/>
    <row r="17511" s="166" customFormat="1" x14ac:dyDescent="0.2"/>
    <row r="17512" s="166" customFormat="1" x14ac:dyDescent="0.2"/>
    <row r="17513" s="166" customFormat="1" x14ac:dyDescent="0.2"/>
    <row r="17514" s="166" customFormat="1" x14ac:dyDescent="0.2"/>
    <row r="17515" s="166" customFormat="1" x14ac:dyDescent="0.2"/>
    <row r="17516" s="166" customFormat="1" x14ac:dyDescent="0.2"/>
    <row r="17517" s="166" customFormat="1" x14ac:dyDescent="0.2"/>
    <row r="17518" s="166" customFormat="1" x14ac:dyDescent="0.2"/>
    <row r="17519" s="166" customFormat="1" x14ac:dyDescent="0.2"/>
    <row r="17520" s="166" customFormat="1" x14ac:dyDescent="0.2"/>
    <row r="17521" s="166" customFormat="1" x14ac:dyDescent="0.2"/>
    <row r="17522" s="166" customFormat="1" x14ac:dyDescent="0.2"/>
    <row r="17523" s="166" customFormat="1" x14ac:dyDescent="0.2"/>
    <row r="17524" s="166" customFormat="1" x14ac:dyDescent="0.2"/>
    <row r="17525" s="166" customFormat="1" x14ac:dyDescent="0.2"/>
    <row r="17526" s="166" customFormat="1" x14ac:dyDescent="0.2"/>
    <row r="17527" s="166" customFormat="1" x14ac:dyDescent="0.2"/>
    <row r="17528" s="166" customFormat="1" x14ac:dyDescent="0.2"/>
    <row r="17529" s="166" customFormat="1" x14ac:dyDescent="0.2"/>
    <row r="17530" s="166" customFormat="1" x14ac:dyDescent="0.2"/>
    <row r="17531" s="166" customFormat="1" x14ac:dyDescent="0.2"/>
    <row r="17532" s="166" customFormat="1" x14ac:dyDescent="0.2"/>
    <row r="17533" s="166" customFormat="1" x14ac:dyDescent="0.2"/>
    <row r="17534" s="166" customFormat="1" x14ac:dyDescent="0.2"/>
    <row r="17535" s="166" customFormat="1" x14ac:dyDescent="0.2"/>
    <row r="17536" s="166" customFormat="1" x14ac:dyDescent="0.2"/>
    <row r="17537" s="166" customFormat="1" x14ac:dyDescent="0.2"/>
    <row r="17538" s="166" customFormat="1" x14ac:dyDescent="0.2"/>
    <row r="17539" s="166" customFormat="1" x14ac:dyDescent="0.2"/>
    <row r="17540" s="166" customFormat="1" x14ac:dyDescent="0.2"/>
    <row r="17541" s="166" customFormat="1" x14ac:dyDescent="0.2"/>
    <row r="17542" s="166" customFormat="1" x14ac:dyDescent="0.2"/>
    <row r="17543" s="166" customFormat="1" x14ac:dyDescent="0.2"/>
    <row r="17544" s="166" customFormat="1" x14ac:dyDescent="0.2"/>
    <row r="17545" s="166" customFormat="1" x14ac:dyDescent="0.2"/>
    <row r="17546" s="166" customFormat="1" x14ac:dyDescent="0.2"/>
    <row r="17547" s="166" customFormat="1" x14ac:dyDescent="0.2"/>
    <row r="17548" s="166" customFormat="1" x14ac:dyDescent="0.2"/>
    <row r="17549" s="166" customFormat="1" x14ac:dyDescent="0.2"/>
    <row r="17550" s="166" customFormat="1" x14ac:dyDescent="0.2"/>
    <row r="17551" s="166" customFormat="1" x14ac:dyDescent="0.2"/>
    <row r="17552" s="166" customFormat="1" x14ac:dyDescent="0.2"/>
    <row r="17553" s="166" customFormat="1" x14ac:dyDescent="0.2"/>
    <row r="17554" s="166" customFormat="1" x14ac:dyDescent="0.2"/>
    <row r="17555" s="166" customFormat="1" x14ac:dyDescent="0.2"/>
    <row r="17556" s="166" customFormat="1" x14ac:dyDescent="0.2"/>
    <row r="17557" s="166" customFormat="1" x14ac:dyDescent="0.2"/>
    <row r="17558" s="166" customFormat="1" x14ac:dyDescent="0.2"/>
    <row r="17559" s="166" customFormat="1" x14ac:dyDescent="0.2"/>
    <row r="17560" s="166" customFormat="1" x14ac:dyDescent="0.2"/>
    <row r="17561" s="166" customFormat="1" x14ac:dyDescent="0.2"/>
    <row r="17562" s="166" customFormat="1" x14ac:dyDescent="0.2"/>
    <row r="17563" s="166" customFormat="1" x14ac:dyDescent="0.2"/>
    <row r="17564" s="166" customFormat="1" x14ac:dyDescent="0.2"/>
    <row r="17565" s="166" customFormat="1" x14ac:dyDescent="0.2"/>
    <row r="17566" s="166" customFormat="1" x14ac:dyDescent="0.2"/>
    <row r="17567" s="166" customFormat="1" x14ac:dyDescent="0.2"/>
    <row r="17568" s="166" customFormat="1" x14ac:dyDescent="0.2"/>
    <row r="17569" s="166" customFormat="1" x14ac:dyDescent="0.2"/>
    <row r="17570" s="166" customFormat="1" x14ac:dyDescent="0.2"/>
    <row r="17571" s="166" customFormat="1" x14ac:dyDescent="0.2"/>
    <row r="17572" s="166" customFormat="1" x14ac:dyDescent="0.2"/>
    <row r="17573" s="166" customFormat="1" x14ac:dyDescent="0.2"/>
    <row r="17574" s="166" customFormat="1" x14ac:dyDescent="0.2"/>
    <row r="17575" s="166" customFormat="1" x14ac:dyDescent="0.2"/>
    <row r="17576" s="166" customFormat="1" x14ac:dyDescent="0.2"/>
    <row r="17577" s="166" customFormat="1" x14ac:dyDescent="0.2"/>
    <row r="17578" s="166" customFormat="1" x14ac:dyDescent="0.2"/>
    <row r="17579" s="166" customFormat="1" x14ac:dyDescent="0.2"/>
    <row r="17580" s="166" customFormat="1" x14ac:dyDescent="0.2"/>
    <row r="17581" s="166" customFormat="1" x14ac:dyDescent="0.2"/>
    <row r="17582" s="166" customFormat="1" x14ac:dyDescent="0.2"/>
    <row r="17583" s="166" customFormat="1" x14ac:dyDescent="0.2"/>
    <row r="17584" s="166" customFormat="1" x14ac:dyDescent="0.2"/>
    <row r="17585" s="166" customFormat="1" x14ac:dyDescent="0.2"/>
    <row r="17586" s="166" customFormat="1" x14ac:dyDescent="0.2"/>
    <row r="17587" s="166" customFormat="1" x14ac:dyDescent="0.2"/>
    <row r="17588" s="166" customFormat="1" x14ac:dyDescent="0.2"/>
    <row r="17589" s="166" customFormat="1" x14ac:dyDescent="0.2"/>
    <row r="17590" s="166" customFormat="1" x14ac:dyDescent="0.2"/>
    <row r="17591" s="166" customFormat="1" x14ac:dyDescent="0.2"/>
    <row r="17592" s="166" customFormat="1" x14ac:dyDescent="0.2"/>
    <row r="17593" s="166" customFormat="1" x14ac:dyDescent="0.2"/>
    <row r="17594" s="166" customFormat="1" x14ac:dyDescent="0.2"/>
    <row r="17595" s="166" customFormat="1" x14ac:dyDescent="0.2"/>
    <row r="17596" s="166" customFormat="1" x14ac:dyDescent="0.2"/>
    <row r="17597" s="166" customFormat="1" x14ac:dyDescent="0.2"/>
    <row r="17598" s="166" customFormat="1" x14ac:dyDescent="0.2"/>
    <row r="17599" s="166" customFormat="1" x14ac:dyDescent="0.2"/>
    <row r="17600" s="166" customFormat="1" x14ac:dyDescent="0.2"/>
    <row r="17601" s="166" customFormat="1" x14ac:dyDescent="0.2"/>
    <row r="17602" s="166" customFormat="1" x14ac:dyDescent="0.2"/>
    <row r="17603" s="166" customFormat="1" x14ac:dyDescent="0.2"/>
    <row r="17604" s="166" customFormat="1" x14ac:dyDescent="0.2"/>
    <row r="17605" s="166" customFormat="1" x14ac:dyDescent="0.2"/>
    <row r="17606" s="166" customFormat="1" x14ac:dyDescent="0.2"/>
    <row r="17607" s="166" customFormat="1" x14ac:dyDescent="0.2"/>
    <row r="17608" s="166" customFormat="1" x14ac:dyDescent="0.2"/>
    <row r="17609" s="166" customFormat="1" x14ac:dyDescent="0.2"/>
    <row r="17610" s="166" customFormat="1" x14ac:dyDescent="0.2"/>
    <row r="17611" s="166" customFormat="1" x14ac:dyDescent="0.2"/>
    <row r="17612" s="166" customFormat="1" x14ac:dyDescent="0.2"/>
    <row r="17613" s="166" customFormat="1" x14ac:dyDescent="0.2"/>
    <row r="17614" s="166" customFormat="1" x14ac:dyDescent="0.2"/>
    <row r="17615" s="166" customFormat="1" x14ac:dyDescent="0.2"/>
    <row r="17616" s="166" customFormat="1" x14ac:dyDescent="0.2"/>
    <row r="17617" s="166" customFormat="1" x14ac:dyDescent="0.2"/>
    <row r="17618" s="166" customFormat="1" x14ac:dyDescent="0.2"/>
    <row r="17619" s="166" customFormat="1" x14ac:dyDescent="0.2"/>
    <row r="17620" s="166" customFormat="1" x14ac:dyDescent="0.2"/>
    <row r="17621" s="166" customFormat="1" x14ac:dyDescent="0.2"/>
    <row r="17622" s="166" customFormat="1" x14ac:dyDescent="0.2"/>
    <row r="17623" s="166" customFormat="1" x14ac:dyDescent="0.2"/>
    <row r="17624" s="166" customFormat="1" x14ac:dyDescent="0.2"/>
    <row r="17625" s="166" customFormat="1" x14ac:dyDescent="0.2"/>
    <row r="17626" s="166" customFormat="1" x14ac:dyDescent="0.2"/>
    <row r="17627" s="166" customFormat="1" x14ac:dyDescent="0.2"/>
    <row r="17628" s="166" customFormat="1" x14ac:dyDescent="0.2"/>
    <row r="17629" s="166" customFormat="1" x14ac:dyDescent="0.2"/>
    <row r="17630" s="166" customFormat="1" x14ac:dyDescent="0.2"/>
    <row r="17631" s="166" customFormat="1" x14ac:dyDescent="0.2"/>
    <row r="17632" s="166" customFormat="1" x14ac:dyDescent="0.2"/>
    <row r="17633" s="166" customFormat="1" x14ac:dyDescent="0.2"/>
    <row r="17634" s="166" customFormat="1" x14ac:dyDescent="0.2"/>
    <row r="17635" s="166" customFormat="1" x14ac:dyDescent="0.2"/>
    <row r="17636" s="166" customFormat="1" x14ac:dyDescent="0.2"/>
    <row r="17637" s="166" customFormat="1" x14ac:dyDescent="0.2"/>
    <row r="17638" s="166" customFormat="1" x14ac:dyDescent="0.2"/>
    <row r="17639" s="166" customFormat="1" x14ac:dyDescent="0.2"/>
    <row r="17640" s="166" customFormat="1" x14ac:dyDescent="0.2"/>
    <row r="17641" s="166" customFormat="1" x14ac:dyDescent="0.2"/>
    <row r="17642" s="166" customFormat="1" x14ac:dyDescent="0.2"/>
    <row r="17643" s="166" customFormat="1" x14ac:dyDescent="0.2"/>
    <row r="17644" s="166" customFormat="1" x14ac:dyDescent="0.2"/>
    <row r="17645" s="166" customFormat="1" x14ac:dyDescent="0.2"/>
    <row r="17646" s="166" customFormat="1" x14ac:dyDescent="0.2"/>
    <row r="17647" s="166" customFormat="1" x14ac:dyDescent="0.2"/>
    <row r="17648" s="166" customFormat="1" x14ac:dyDescent="0.2"/>
    <row r="17649" s="166" customFormat="1" x14ac:dyDescent="0.2"/>
    <row r="17650" s="166" customFormat="1" x14ac:dyDescent="0.2"/>
    <row r="17651" s="166" customFormat="1" x14ac:dyDescent="0.2"/>
    <row r="17652" s="166" customFormat="1" x14ac:dyDescent="0.2"/>
    <row r="17653" s="166" customFormat="1" x14ac:dyDescent="0.2"/>
    <row r="17654" s="166" customFormat="1" x14ac:dyDescent="0.2"/>
    <row r="17655" s="166" customFormat="1" x14ac:dyDescent="0.2"/>
    <row r="17656" s="166" customFormat="1" x14ac:dyDescent="0.2"/>
    <row r="17657" s="166" customFormat="1" x14ac:dyDescent="0.2"/>
    <row r="17658" s="166" customFormat="1" x14ac:dyDescent="0.2"/>
    <row r="17659" s="166" customFormat="1" x14ac:dyDescent="0.2"/>
    <row r="17660" s="166" customFormat="1" x14ac:dyDescent="0.2"/>
    <row r="17661" s="166" customFormat="1" x14ac:dyDescent="0.2"/>
    <row r="17662" s="166" customFormat="1" x14ac:dyDescent="0.2"/>
    <row r="17663" s="166" customFormat="1" x14ac:dyDescent="0.2"/>
    <row r="17664" s="166" customFormat="1" x14ac:dyDescent="0.2"/>
    <row r="17665" s="166" customFormat="1" x14ac:dyDescent="0.2"/>
    <row r="17666" s="166" customFormat="1" x14ac:dyDescent="0.2"/>
    <row r="17667" s="166" customFormat="1" x14ac:dyDescent="0.2"/>
    <row r="17668" s="166" customFormat="1" x14ac:dyDescent="0.2"/>
    <row r="17669" s="166" customFormat="1" x14ac:dyDescent="0.2"/>
    <row r="17670" s="166" customFormat="1" x14ac:dyDescent="0.2"/>
    <row r="17671" s="166" customFormat="1" x14ac:dyDescent="0.2"/>
    <row r="17672" s="166" customFormat="1" x14ac:dyDescent="0.2"/>
    <row r="17673" s="166" customFormat="1" x14ac:dyDescent="0.2"/>
    <row r="17674" s="166" customFormat="1" x14ac:dyDescent="0.2"/>
    <row r="17675" s="166" customFormat="1" x14ac:dyDescent="0.2"/>
    <row r="17676" s="166" customFormat="1" x14ac:dyDescent="0.2"/>
    <row r="17677" s="166" customFormat="1" x14ac:dyDescent="0.2"/>
    <row r="17678" s="166" customFormat="1" x14ac:dyDescent="0.2"/>
    <row r="17679" s="166" customFormat="1" x14ac:dyDescent="0.2"/>
    <row r="17680" s="166" customFormat="1" x14ac:dyDescent="0.2"/>
    <row r="17681" s="166" customFormat="1" x14ac:dyDescent="0.2"/>
    <row r="17682" s="166" customFormat="1" x14ac:dyDescent="0.2"/>
    <row r="17683" s="166" customFormat="1" x14ac:dyDescent="0.2"/>
    <row r="17684" s="166" customFormat="1" x14ac:dyDescent="0.2"/>
    <row r="17685" s="166" customFormat="1" x14ac:dyDescent="0.2"/>
    <row r="17686" s="166" customFormat="1" x14ac:dyDescent="0.2"/>
    <row r="17687" s="166" customFormat="1" x14ac:dyDescent="0.2"/>
    <row r="17688" s="166" customFormat="1" x14ac:dyDescent="0.2"/>
    <row r="17689" s="166" customFormat="1" x14ac:dyDescent="0.2"/>
    <row r="17690" s="166" customFormat="1" x14ac:dyDescent="0.2"/>
    <row r="17691" s="166" customFormat="1" x14ac:dyDescent="0.2"/>
    <row r="17692" s="166" customFormat="1" x14ac:dyDescent="0.2"/>
    <row r="17693" s="166" customFormat="1" x14ac:dyDescent="0.2"/>
    <row r="17694" s="166" customFormat="1" x14ac:dyDescent="0.2"/>
    <row r="17695" s="166" customFormat="1" x14ac:dyDescent="0.2"/>
    <row r="17696" s="166" customFormat="1" x14ac:dyDescent="0.2"/>
    <row r="17697" s="166" customFormat="1" x14ac:dyDescent="0.2"/>
    <row r="17698" s="166" customFormat="1" x14ac:dyDescent="0.2"/>
    <row r="17699" s="166" customFormat="1" x14ac:dyDescent="0.2"/>
    <row r="17700" s="166" customFormat="1" x14ac:dyDescent="0.2"/>
    <row r="17701" s="166" customFormat="1" x14ac:dyDescent="0.2"/>
    <row r="17702" s="166" customFormat="1" x14ac:dyDescent="0.2"/>
    <row r="17703" s="166" customFormat="1" x14ac:dyDescent="0.2"/>
    <row r="17704" s="166" customFormat="1" x14ac:dyDescent="0.2"/>
    <row r="17705" s="166" customFormat="1" x14ac:dyDescent="0.2"/>
    <row r="17706" s="166" customFormat="1" x14ac:dyDescent="0.2"/>
    <row r="17707" s="166" customFormat="1" x14ac:dyDescent="0.2"/>
    <row r="17708" s="166" customFormat="1" x14ac:dyDescent="0.2"/>
    <row r="17709" s="166" customFormat="1" x14ac:dyDescent="0.2"/>
    <row r="17710" s="166" customFormat="1" x14ac:dyDescent="0.2"/>
    <row r="17711" s="166" customFormat="1" x14ac:dyDescent="0.2"/>
    <row r="17712" s="166" customFormat="1" x14ac:dyDescent="0.2"/>
    <row r="17713" s="166" customFormat="1" x14ac:dyDescent="0.2"/>
    <row r="17714" s="166" customFormat="1" x14ac:dyDescent="0.2"/>
    <row r="17715" s="166" customFormat="1" x14ac:dyDescent="0.2"/>
    <row r="17716" s="166" customFormat="1" x14ac:dyDescent="0.2"/>
    <row r="17717" s="166" customFormat="1" x14ac:dyDescent="0.2"/>
    <row r="17718" s="166" customFormat="1" x14ac:dyDescent="0.2"/>
    <row r="17719" s="166" customFormat="1" x14ac:dyDescent="0.2"/>
    <row r="17720" s="166" customFormat="1" x14ac:dyDescent="0.2"/>
    <row r="17721" s="166" customFormat="1" x14ac:dyDescent="0.2"/>
    <row r="17722" s="166" customFormat="1" x14ac:dyDescent="0.2"/>
    <row r="17723" s="166" customFormat="1" x14ac:dyDescent="0.2"/>
    <row r="17724" s="166" customFormat="1" x14ac:dyDescent="0.2"/>
    <row r="17725" s="166" customFormat="1" x14ac:dyDescent="0.2"/>
    <row r="17726" s="166" customFormat="1" x14ac:dyDescent="0.2"/>
    <row r="17727" s="166" customFormat="1" x14ac:dyDescent="0.2"/>
    <row r="17728" s="166" customFormat="1" x14ac:dyDescent="0.2"/>
    <row r="17729" s="166" customFormat="1" x14ac:dyDescent="0.2"/>
    <row r="17730" s="166" customFormat="1" x14ac:dyDescent="0.2"/>
    <row r="17731" s="166" customFormat="1" x14ac:dyDescent="0.2"/>
    <row r="17732" s="166" customFormat="1" x14ac:dyDescent="0.2"/>
    <row r="17733" s="166" customFormat="1" x14ac:dyDescent="0.2"/>
    <row r="17734" s="166" customFormat="1" x14ac:dyDescent="0.2"/>
    <row r="17735" s="166" customFormat="1" x14ac:dyDescent="0.2"/>
    <row r="17736" s="166" customFormat="1" x14ac:dyDescent="0.2"/>
    <row r="17737" s="166" customFormat="1" x14ac:dyDescent="0.2"/>
    <row r="17738" s="166" customFormat="1" x14ac:dyDescent="0.2"/>
    <row r="17739" s="166" customFormat="1" x14ac:dyDescent="0.2"/>
    <row r="17740" s="166" customFormat="1" x14ac:dyDescent="0.2"/>
    <row r="17741" s="166" customFormat="1" x14ac:dyDescent="0.2"/>
    <row r="17742" s="166" customFormat="1" x14ac:dyDescent="0.2"/>
    <row r="17743" s="166" customFormat="1" x14ac:dyDescent="0.2"/>
    <row r="17744" s="166" customFormat="1" x14ac:dyDescent="0.2"/>
    <row r="17745" s="166" customFormat="1" x14ac:dyDescent="0.2"/>
    <row r="17746" s="166" customFormat="1" x14ac:dyDescent="0.2"/>
    <row r="17747" s="166" customFormat="1" x14ac:dyDescent="0.2"/>
    <row r="17748" s="166" customFormat="1" x14ac:dyDescent="0.2"/>
    <row r="17749" s="166" customFormat="1" x14ac:dyDescent="0.2"/>
    <row r="17750" s="166" customFormat="1" x14ac:dyDescent="0.2"/>
    <row r="17751" s="166" customFormat="1" x14ac:dyDescent="0.2"/>
    <row r="17752" s="166" customFormat="1" x14ac:dyDescent="0.2"/>
    <row r="17753" s="166" customFormat="1" x14ac:dyDescent="0.2"/>
    <row r="17754" s="166" customFormat="1" x14ac:dyDescent="0.2"/>
    <row r="17755" s="166" customFormat="1" x14ac:dyDescent="0.2"/>
    <row r="17756" s="166" customFormat="1" x14ac:dyDescent="0.2"/>
    <row r="17757" s="166" customFormat="1" x14ac:dyDescent="0.2"/>
    <row r="17758" s="166" customFormat="1" x14ac:dyDescent="0.2"/>
    <row r="17759" s="166" customFormat="1" x14ac:dyDescent="0.2"/>
    <row r="17760" s="166" customFormat="1" x14ac:dyDescent="0.2"/>
    <row r="17761" s="166" customFormat="1" x14ac:dyDescent="0.2"/>
    <row r="17762" s="166" customFormat="1" x14ac:dyDescent="0.2"/>
    <row r="17763" s="166" customFormat="1" x14ac:dyDescent="0.2"/>
    <row r="17764" s="166" customFormat="1" x14ac:dyDescent="0.2"/>
    <row r="17765" s="166" customFormat="1" x14ac:dyDescent="0.2"/>
    <row r="17766" s="166" customFormat="1" x14ac:dyDescent="0.2"/>
    <row r="17767" s="166" customFormat="1" x14ac:dyDescent="0.2"/>
    <row r="17768" s="166" customFormat="1" x14ac:dyDescent="0.2"/>
    <row r="17769" s="166" customFormat="1" x14ac:dyDescent="0.2"/>
    <row r="17770" s="166" customFormat="1" x14ac:dyDescent="0.2"/>
    <row r="17771" s="166" customFormat="1" x14ac:dyDescent="0.2"/>
    <row r="17772" s="166" customFormat="1" x14ac:dyDescent="0.2"/>
    <row r="17773" s="166" customFormat="1" x14ac:dyDescent="0.2"/>
    <row r="17774" s="166" customFormat="1" x14ac:dyDescent="0.2"/>
    <row r="17775" s="166" customFormat="1" x14ac:dyDescent="0.2"/>
    <row r="17776" s="166" customFormat="1" x14ac:dyDescent="0.2"/>
    <row r="17777" s="166" customFormat="1" x14ac:dyDescent="0.2"/>
    <row r="17778" s="166" customFormat="1" x14ac:dyDescent="0.2"/>
    <row r="17779" s="166" customFormat="1" x14ac:dyDescent="0.2"/>
    <row r="17780" s="166" customFormat="1" x14ac:dyDescent="0.2"/>
    <row r="17781" s="166" customFormat="1" x14ac:dyDescent="0.2"/>
    <row r="17782" s="166" customFormat="1" x14ac:dyDescent="0.2"/>
    <row r="17783" s="166" customFormat="1" x14ac:dyDescent="0.2"/>
    <row r="17784" s="166" customFormat="1" x14ac:dyDescent="0.2"/>
    <row r="17785" s="166" customFormat="1" x14ac:dyDescent="0.2"/>
    <row r="17786" s="166" customFormat="1" x14ac:dyDescent="0.2"/>
    <row r="17787" s="166" customFormat="1" x14ac:dyDescent="0.2"/>
    <row r="17788" s="166" customFormat="1" x14ac:dyDescent="0.2"/>
    <row r="17789" s="166" customFormat="1" x14ac:dyDescent="0.2"/>
    <row r="17790" s="166" customFormat="1" x14ac:dyDescent="0.2"/>
    <row r="17791" s="166" customFormat="1" x14ac:dyDescent="0.2"/>
    <row r="17792" s="166" customFormat="1" x14ac:dyDescent="0.2"/>
    <row r="17793" s="166" customFormat="1" x14ac:dyDescent="0.2"/>
    <row r="17794" s="166" customFormat="1" x14ac:dyDescent="0.2"/>
    <row r="17795" s="166" customFormat="1" x14ac:dyDescent="0.2"/>
    <row r="17796" s="166" customFormat="1" x14ac:dyDescent="0.2"/>
    <row r="17797" s="166" customFormat="1" x14ac:dyDescent="0.2"/>
    <row r="17798" s="166" customFormat="1" x14ac:dyDescent="0.2"/>
    <row r="17799" s="166" customFormat="1" x14ac:dyDescent="0.2"/>
    <row r="17800" s="166" customFormat="1" x14ac:dyDescent="0.2"/>
    <row r="17801" s="166" customFormat="1" x14ac:dyDescent="0.2"/>
    <row r="17802" s="166" customFormat="1" x14ac:dyDescent="0.2"/>
    <row r="17803" s="166" customFormat="1" x14ac:dyDescent="0.2"/>
    <row r="17804" s="166" customFormat="1" x14ac:dyDescent="0.2"/>
    <row r="17805" s="166" customFormat="1" x14ac:dyDescent="0.2"/>
    <row r="17806" s="166" customFormat="1" x14ac:dyDescent="0.2"/>
    <row r="17807" s="166" customFormat="1" x14ac:dyDescent="0.2"/>
    <row r="17808" s="166" customFormat="1" x14ac:dyDescent="0.2"/>
    <row r="17809" s="166" customFormat="1" x14ac:dyDescent="0.2"/>
    <row r="17810" s="166" customFormat="1" x14ac:dyDescent="0.2"/>
    <row r="17811" s="166" customFormat="1" x14ac:dyDescent="0.2"/>
    <row r="17812" s="166" customFormat="1" x14ac:dyDescent="0.2"/>
    <row r="17813" s="166" customFormat="1" x14ac:dyDescent="0.2"/>
    <row r="17814" s="166" customFormat="1" x14ac:dyDescent="0.2"/>
    <row r="17815" s="166" customFormat="1" x14ac:dyDescent="0.2"/>
    <row r="17816" s="166" customFormat="1" x14ac:dyDescent="0.2"/>
    <row r="17817" s="166" customFormat="1" x14ac:dyDescent="0.2"/>
    <row r="17818" s="166" customFormat="1" x14ac:dyDescent="0.2"/>
    <row r="17819" s="166" customFormat="1" x14ac:dyDescent="0.2"/>
    <row r="17820" s="166" customFormat="1" x14ac:dyDescent="0.2"/>
    <row r="17821" s="166" customFormat="1" x14ac:dyDescent="0.2"/>
    <row r="17822" s="166" customFormat="1" x14ac:dyDescent="0.2"/>
    <row r="17823" s="166" customFormat="1" x14ac:dyDescent="0.2"/>
    <row r="17824" s="166" customFormat="1" x14ac:dyDescent="0.2"/>
    <row r="17825" s="166" customFormat="1" x14ac:dyDescent="0.2"/>
    <row r="17826" s="166" customFormat="1" x14ac:dyDescent="0.2"/>
    <row r="17827" s="166" customFormat="1" x14ac:dyDescent="0.2"/>
    <row r="17828" s="166" customFormat="1" x14ac:dyDescent="0.2"/>
    <row r="17829" s="166" customFormat="1" x14ac:dyDescent="0.2"/>
    <row r="17830" s="166" customFormat="1" x14ac:dyDescent="0.2"/>
    <row r="17831" s="166" customFormat="1" x14ac:dyDescent="0.2"/>
    <row r="17832" s="166" customFormat="1" x14ac:dyDescent="0.2"/>
    <row r="17833" s="166" customFormat="1" x14ac:dyDescent="0.2"/>
    <row r="17834" s="166" customFormat="1" x14ac:dyDescent="0.2"/>
    <row r="17835" s="166" customFormat="1" x14ac:dyDescent="0.2"/>
    <row r="17836" s="166" customFormat="1" x14ac:dyDescent="0.2"/>
    <row r="17837" s="166" customFormat="1" x14ac:dyDescent="0.2"/>
    <row r="17838" s="166" customFormat="1" x14ac:dyDescent="0.2"/>
    <row r="17839" s="166" customFormat="1" x14ac:dyDescent="0.2"/>
    <row r="17840" s="166" customFormat="1" x14ac:dyDescent="0.2"/>
    <row r="17841" s="166" customFormat="1" x14ac:dyDescent="0.2"/>
    <row r="17842" s="166" customFormat="1" x14ac:dyDescent="0.2"/>
    <row r="17843" s="166" customFormat="1" x14ac:dyDescent="0.2"/>
    <row r="17844" s="166" customFormat="1" x14ac:dyDescent="0.2"/>
    <row r="17845" s="166" customFormat="1" x14ac:dyDescent="0.2"/>
    <row r="17846" s="166" customFormat="1" x14ac:dyDescent="0.2"/>
    <row r="17847" s="166" customFormat="1" x14ac:dyDescent="0.2"/>
    <row r="17848" s="166" customFormat="1" x14ac:dyDescent="0.2"/>
    <row r="17849" s="166" customFormat="1" x14ac:dyDescent="0.2"/>
    <row r="17850" s="166" customFormat="1" x14ac:dyDescent="0.2"/>
    <row r="17851" s="166" customFormat="1" x14ac:dyDescent="0.2"/>
    <row r="17852" s="166" customFormat="1" x14ac:dyDescent="0.2"/>
    <row r="17853" s="166" customFormat="1" x14ac:dyDescent="0.2"/>
    <row r="17854" s="166" customFormat="1" x14ac:dyDescent="0.2"/>
    <row r="17855" s="166" customFormat="1" x14ac:dyDescent="0.2"/>
    <row r="17856" s="166" customFormat="1" x14ac:dyDescent="0.2"/>
    <row r="17857" s="166" customFormat="1" x14ac:dyDescent="0.2"/>
    <row r="17858" s="166" customFormat="1" x14ac:dyDescent="0.2"/>
    <row r="17859" s="166" customFormat="1" x14ac:dyDescent="0.2"/>
    <row r="17860" s="166" customFormat="1" x14ac:dyDescent="0.2"/>
    <row r="17861" s="166" customFormat="1" x14ac:dyDescent="0.2"/>
    <row r="17862" s="166" customFormat="1" x14ac:dyDescent="0.2"/>
    <row r="17863" s="166" customFormat="1" x14ac:dyDescent="0.2"/>
    <row r="17864" s="166" customFormat="1" x14ac:dyDescent="0.2"/>
    <row r="17865" s="166" customFormat="1" x14ac:dyDescent="0.2"/>
    <row r="17866" s="166" customFormat="1" x14ac:dyDescent="0.2"/>
    <row r="17867" s="166" customFormat="1" x14ac:dyDescent="0.2"/>
    <row r="17868" s="166" customFormat="1" x14ac:dyDescent="0.2"/>
    <row r="17869" s="166" customFormat="1" x14ac:dyDescent="0.2"/>
    <row r="17870" s="166" customFormat="1" x14ac:dyDescent="0.2"/>
    <row r="17871" s="166" customFormat="1" x14ac:dyDescent="0.2"/>
    <row r="17872" s="166" customFormat="1" x14ac:dyDescent="0.2"/>
    <row r="17873" s="166" customFormat="1" x14ac:dyDescent="0.2"/>
    <row r="17874" s="166" customFormat="1" x14ac:dyDescent="0.2"/>
    <row r="17875" s="166" customFormat="1" x14ac:dyDescent="0.2"/>
    <row r="17876" s="166" customFormat="1" x14ac:dyDescent="0.2"/>
    <row r="17877" s="166" customFormat="1" x14ac:dyDescent="0.2"/>
    <row r="17878" s="166" customFormat="1" x14ac:dyDescent="0.2"/>
    <row r="17879" s="166" customFormat="1" x14ac:dyDescent="0.2"/>
    <row r="17880" s="166" customFormat="1" x14ac:dyDescent="0.2"/>
    <row r="17881" s="166" customFormat="1" x14ac:dyDescent="0.2"/>
    <row r="17882" s="166" customFormat="1" x14ac:dyDescent="0.2"/>
    <row r="17883" s="166" customFormat="1" x14ac:dyDescent="0.2"/>
    <row r="17884" s="166" customFormat="1" x14ac:dyDescent="0.2"/>
    <row r="17885" s="166" customFormat="1" x14ac:dyDescent="0.2"/>
    <row r="17886" s="166" customFormat="1" x14ac:dyDescent="0.2"/>
    <row r="17887" s="166" customFormat="1" x14ac:dyDescent="0.2"/>
    <row r="17888" s="166" customFormat="1" x14ac:dyDescent="0.2"/>
    <row r="17889" s="166" customFormat="1" x14ac:dyDescent="0.2"/>
    <row r="17890" s="166" customFormat="1" x14ac:dyDescent="0.2"/>
    <row r="17891" s="166" customFormat="1" x14ac:dyDescent="0.2"/>
    <row r="17892" s="166" customFormat="1" x14ac:dyDescent="0.2"/>
    <row r="17893" s="166" customFormat="1" x14ac:dyDescent="0.2"/>
    <row r="17894" s="166" customFormat="1" x14ac:dyDescent="0.2"/>
    <row r="17895" s="166" customFormat="1" x14ac:dyDescent="0.2"/>
    <row r="17896" s="166" customFormat="1" x14ac:dyDescent="0.2"/>
    <row r="17897" s="166" customFormat="1" x14ac:dyDescent="0.2"/>
    <row r="17898" s="166" customFormat="1" x14ac:dyDescent="0.2"/>
    <row r="17899" s="166" customFormat="1" x14ac:dyDescent="0.2"/>
    <row r="17900" s="166" customFormat="1" x14ac:dyDescent="0.2"/>
    <row r="17901" s="166" customFormat="1" x14ac:dyDescent="0.2"/>
    <row r="17902" s="166" customFormat="1" x14ac:dyDescent="0.2"/>
    <row r="17903" s="166" customFormat="1" x14ac:dyDescent="0.2"/>
    <row r="17904" s="166" customFormat="1" x14ac:dyDescent="0.2"/>
    <row r="17905" s="166" customFormat="1" x14ac:dyDescent="0.2"/>
    <row r="17906" s="166" customFormat="1" x14ac:dyDescent="0.2"/>
    <row r="17907" s="166" customFormat="1" x14ac:dyDescent="0.2"/>
    <row r="17908" s="166" customFormat="1" x14ac:dyDescent="0.2"/>
    <row r="17909" s="166" customFormat="1" x14ac:dyDescent="0.2"/>
    <row r="17910" s="166" customFormat="1" x14ac:dyDescent="0.2"/>
    <row r="17911" s="166" customFormat="1" x14ac:dyDescent="0.2"/>
    <row r="17912" s="166" customFormat="1" x14ac:dyDescent="0.2"/>
    <row r="17913" s="166" customFormat="1" x14ac:dyDescent="0.2"/>
    <row r="17914" s="166" customFormat="1" x14ac:dyDescent="0.2"/>
    <row r="17915" s="166" customFormat="1" x14ac:dyDescent="0.2"/>
    <row r="17916" s="166" customFormat="1" x14ac:dyDescent="0.2"/>
    <row r="17917" s="166" customFormat="1" x14ac:dyDescent="0.2"/>
    <row r="17918" s="166" customFormat="1" x14ac:dyDescent="0.2"/>
    <row r="17919" s="166" customFormat="1" x14ac:dyDescent="0.2"/>
    <row r="17920" s="166" customFormat="1" x14ac:dyDescent="0.2"/>
    <row r="17921" s="166" customFormat="1" x14ac:dyDescent="0.2"/>
    <row r="17922" s="166" customFormat="1" x14ac:dyDescent="0.2"/>
    <row r="17923" s="166" customFormat="1" x14ac:dyDescent="0.2"/>
    <row r="17924" s="166" customFormat="1" x14ac:dyDescent="0.2"/>
    <row r="17925" s="166" customFormat="1" x14ac:dyDescent="0.2"/>
    <row r="17926" s="166" customFormat="1" x14ac:dyDescent="0.2"/>
    <row r="17927" s="166" customFormat="1" x14ac:dyDescent="0.2"/>
    <row r="17928" s="166" customFormat="1" x14ac:dyDescent="0.2"/>
    <row r="17929" s="166" customFormat="1" x14ac:dyDescent="0.2"/>
    <row r="17930" s="166" customFormat="1" x14ac:dyDescent="0.2"/>
    <row r="17931" s="166" customFormat="1" x14ac:dyDescent="0.2"/>
    <row r="17932" s="166" customFormat="1" x14ac:dyDescent="0.2"/>
    <row r="17933" s="166" customFormat="1" x14ac:dyDescent="0.2"/>
    <row r="17934" s="166" customFormat="1" x14ac:dyDescent="0.2"/>
    <row r="17935" s="166" customFormat="1" x14ac:dyDescent="0.2"/>
    <row r="17936" s="166" customFormat="1" x14ac:dyDescent="0.2"/>
    <row r="17937" s="166" customFormat="1" x14ac:dyDescent="0.2"/>
    <row r="17938" s="166" customFormat="1" x14ac:dyDescent="0.2"/>
    <row r="17939" s="166" customFormat="1" x14ac:dyDescent="0.2"/>
    <row r="17940" s="166" customFormat="1" x14ac:dyDescent="0.2"/>
    <row r="17941" s="166" customFormat="1" x14ac:dyDescent="0.2"/>
    <row r="17942" s="166" customFormat="1" x14ac:dyDescent="0.2"/>
    <row r="17943" s="166" customFormat="1" x14ac:dyDescent="0.2"/>
    <row r="17944" s="166" customFormat="1" x14ac:dyDescent="0.2"/>
    <row r="17945" s="166" customFormat="1" x14ac:dyDescent="0.2"/>
    <row r="17946" s="166" customFormat="1" x14ac:dyDescent="0.2"/>
    <row r="17947" s="166" customFormat="1" x14ac:dyDescent="0.2"/>
    <row r="17948" s="166" customFormat="1" x14ac:dyDescent="0.2"/>
    <row r="17949" s="166" customFormat="1" x14ac:dyDescent="0.2"/>
    <row r="17950" s="166" customFormat="1" x14ac:dyDescent="0.2"/>
    <row r="17951" s="166" customFormat="1" x14ac:dyDescent="0.2"/>
    <row r="17952" s="166" customFormat="1" x14ac:dyDescent="0.2"/>
    <row r="17953" s="166" customFormat="1" x14ac:dyDescent="0.2"/>
    <row r="17954" s="166" customFormat="1" x14ac:dyDescent="0.2"/>
    <row r="17955" s="166" customFormat="1" x14ac:dyDescent="0.2"/>
    <row r="17956" s="166" customFormat="1" x14ac:dyDescent="0.2"/>
    <row r="17957" s="166" customFormat="1" x14ac:dyDescent="0.2"/>
    <row r="17958" s="166" customFormat="1" x14ac:dyDescent="0.2"/>
    <row r="17959" s="166" customFormat="1" x14ac:dyDescent="0.2"/>
    <row r="17960" s="166" customFormat="1" x14ac:dyDescent="0.2"/>
    <row r="17961" s="166" customFormat="1" x14ac:dyDescent="0.2"/>
    <row r="17962" s="166" customFormat="1" x14ac:dyDescent="0.2"/>
    <row r="17963" s="166" customFormat="1" x14ac:dyDescent="0.2"/>
    <row r="17964" s="166" customFormat="1" x14ac:dyDescent="0.2"/>
    <row r="17965" s="166" customFormat="1" x14ac:dyDescent="0.2"/>
    <row r="17966" s="166" customFormat="1" x14ac:dyDescent="0.2"/>
    <row r="17967" s="166" customFormat="1" x14ac:dyDescent="0.2"/>
    <row r="17968" s="166" customFormat="1" x14ac:dyDescent="0.2"/>
    <row r="17969" s="166" customFormat="1" x14ac:dyDescent="0.2"/>
    <row r="17970" s="166" customFormat="1" x14ac:dyDescent="0.2"/>
    <row r="17971" s="166" customFormat="1" x14ac:dyDescent="0.2"/>
    <row r="17972" s="166" customFormat="1" x14ac:dyDescent="0.2"/>
    <row r="17973" s="166" customFormat="1" x14ac:dyDescent="0.2"/>
    <row r="17974" s="166" customFormat="1" x14ac:dyDescent="0.2"/>
    <row r="17975" s="166" customFormat="1" x14ac:dyDescent="0.2"/>
    <row r="17976" s="166" customFormat="1" x14ac:dyDescent="0.2"/>
    <row r="17977" s="166" customFormat="1" x14ac:dyDescent="0.2"/>
    <row r="17978" s="166" customFormat="1" x14ac:dyDescent="0.2"/>
    <row r="17979" s="166" customFormat="1" x14ac:dyDescent="0.2"/>
    <row r="17980" s="166" customFormat="1" x14ac:dyDescent="0.2"/>
    <row r="17981" s="166" customFormat="1" x14ac:dyDescent="0.2"/>
    <row r="17982" s="166" customFormat="1" x14ac:dyDescent="0.2"/>
    <row r="17983" s="166" customFormat="1" x14ac:dyDescent="0.2"/>
    <row r="17984" s="166" customFormat="1" x14ac:dyDescent="0.2"/>
    <row r="17985" s="166" customFormat="1" x14ac:dyDescent="0.2"/>
    <row r="17986" s="166" customFormat="1" x14ac:dyDescent="0.2"/>
    <row r="17987" s="166" customFormat="1" x14ac:dyDescent="0.2"/>
    <row r="17988" s="166" customFormat="1" x14ac:dyDescent="0.2"/>
    <row r="17989" s="166" customFormat="1" x14ac:dyDescent="0.2"/>
    <row r="17990" s="166" customFormat="1" x14ac:dyDescent="0.2"/>
    <row r="17991" s="166" customFormat="1" x14ac:dyDescent="0.2"/>
    <row r="17992" s="166" customFormat="1" x14ac:dyDescent="0.2"/>
    <row r="17993" s="166" customFormat="1" x14ac:dyDescent="0.2"/>
    <row r="17994" s="166" customFormat="1" x14ac:dyDescent="0.2"/>
    <row r="17995" s="166" customFormat="1" x14ac:dyDescent="0.2"/>
    <row r="17996" s="166" customFormat="1" x14ac:dyDescent="0.2"/>
    <row r="17997" s="166" customFormat="1" x14ac:dyDescent="0.2"/>
    <row r="17998" s="166" customFormat="1" x14ac:dyDescent="0.2"/>
    <row r="17999" s="166" customFormat="1" x14ac:dyDescent="0.2"/>
    <row r="18000" s="166" customFormat="1" x14ac:dyDescent="0.2"/>
    <row r="18001" s="166" customFormat="1" x14ac:dyDescent="0.2"/>
    <row r="18002" s="166" customFormat="1" x14ac:dyDescent="0.2"/>
    <row r="18003" s="166" customFormat="1" x14ac:dyDescent="0.2"/>
    <row r="18004" s="166" customFormat="1" x14ac:dyDescent="0.2"/>
    <row r="18005" s="166" customFormat="1" x14ac:dyDescent="0.2"/>
    <row r="18006" s="166" customFormat="1" x14ac:dyDescent="0.2"/>
    <row r="18007" s="166" customFormat="1" x14ac:dyDescent="0.2"/>
    <row r="18008" s="166" customFormat="1" x14ac:dyDescent="0.2"/>
    <row r="18009" s="166" customFormat="1" x14ac:dyDescent="0.2"/>
    <row r="18010" s="166" customFormat="1" x14ac:dyDescent="0.2"/>
    <row r="18011" s="166" customFormat="1" x14ac:dyDescent="0.2"/>
    <row r="18012" s="166" customFormat="1" x14ac:dyDescent="0.2"/>
    <row r="18013" s="166" customFormat="1" x14ac:dyDescent="0.2"/>
    <row r="18014" s="166" customFormat="1" x14ac:dyDescent="0.2"/>
    <row r="18015" s="166" customFormat="1" x14ac:dyDescent="0.2"/>
    <row r="18016" s="166" customFormat="1" x14ac:dyDescent="0.2"/>
    <row r="18017" s="166" customFormat="1" x14ac:dyDescent="0.2"/>
    <row r="18018" s="166" customFormat="1" x14ac:dyDescent="0.2"/>
    <row r="18019" s="166" customFormat="1" x14ac:dyDescent="0.2"/>
    <row r="18020" s="166" customFormat="1" x14ac:dyDescent="0.2"/>
    <row r="18021" s="166" customFormat="1" x14ac:dyDescent="0.2"/>
    <row r="18022" s="166" customFormat="1" x14ac:dyDescent="0.2"/>
    <row r="18023" s="166" customFormat="1" x14ac:dyDescent="0.2"/>
    <row r="18024" s="166" customFormat="1" x14ac:dyDescent="0.2"/>
    <row r="18025" s="166" customFormat="1" x14ac:dyDescent="0.2"/>
    <row r="18026" s="166" customFormat="1" x14ac:dyDescent="0.2"/>
    <row r="18027" s="166" customFormat="1" x14ac:dyDescent="0.2"/>
    <row r="18028" s="166" customFormat="1" x14ac:dyDescent="0.2"/>
    <row r="18029" s="166" customFormat="1" x14ac:dyDescent="0.2"/>
    <row r="18030" s="166" customFormat="1" x14ac:dyDescent="0.2"/>
    <row r="18031" s="166" customFormat="1" x14ac:dyDescent="0.2"/>
    <row r="18032" s="166" customFormat="1" x14ac:dyDescent="0.2"/>
    <row r="18033" s="166" customFormat="1" x14ac:dyDescent="0.2"/>
    <row r="18034" s="166" customFormat="1" x14ac:dyDescent="0.2"/>
    <row r="18035" s="166" customFormat="1" x14ac:dyDescent="0.2"/>
    <row r="18036" s="166" customFormat="1" x14ac:dyDescent="0.2"/>
    <row r="18037" s="166" customFormat="1" x14ac:dyDescent="0.2"/>
    <row r="18038" s="166" customFormat="1" x14ac:dyDescent="0.2"/>
    <row r="18039" s="166" customFormat="1" x14ac:dyDescent="0.2"/>
    <row r="18040" s="166" customFormat="1" x14ac:dyDescent="0.2"/>
    <row r="18041" s="166" customFormat="1" x14ac:dyDescent="0.2"/>
    <row r="18042" s="166" customFormat="1" x14ac:dyDescent="0.2"/>
    <row r="18043" s="166" customFormat="1" x14ac:dyDescent="0.2"/>
    <row r="18044" s="166" customFormat="1" x14ac:dyDescent="0.2"/>
    <row r="18045" s="166" customFormat="1" x14ac:dyDescent="0.2"/>
    <row r="18046" s="166" customFormat="1" x14ac:dyDescent="0.2"/>
    <row r="18047" s="166" customFormat="1" x14ac:dyDescent="0.2"/>
    <row r="18048" s="166" customFormat="1" x14ac:dyDescent="0.2"/>
    <row r="18049" s="166" customFormat="1" x14ac:dyDescent="0.2"/>
    <row r="18050" s="166" customFormat="1" x14ac:dyDescent="0.2"/>
    <row r="18051" s="166" customFormat="1" x14ac:dyDescent="0.2"/>
    <row r="18052" s="166" customFormat="1" x14ac:dyDescent="0.2"/>
    <row r="18053" s="166" customFormat="1" x14ac:dyDescent="0.2"/>
    <row r="18054" s="166" customFormat="1" x14ac:dyDescent="0.2"/>
    <row r="18055" s="166" customFormat="1" x14ac:dyDescent="0.2"/>
    <row r="18056" s="166" customFormat="1" x14ac:dyDescent="0.2"/>
    <row r="18057" s="166" customFormat="1" x14ac:dyDescent="0.2"/>
    <row r="18058" s="166" customFormat="1" x14ac:dyDescent="0.2"/>
    <row r="18059" s="166" customFormat="1" x14ac:dyDescent="0.2"/>
    <row r="18060" s="166" customFormat="1" x14ac:dyDescent="0.2"/>
    <row r="18061" s="166" customFormat="1" x14ac:dyDescent="0.2"/>
    <row r="18062" s="166" customFormat="1" x14ac:dyDescent="0.2"/>
    <row r="18063" s="166" customFormat="1" x14ac:dyDescent="0.2"/>
    <row r="18064" s="166" customFormat="1" x14ac:dyDescent="0.2"/>
    <row r="18065" s="166" customFormat="1" x14ac:dyDescent="0.2"/>
    <row r="18066" s="166" customFormat="1" x14ac:dyDescent="0.2"/>
    <row r="18067" s="166" customFormat="1" x14ac:dyDescent="0.2"/>
    <row r="18068" s="166" customFormat="1" x14ac:dyDescent="0.2"/>
    <row r="18069" s="166" customFormat="1" x14ac:dyDescent="0.2"/>
    <row r="18070" s="166" customFormat="1" x14ac:dyDescent="0.2"/>
    <row r="18071" s="166" customFormat="1" x14ac:dyDescent="0.2"/>
    <row r="18072" s="166" customFormat="1" x14ac:dyDescent="0.2"/>
    <row r="18073" s="166" customFormat="1" x14ac:dyDescent="0.2"/>
    <row r="18074" s="166" customFormat="1" x14ac:dyDescent="0.2"/>
    <row r="18075" s="166" customFormat="1" x14ac:dyDescent="0.2"/>
    <row r="18076" s="166" customFormat="1" x14ac:dyDescent="0.2"/>
    <row r="18077" s="166" customFormat="1" x14ac:dyDescent="0.2"/>
    <row r="18078" s="166" customFormat="1" x14ac:dyDescent="0.2"/>
    <row r="18079" s="166" customFormat="1" x14ac:dyDescent="0.2"/>
    <row r="18080" s="166" customFormat="1" x14ac:dyDescent="0.2"/>
    <row r="18081" s="166" customFormat="1" x14ac:dyDescent="0.2"/>
    <row r="18082" s="166" customFormat="1" x14ac:dyDescent="0.2"/>
    <row r="18083" s="166" customFormat="1" x14ac:dyDescent="0.2"/>
    <row r="18084" s="166" customFormat="1" x14ac:dyDescent="0.2"/>
    <row r="18085" s="166" customFormat="1" x14ac:dyDescent="0.2"/>
    <row r="18086" s="166" customFormat="1" x14ac:dyDescent="0.2"/>
    <row r="18087" s="166" customFormat="1" x14ac:dyDescent="0.2"/>
    <row r="18088" s="166" customFormat="1" x14ac:dyDescent="0.2"/>
    <row r="18089" s="166" customFormat="1" x14ac:dyDescent="0.2"/>
    <row r="18090" s="166" customFormat="1" x14ac:dyDescent="0.2"/>
    <row r="18091" s="166" customFormat="1" x14ac:dyDescent="0.2"/>
    <row r="18092" s="166" customFormat="1" x14ac:dyDescent="0.2"/>
    <row r="18093" s="166" customFormat="1" x14ac:dyDescent="0.2"/>
    <row r="18094" s="166" customFormat="1" x14ac:dyDescent="0.2"/>
    <row r="18095" s="166" customFormat="1" x14ac:dyDescent="0.2"/>
    <row r="18096" s="166" customFormat="1" x14ac:dyDescent="0.2"/>
    <row r="18097" s="166" customFormat="1" x14ac:dyDescent="0.2"/>
    <row r="18098" s="166" customFormat="1" x14ac:dyDescent="0.2"/>
    <row r="18099" s="166" customFormat="1" x14ac:dyDescent="0.2"/>
    <row r="18100" s="166" customFormat="1" x14ac:dyDescent="0.2"/>
    <row r="18101" s="166" customFormat="1" x14ac:dyDescent="0.2"/>
    <row r="18102" s="166" customFormat="1" x14ac:dyDescent="0.2"/>
    <row r="18103" s="166" customFormat="1" x14ac:dyDescent="0.2"/>
    <row r="18104" s="166" customFormat="1" x14ac:dyDescent="0.2"/>
    <row r="18105" s="166" customFormat="1" x14ac:dyDescent="0.2"/>
    <row r="18106" s="166" customFormat="1" x14ac:dyDescent="0.2"/>
    <row r="18107" s="166" customFormat="1" x14ac:dyDescent="0.2"/>
    <row r="18108" s="166" customFormat="1" x14ac:dyDescent="0.2"/>
    <row r="18109" s="166" customFormat="1" x14ac:dyDescent="0.2"/>
    <row r="18110" s="166" customFormat="1" x14ac:dyDescent="0.2"/>
    <row r="18111" s="166" customFormat="1" x14ac:dyDescent="0.2"/>
    <row r="18112" s="166" customFormat="1" x14ac:dyDescent="0.2"/>
    <row r="18113" s="166" customFormat="1" x14ac:dyDescent="0.2"/>
    <row r="18114" s="166" customFormat="1" x14ac:dyDescent="0.2"/>
    <row r="18115" s="166" customFormat="1" x14ac:dyDescent="0.2"/>
    <row r="18116" s="166" customFormat="1" x14ac:dyDescent="0.2"/>
    <row r="18117" s="166" customFormat="1" x14ac:dyDescent="0.2"/>
    <row r="18118" s="166" customFormat="1" x14ac:dyDescent="0.2"/>
    <row r="18119" s="166" customFormat="1" x14ac:dyDescent="0.2"/>
    <row r="18120" s="166" customFormat="1" x14ac:dyDescent="0.2"/>
    <row r="18121" s="166" customFormat="1" x14ac:dyDescent="0.2"/>
    <row r="18122" s="166" customFormat="1" x14ac:dyDescent="0.2"/>
    <row r="18123" s="166" customFormat="1" x14ac:dyDescent="0.2"/>
    <row r="18124" s="166" customFormat="1" x14ac:dyDescent="0.2"/>
    <row r="18125" s="166" customFormat="1" x14ac:dyDescent="0.2"/>
    <row r="18126" s="166" customFormat="1" x14ac:dyDescent="0.2"/>
    <row r="18127" s="166" customFormat="1" x14ac:dyDescent="0.2"/>
    <row r="18128" s="166" customFormat="1" x14ac:dyDescent="0.2"/>
    <row r="18129" s="166" customFormat="1" x14ac:dyDescent="0.2"/>
    <row r="18130" s="166" customFormat="1" x14ac:dyDescent="0.2"/>
    <row r="18131" s="166" customFormat="1" x14ac:dyDescent="0.2"/>
    <row r="18132" s="166" customFormat="1" x14ac:dyDescent="0.2"/>
    <row r="18133" s="166" customFormat="1" x14ac:dyDescent="0.2"/>
    <row r="18134" s="166" customFormat="1" x14ac:dyDescent="0.2"/>
    <row r="18135" s="166" customFormat="1" x14ac:dyDescent="0.2"/>
    <row r="18136" s="166" customFormat="1" x14ac:dyDescent="0.2"/>
    <row r="18137" s="166" customFormat="1" x14ac:dyDescent="0.2"/>
    <row r="18138" s="166" customFormat="1" x14ac:dyDescent="0.2"/>
    <row r="18139" s="166" customFormat="1" x14ac:dyDescent="0.2"/>
    <row r="18140" s="166" customFormat="1" x14ac:dyDescent="0.2"/>
    <row r="18141" s="166" customFormat="1" x14ac:dyDescent="0.2"/>
    <row r="18142" s="166" customFormat="1" x14ac:dyDescent="0.2"/>
    <row r="18143" s="166" customFormat="1" x14ac:dyDescent="0.2"/>
    <row r="18144" s="166" customFormat="1" x14ac:dyDescent="0.2"/>
    <row r="18145" s="166" customFormat="1" x14ac:dyDescent="0.2"/>
    <row r="18146" s="166" customFormat="1" x14ac:dyDescent="0.2"/>
    <row r="18147" s="166" customFormat="1" x14ac:dyDescent="0.2"/>
    <row r="18148" s="166" customFormat="1" x14ac:dyDescent="0.2"/>
    <row r="18149" s="166" customFormat="1" x14ac:dyDescent="0.2"/>
    <row r="18150" s="166" customFormat="1" x14ac:dyDescent="0.2"/>
    <row r="18151" s="166" customFormat="1" x14ac:dyDescent="0.2"/>
    <row r="18152" s="166" customFormat="1" x14ac:dyDescent="0.2"/>
    <row r="18153" s="166" customFormat="1" x14ac:dyDescent="0.2"/>
    <row r="18154" s="166" customFormat="1" x14ac:dyDescent="0.2"/>
    <row r="18155" s="166" customFormat="1" x14ac:dyDescent="0.2"/>
    <row r="18156" s="166" customFormat="1" x14ac:dyDescent="0.2"/>
    <row r="18157" s="166" customFormat="1" x14ac:dyDescent="0.2"/>
    <row r="18158" s="166" customFormat="1" x14ac:dyDescent="0.2"/>
    <row r="18159" s="166" customFormat="1" x14ac:dyDescent="0.2"/>
    <row r="18160" s="166" customFormat="1" x14ac:dyDescent="0.2"/>
    <row r="18161" s="166" customFormat="1" x14ac:dyDescent="0.2"/>
    <row r="18162" s="166" customFormat="1" x14ac:dyDescent="0.2"/>
    <row r="18163" s="166" customFormat="1" x14ac:dyDescent="0.2"/>
    <row r="18164" s="166" customFormat="1" x14ac:dyDescent="0.2"/>
    <row r="18165" s="166" customFormat="1" x14ac:dyDescent="0.2"/>
    <row r="18166" s="166" customFormat="1" x14ac:dyDescent="0.2"/>
    <row r="18167" s="166" customFormat="1" x14ac:dyDescent="0.2"/>
    <row r="18168" s="166" customFormat="1" x14ac:dyDescent="0.2"/>
    <row r="18169" s="166" customFormat="1" x14ac:dyDescent="0.2"/>
    <row r="18170" s="166" customFormat="1" x14ac:dyDescent="0.2"/>
    <row r="18171" s="166" customFormat="1" x14ac:dyDescent="0.2"/>
    <row r="18172" s="166" customFormat="1" x14ac:dyDescent="0.2"/>
    <row r="18173" s="166" customFormat="1" x14ac:dyDescent="0.2"/>
    <row r="18174" s="166" customFormat="1" x14ac:dyDescent="0.2"/>
    <row r="18175" s="166" customFormat="1" x14ac:dyDescent="0.2"/>
    <row r="18176" s="166" customFormat="1" x14ac:dyDescent="0.2"/>
    <row r="18177" s="166" customFormat="1" x14ac:dyDescent="0.2"/>
    <row r="18178" s="166" customFormat="1" x14ac:dyDescent="0.2"/>
    <row r="18179" s="166" customFormat="1" x14ac:dyDescent="0.2"/>
    <row r="18180" s="166" customFormat="1" x14ac:dyDescent="0.2"/>
    <row r="18181" s="166" customFormat="1" x14ac:dyDescent="0.2"/>
    <row r="18182" s="166" customFormat="1" x14ac:dyDescent="0.2"/>
    <row r="18183" s="166" customFormat="1" x14ac:dyDescent="0.2"/>
    <row r="18184" s="166" customFormat="1" x14ac:dyDescent="0.2"/>
    <row r="18185" s="166" customFormat="1" x14ac:dyDescent="0.2"/>
    <row r="18186" s="166" customFormat="1" x14ac:dyDescent="0.2"/>
    <row r="18187" s="166" customFormat="1" x14ac:dyDescent="0.2"/>
    <row r="18188" s="166" customFormat="1" x14ac:dyDescent="0.2"/>
    <row r="18189" s="166" customFormat="1" x14ac:dyDescent="0.2"/>
    <row r="18190" s="166" customFormat="1" x14ac:dyDescent="0.2"/>
    <row r="18191" s="166" customFormat="1" x14ac:dyDescent="0.2"/>
    <row r="18192" s="166" customFormat="1" x14ac:dyDescent="0.2"/>
    <row r="18193" s="166" customFormat="1" x14ac:dyDescent="0.2"/>
    <row r="18194" s="166" customFormat="1" x14ac:dyDescent="0.2"/>
    <row r="18195" s="166" customFormat="1" x14ac:dyDescent="0.2"/>
    <row r="18196" s="166" customFormat="1" x14ac:dyDescent="0.2"/>
    <row r="18197" s="166" customFormat="1" x14ac:dyDescent="0.2"/>
    <row r="18198" s="166" customFormat="1" x14ac:dyDescent="0.2"/>
    <row r="18199" s="166" customFormat="1" x14ac:dyDescent="0.2"/>
    <row r="18200" s="166" customFormat="1" x14ac:dyDescent="0.2"/>
    <row r="18201" s="166" customFormat="1" x14ac:dyDescent="0.2"/>
    <row r="18202" s="166" customFormat="1" x14ac:dyDescent="0.2"/>
    <row r="18203" s="166" customFormat="1" x14ac:dyDescent="0.2"/>
    <row r="18204" s="166" customFormat="1" x14ac:dyDescent="0.2"/>
    <row r="18205" s="166" customFormat="1" x14ac:dyDescent="0.2"/>
    <row r="18206" s="166" customFormat="1" x14ac:dyDescent="0.2"/>
    <row r="18207" s="166" customFormat="1" x14ac:dyDescent="0.2"/>
    <row r="18208" s="166" customFormat="1" x14ac:dyDescent="0.2"/>
    <row r="18209" s="166" customFormat="1" x14ac:dyDescent="0.2"/>
    <row r="18210" s="166" customFormat="1" x14ac:dyDescent="0.2"/>
    <row r="18211" s="166" customFormat="1" x14ac:dyDescent="0.2"/>
    <row r="18212" s="166" customFormat="1" x14ac:dyDescent="0.2"/>
    <row r="18213" s="166" customFormat="1" x14ac:dyDescent="0.2"/>
    <row r="18214" s="166" customFormat="1" x14ac:dyDescent="0.2"/>
    <row r="18215" s="166" customFormat="1" x14ac:dyDescent="0.2"/>
    <row r="18216" s="166" customFormat="1" x14ac:dyDescent="0.2"/>
    <row r="18217" s="166" customFormat="1" x14ac:dyDescent="0.2"/>
    <row r="18218" s="166" customFormat="1" x14ac:dyDescent="0.2"/>
    <row r="18219" s="166" customFormat="1" x14ac:dyDescent="0.2"/>
    <row r="18220" s="166" customFormat="1" x14ac:dyDescent="0.2"/>
    <row r="18221" s="166" customFormat="1" x14ac:dyDescent="0.2"/>
    <row r="18222" s="166" customFormat="1" x14ac:dyDescent="0.2"/>
    <row r="18223" s="166" customFormat="1" x14ac:dyDescent="0.2"/>
    <row r="18224" s="166" customFormat="1" x14ac:dyDescent="0.2"/>
    <row r="18225" s="166" customFormat="1" x14ac:dyDescent="0.2"/>
    <row r="18226" s="166" customFormat="1" x14ac:dyDescent="0.2"/>
    <row r="18227" s="166" customFormat="1" x14ac:dyDescent="0.2"/>
    <row r="18228" s="166" customFormat="1" x14ac:dyDescent="0.2"/>
    <row r="18229" s="166" customFormat="1" x14ac:dyDescent="0.2"/>
    <row r="18230" s="166" customFormat="1" x14ac:dyDescent="0.2"/>
    <row r="18231" s="166" customFormat="1" x14ac:dyDescent="0.2"/>
    <row r="18232" s="166" customFormat="1" x14ac:dyDescent="0.2"/>
    <row r="18233" s="166" customFormat="1" x14ac:dyDescent="0.2"/>
    <row r="18234" s="166" customFormat="1" x14ac:dyDescent="0.2"/>
    <row r="18235" s="166" customFormat="1" x14ac:dyDescent="0.2"/>
    <row r="18236" s="166" customFormat="1" x14ac:dyDescent="0.2"/>
    <row r="18237" s="166" customFormat="1" x14ac:dyDescent="0.2"/>
    <row r="18238" s="166" customFormat="1" x14ac:dyDescent="0.2"/>
    <row r="18239" s="166" customFormat="1" x14ac:dyDescent="0.2"/>
    <row r="18240" s="166" customFormat="1" x14ac:dyDescent="0.2"/>
    <row r="18241" s="166" customFormat="1" x14ac:dyDescent="0.2"/>
    <row r="18242" s="166" customFormat="1" x14ac:dyDescent="0.2"/>
    <row r="18243" s="166" customFormat="1" x14ac:dyDescent="0.2"/>
    <row r="18244" s="166" customFormat="1" x14ac:dyDescent="0.2"/>
    <row r="18245" s="166" customFormat="1" x14ac:dyDescent="0.2"/>
    <row r="18246" s="166" customFormat="1" x14ac:dyDescent="0.2"/>
    <row r="18247" s="166" customFormat="1" x14ac:dyDescent="0.2"/>
    <row r="18248" s="166" customFormat="1" x14ac:dyDescent="0.2"/>
    <row r="18249" s="166" customFormat="1" x14ac:dyDescent="0.2"/>
    <row r="18250" s="166" customFormat="1" x14ac:dyDescent="0.2"/>
    <row r="18251" s="166" customFormat="1" x14ac:dyDescent="0.2"/>
    <row r="18252" s="166" customFormat="1" x14ac:dyDescent="0.2"/>
    <row r="18253" s="166" customFormat="1" x14ac:dyDescent="0.2"/>
    <row r="18254" s="166" customFormat="1" x14ac:dyDescent="0.2"/>
    <row r="18255" s="166" customFormat="1" x14ac:dyDescent="0.2"/>
    <row r="18256" s="166" customFormat="1" x14ac:dyDescent="0.2"/>
    <row r="18257" s="166" customFormat="1" x14ac:dyDescent="0.2"/>
    <row r="18258" s="166" customFormat="1" x14ac:dyDescent="0.2"/>
    <row r="18259" s="166" customFormat="1" x14ac:dyDescent="0.2"/>
    <row r="18260" s="166" customFormat="1" x14ac:dyDescent="0.2"/>
    <row r="18261" s="166" customFormat="1" x14ac:dyDescent="0.2"/>
    <row r="18262" s="166" customFormat="1" x14ac:dyDescent="0.2"/>
    <row r="18263" s="166" customFormat="1" x14ac:dyDescent="0.2"/>
    <row r="18264" s="166" customFormat="1" x14ac:dyDescent="0.2"/>
    <row r="18265" s="166" customFormat="1" x14ac:dyDescent="0.2"/>
    <row r="18266" s="166" customFormat="1" x14ac:dyDescent="0.2"/>
    <row r="18267" s="166" customFormat="1" x14ac:dyDescent="0.2"/>
    <row r="18268" s="166" customFormat="1" x14ac:dyDescent="0.2"/>
    <row r="18269" s="166" customFormat="1" x14ac:dyDescent="0.2"/>
    <row r="18270" s="166" customFormat="1" x14ac:dyDescent="0.2"/>
    <row r="18271" s="166" customFormat="1" x14ac:dyDescent="0.2"/>
    <row r="18272" s="166" customFormat="1" x14ac:dyDescent="0.2"/>
    <row r="18273" s="166" customFormat="1" x14ac:dyDescent="0.2"/>
    <row r="18274" s="166" customFormat="1" x14ac:dyDescent="0.2"/>
    <row r="18275" s="166" customFormat="1" x14ac:dyDescent="0.2"/>
    <row r="18276" s="166" customFormat="1" x14ac:dyDescent="0.2"/>
    <row r="18277" s="166" customFormat="1" x14ac:dyDescent="0.2"/>
    <row r="18278" s="166" customFormat="1" x14ac:dyDescent="0.2"/>
    <row r="18279" s="166" customFormat="1" x14ac:dyDescent="0.2"/>
    <row r="18280" s="166" customFormat="1" x14ac:dyDescent="0.2"/>
    <row r="18281" s="166" customFormat="1" x14ac:dyDescent="0.2"/>
    <row r="18282" s="166" customFormat="1" x14ac:dyDescent="0.2"/>
    <row r="18283" s="166" customFormat="1" x14ac:dyDescent="0.2"/>
    <row r="18284" s="166" customFormat="1" x14ac:dyDescent="0.2"/>
    <row r="18285" s="166" customFormat="1" x14ac:dyDescent="0.2"/>
    <row r="18286" s="166" customFormat="1" x14ac:dyDescent="0.2"/>
    <row r="18287" s="166" customFormat="1" x14ac:dyDescent="0.2"/>
    <row r="18288" s="166" customFormat="1" x14ac:dyDescent="0.2"/>
    <row r="18289" s="166" customFormat="1" x14ac:dyDescent="0.2"/>
    <row r="18290" s="166" customFormat="1" x14ac:dyDescent="0.2"/>
    <row r="18291" s="166" customFormat="1" x14ac:dyDescent="0.2"/>
    <row r="18292" s="166" customFormat="1" x14ac:dyDescent="0.2"/>
    <row r="18293" s="166" customFormat="1" x14ac:dyDescent="0.2"/>
    <row r="18294" s="166" customFormat="1" x14ac:dyDescent="0.2"/>
    <row r="18295" s="166" customFormat="1" x14ac:dyDescent="0.2"/>
    <row r="18296" s="166" customFormat="1" x14ac:dyDescent="0.2"/>
    <row r="18297" s="166" customFormat="1" x14ac:dyDescent="0.2"/>
    <row r="18298" s="166" customFormat="1" x14ac:dyDescent="0.2"/>
    <row r="18299" s="166" customFormat="1" x14ac:dyDescent="0.2"/>
    <row r="18300" s="166" customFormat="1" x14ac:dyDescent="0.2"/>
    <row r="18301" s="166" customFormat="1" x14ac:dyDescent="0.2"/>
    <row r="18302" s="166" customFormat="1" x14ac:dyDescent="0.2"/>
    <row r="18303" s="166" customFormat="1" x14ac:dyDescent="0.2"/>
    <row r="18304" s="166" customFormat="1" x14ac:dyDescent="0.2"/>
    <row r="18305" s="166" customFormat="1" x14ac:dyDescent="0.2"/>
    <row r="18306" s="166" customFormat="1" x14ac:dyDescent="0.2"/>
    <row r="18307" s="166" customFormat="1" x14ac:dyDescent="0.2"/>
    <row r="18308" s="166" customFormat="1" x14ac:dyDescent="0.2"/>
    <row r="18309" s="166" customFormat="1" x14ac:dyDescent="0.2"/>
    <row r="18310" s="166" customFormat="1" x14ac:dyDescent="0.2"/>
    <row r="18311" s="166" customFormat="1" x14ac:dyDescent="0.2"/>
    <row r="18312" s="166" customFormat="1" x14ac:dyDescent="0.2"/>
    <row r="18313" s="166" customFormat="1" x14ac:dyDescent="0.2"/>
    <row r="18314" s="166" customFormat="1" x14ac:dyDescent="0.2"/>
    <row r="18315" s="166" customFormat="1" x14ac:dyDescent="0.2"/>
    <row r="18316" s="166" customFormat="1" x14ac:dyDescent="0.2"/>
    <row r="18317" s="166" customFormat="1" x14ac:dyDescent="0.2"/>
    <row r="18318" s="166" customFormat="1" x14ac:dyDescent="0.2"/>
    <row r="18319" s="166" customFormat="1" x14ac:dyDescent="0.2"/>
    <row r="18320" s="166" customFormat="1" x14ac:dyDescent="0.2"/>
    <row r="18321" s="166" customFormat="1" x14ac:dyDescent="0.2"/>
    <row r="18322" s="166" customFormat="1" x14ac:dyDescent="0.2"/>
    <row r="18323" s="166" customFormat="1" x14ac:dyDescent="0.2"/>
    <row r="18324" s="166" customFormat="1" x14ac:dyDescent="0.2"/>
    <row r="18325" s="166" customFormat="1" x14ac:dyDescent="0.2"/>
    <row r="18326" s="166" customFormat="1" x14ac:dyDescent="0.2"/>
    <row r="18327" s="166" customFormat="1" x14ac:dyDescent="0.2"/>
    <row r="18328" s="166" customFormat="1" x14ac:dyDescent="0.2"/>
    <row r="18329" s="166" customFormat="1" x14ac:dyDescent="0.2"/>
    <row r="18330" s="166" customFormat="1" x14ac:dyDescent="0.2"/>
    <row r="18331" s="166" customFormat="1" x14ac:dyDescent="0.2"/>
    <row r="18332" s="166" customFormat="1" x14ac:dyDescent="0.2"/>
    <row r="18333" s="166" customFormat="1" x14ac:dyDescent="0.2"/>
    <row r="18334" s="166" customFormat="1" x14ac:dyDescent="0.2"/>
    <row r="18335" s="166" customFormat="1" x14ac:dyDescent="0.2"/>
    <row r="18336" s="166" customFormat="1" x14ac:dyDescent="0.2"/>
    <row r="18337" s="166" customFormat="1" x14ac:dyDescent="0.2"/>
    <row r="18338" s="166" customFormat="1" x14ac:dyDescent="0.2"/>
    <row r="18339" s="166" customFormat="1" x14ac:dyDescent="0.2"/>
    <row r="18340" s="166" customFormat="1" x14ac:dyDescent="0.2"/>
    <row r="18341" s="166" customFormat="1" x14ac:dyDescent="0.2"/>
    <row r="18342" s="166" customFormat="1" x14ac:dyDescent="0.2"/>
    <row r="18343" s="166" customFormat="1" x14ac:dyDescent="0.2"/>
    <row r="18344" s="166" customFormat="1" x14ac:dyDescent="0.2"/>
    <row r="18345" s="166" customFormat="1" x14ac:dyDescent="0.2"/>
    <row r="18346" s="166" customFormat="1" x14ac:dyDescent="0.2"/>
    <row r="18347" s="166" customFormat="1" x14ac:dyDescent="0.2"/>
    <row r="18348" s="166" customFormat="1" x14ac:dyDescent="0.2"/>
    <row r="18349" s="166" customFormat="1" x14ac:dyDescent="0.2"/>
    <row r="18350" s="166" customFormat="1" x14ac:dyDescent="0.2"/>
    <row r="18351" s="166" customFormat="1" x14ac:dyDescent="0.2"/>
    <row r="18352" s="166" customFormat="1" x14ac:dyDescent="0.2"/>
    <row r="18353" s="166" customFormat="1" x14ac:dyDescent="0.2"/>
    <row r="18354" s="166" customFormat="1" x14ac:dyDescent="0.2"/>
    <row r="18355" s="166" customFormat="1" x14ac:dyDescent="0.2"/>
    <row r="18356" s="166" customFormat="1" x14ac:dyDescent="0.2"/>
    <row r="18357" s="166" customFormat="1" x14ac:dyDescent="0.2"/>
    <row r="18358" s="166" customFormat="1" x14ac:dyDescent="0.2"/>
    <row r="18359" s="166" customFormat="1" x14ac:dyDescent="0.2"/>
    <row r="18360" s="166" customFormat="1" x14ac:dyDescent="0.2"/>
    <row r="18361" s="166" customFormat="1" x14ac:dyDescent="0.2"/>
    <row r="18362" s="166" customFormat="1" x14ac:dyDescent="0.2"/>
    <row r="18363" s="166" customFormat="1" x14ac:dyDescent="0.2"/>
    <row r="18364" s="166" customFormat="1" x14ac:dyDescent="0.2"/>
    <row r="18365" s="166" customFormat="1" x14ac:dyDescent="0.2"/>
    <row r="18366" s="166" customFormat="1" x14ac:dyDescent="0.2"/>
    <row r="18367" s="166" customFormat="1" x14ac:dyDescent="0.2"/>
    <row r="18368" s="166" customFormat="1" x14ac:dyDescent="0.2"/>
    <row r="18369" s="166" customFormat="1" x14ac:dyDescent="0.2"/>
    <row r="18370" s="166" customFormat="1" x14ac:dyDescent="0.2"/>
    <row r="18371" s="166" customFormat="1" x14ac:dyDescent="0.2"/>
    <row r="18372" s="166" customFormat="1" x14ac:dyDescent="0.2"/>
    <row r="18373" s="166" customFormat="1" x14ac:dyDescent="0.2"/>
    <row r="18374" s="166" customFormat="1" x14ac:dyDescent="0.2"/>
    <row r="18375" s="166" customFormat="1" x14ac:dyDescent="0.2"/>
    <row r="18376" s="166" customFormat="1" x14ac:dyDescent="0.2"/>
    <row r="18377" s="166" customFormat="1" x14ac:dyDescent="0.2"/>
    <row r="18378" s="166" customFormat="1" x14ac:dyDescent="0.2"/>
    <row r="18379" s="166" customFormat="1" x14ac:dyDescent="0.2"/>
    <row r="18380" s="166" customFormat="1" x14ac:dyDescent="0.2"/>
    <row r="18381" s="166" customFormat="1" x14ac:dyDescent="0.2"/>
    <row r="18382" s="166" customFormat="1" x14ac:dyDescent="0.2"/>
    <row r="18383" s="166" customFormat="1" x14ac:dyDescent="0.2"/>
    <row r="18384" s="166" customFormat="1" x14ac:dyDescent="0.2"/>
    <row r="18385" s="166" customFormat="1" x14ac:dyDescent="0.2"/>
    <row r="18386" s="166" customFormat="1" x14ac:dyDescent="0.2"/>
    <row r="18387" s="166" customFormat="1" x14ac:dyDescent="0.2"/>
    <row r="18388" s="166" customFormat="1" x14ac:dyDescent="0.2"/>
    <row r="18389" s="166" customFormat="1" x14ac:dyDescent="0.2"/>
    <row r="18390" s="166" customFormat="1" x14ac:dyDescent="0.2"/>
    <row r="18391" s="166" customFormat="1" x14ac:dyDescent="0.2"/>
    <row r="18392" s="166" customFormat="1" x14ac:dyDescent="0.2"/>
    <row r="18393" s="166" customFormat="1" x14ac:dyDescent="0.2"/>
    <row r="18394" s="166" customFormat="1" x14ac:dyDescent="0.2"/>
    <row r="18395" s="166" customFormat="1" x14ac:dyDescent="0.2"/>
    <row r="18396" s="166" customFormat="1" x14ac:dyDescent="0.2"/>
    <row r="18397" s="166" customFormat="1" x14ac:dyDescent="0.2"/>
    <row r="18398" s="166" customFormat="1" x14ac:dyDescent="0.2"/>
    <row r="18399" s="166" customFormat="1" x14ac:dyDescent="0.2"/>
    <row r="18400" s="166" customFormat="1" x14ac:dyDescent="0.2"/>
    <row r="18401" s="166" customFormat="1" x14ac:dyDescent="0.2"/>
    <row r="18402" s="166" customFormat="1" x14ac:dyDescent="0.2"/>
    <row r="18403" s="166" customFormat="1" x14ac:dyDescent="0.2"/>
    <row r="18404" s="166" customFormat="1" x14ac:dyDescent="0.2"/>
    <row r="18405" s="166" customFormat="1" x14ac:dyDescent="0.2"/>
    <row r="18406" s="166" customFormat="1" x14ac:dyDescent="0.2"/>
    <row r="18407" s="166" customFormat="1" x14ac:dyDescent="0.2"/>
    <row r="18408" s="166" customFormat="1" x14ac:dyDescent="0.2"/>
    <row r="18409" s="166" customFormat="1" x14ac:dyDescent="0.2"/>
    <row r="18410" s="166" customFormat="1" x14ac:dyDescent="0.2"/>
    <row r="18411" s="166" customFormat="1" x14ac:dyDescent="0.2"/>
    <row r="18412" s="166" customFormat="1" x14ac:dyDescent="0.2"/>
    <row r="18413" s="166" customFormat="1" x14ac:dyDescent="0.2"/>
    <row r="18414" s="166" customFormat="1" x14ac:dyDescent="0.2"/>
    <row r="18415" s="166" customFormat="1" x14ac:dyDescent="0.2"/>
    <row r="18416" s="166" customFormat="1" x14ac:dyDescent="0.2"/>
    <row r="18417" s="166" customFormat="1" x14ac:dyDescent="0.2"/>
    <row r="18418" s="166" customFormat="1" x14ac:dyDescent="0.2"/>
    <row r="18419" s="166" customFormat="1" x14ac:dyDescent="0.2"/>
    <row r="18420" s="166" customFormat="1" x14ac:dyDescent="0.2"/>
    <row r="18421" s="166" customFormat="1" x14ac:dyDescent="0.2"/>
    <row r="18422" s="166" customFormat="1" x14ac:dyDescent="0.2"/>
    <row r="18423" s="166" customFormat="1" x14ac:dyDescent="0.2"/>
    <row r="18424" s="166" customFormat="1" x14ac:dyDescent="0.2"/>
    <row r="18425" s="166" customFormat="1" x14ac:dyDescent="0.2"/>
    <row r="18426" s="166" customFormat="1" x14ac:dyDescent="0.2"/>
    <row r="18427" s="166" customFormat="1" x14ac:dyDescent="0.2"/>
    <row r="18428" s="166" customFormat="1" x14ac:dyDescent="0.2"/>
    <row r="18429" s="166" customFormat="1" x14ac:dyDescent="0.2"/>
    <row r="18430" s="166" customFormat="1" x14ac:dyDescent="0.2"/>
    <row r="18431" s="166" customFormat="1" x14ac:dyDescent="0.2"/>
    <row r="18432" s="166" customFormat="1" x14ac:dyDescent="0.2"/>
    <row r="18433" s="166" customFormat="1" x14ac:dyDescent="0.2"/>
    <row r="18434" s="166" customFormat="1" x14ac:dyDescent="0.2"/>
    <row r="18435" s="166" customFormat="1" x14ac:dyDescent="0.2"/>
    <row r="18436" s="166" customFormat="1" x14ac:dyDescent="0.2"/>
    <row r="18437" s="166" customFormat="1" x14ac:dyDescent="0.2"/>
    <row r="18438" s="166" customFormat="1" x14ac:dyDescent="0.2"/>
    <row r="18439" s="166" customFormat="1" x14ac:dyDescent="0.2"/>
    <row r="18440" s="166" customFormat="1" x14ac:dyDescent="0.2"/>
    <row r="18441" s="166" customFormat="1" x14ac:dyDescent="0.2"/>
    <row r="18442" s="166" customFormat="1" x14ac:dyDescent="0.2"/>
    <row r="18443" s="166" customFormat="1" x14ac:dyDescent="0.2"/>
    <row r="18444" s="166" customFormat="1" x14ac:dyDescent="0.2"/>
    <row r="18445" s="166" customFormat="1" x14ac:dyDescent="0.2"/>
    <row r="18446" s="166" customFormat="1" x14ac:dyDescent="0.2"/>
    <row r="18447" s="166" customFormat="1" x14ac:dyDescent="0.2"/>
    <row r="18448" s="166" customFormat="1" x14ac:dyDescent="0.2"/>
    <row r="18449" s="166" customFormat="1" x14ac:dyDescent="0.2"/>
    <row r="18450" s="166" customFormat="1" x14ac:dyDescent="0.2"/>
    <row r="18451" s="166" customFormat="1" x14ac:dyDescent="0.2"/>
    <row r="18452" s="166" customFormat="1" x14ac:dyDescent="0.2"/>
    <row r="18453" s="166" customFormat="1" x14ac:dyDescent="0.2"/>
    <row r="18454" s="166" customFormat="1" x14ac:dyDescent="0.2"/>
    <row r="18455" s="166" customFormat="1" x14ac:dyDescent="0.2"/>
    <row r="18456" s="166" customFormat="1" x14ac:dyDescent="0.2"/>
    <row r="18457" s="166" customFormat="1" x14ac:dyDescent="0.2"/>
    <row r="18458" s="166" customFormat="1" x14ac:dyDescent="0.2"/>
    <row r="18459" s="166" customFormat="1" x14ac:dyDescent="0.2"/>
    <row r="18460" s="166" customFormat="1" x14ac:dyDescent="0.2"/>
    <row r="18461" s="166" customFormat="1" x14ac:dyDescent="0.2"/>
    <row r="18462" s="166" customFormat="1" x14ac:dyDescent="0.2"/>
    <row r="18463" s="166" customFormat="1" x14ac:dyDescent="0.2"/>
    <row r="18464" s="166" customFormat="1" x14ac:dyDescent="0.2"/>
    <row r="18465" s="166" customFormat="1" x14ac:dyDescent="0.2"/>
    <row r="18466" s="166" customFormat="1" x14ac:dyDescent="0.2"/>
    <row r="18467" s="166" customFormat="1" x14ac:dyDescent="0.2"/>
    <row r="18468" s="166" customFormat="1" x14ac:dyDescent="0.2"/>
    <row r="18469" s="166" customFormat="1" x14ac:dyDescent="0.2"/>
    <row r="18470" s="166" customFormat="1" x14ac:dyDescent="0.2"/>
    <row r="18471" s="166" customFormat="1" x14ac:dyDescent="0.2"/>
    <row r="18472" s="166" customFormat="1" x14ac:dyDescent="0.2"/>
    <row r="18473" s="166" customFormat="1" x14ac:dyDescent="0.2"/>
    <row r="18474" s="166" customFormat="1" x14ac:dyDescent="0.2"/>
    <row r="18475" s="166" customFormat="1" x14ac:dyDescent="0.2"/>
    <row r="18476" s="166" customFormat="1" x14ac:dyDescent="0.2"/>
    <row r="18477" s="166" customFormat="1" x14ac:dyDescent="0.2"/>
    <row r="18478" s="166" customFormat="1" x14ac:dyDescent="0.2"/>
    <row r="18479" s="166" customFormat="1" x14ac:dyDescent="0.2"/>
    <row r="18480" s="166" customFormat="1" x14ac:dyDescent="0.2"/>
    <row r="18481" s="166" customFormat="1" x14ac:dyDescent="0.2"/>
    <row r="18482" s="166" customFormat="1" x14ac:dyDescent="0.2"/>
    <row r="18483" s="166" customFormat="1" x14ac:dyDescent="0.2"/>
    <row r="18484" s="166" customFormat="1" x14ac:dyDescent="0.2"/>
    <row r="18485" s="166" customFormat="1" x14ac:dyDescent="0.2"/>
    <row r="18486" s="166" customFormat="1" x14ac:dyDescent="0.2"/>
    <row r="18487" s="166" customFormat="1" x14ac:dyDescent="0.2"/>
    <row r="18488" s="166" customFormat="1" x14ac:dyDescent="0.2"/>
    <row r="18489" s="166" customFormat="1" x14ac:dyDescent="0.2"/>
    <row r="18490" s="166" customFormat="1" x14ac:dyDescent="0.2"/>
    <row r="18491" s="166" customFormat="1" x14ac:dyDescent="0.2"/>
    <row r="18492" s="166" customFormat="1" x14ac:dyDescent="0.2"/>
    <row r="18493" s="166" customFormat="1" x14ac:dyDescent="0.2"/>
    <row r="18494" s="166" customFormat="1" x14ac:dyDescent="0.2"/>
    <row r="18495" s="166" customFormat="1" x14ac:dyDescent="0.2"/>
    <row r="18496" s="166" customFormat="1" x14ac:dyDescent="0.2"/>
    <row r="18497" s="166" customFormat="1" x14ac:dyDescent="0.2"/>
    <row r="18498" s="166" customFormat="1" x14ac:dyDescent="0.2"/>
    <row r="18499" s="166" customFormat="1" x14ac:dyDescent="0.2"/>
    <row r="18500" s="166" customFormat="1" x14ac:dyDescent="0.2"/>
    <row r="18501" s="166" customFormat="1" x14ac:dyDescent="0.2"/>
    <row r="18502" s="166" customFormat="1" x14ac:dyDescent="0.2"/>
    <row r="18503" s="166" customFormat="1" x14ac:dyDescent="0.2"/>
    <row r="18504" s="166" customFormat="1" x14ac:dyDescent="0.2"/>
    <row r="18505" s="166" customFormat="1" x14ac:dyDescent="0.2"/>
    <row r="18506" s="166" customFormat="1" x14ac:dyDescent="0.2"/>
    <row r="18507" s="166" customFormat="1" x14ac:dyDescent="0.2"/>
    <row r="18508" s="166" customFormat="1" x14ac:dyDescent="0.2"/>
    <row r="18509" s="166" customFormat="1" x14ac:dyDescent="0.2"/>
    <row r="18510" s="166" customFormat="1" x14ac:dyDescent="0.2"/>
    <row r="18511" s="166" customFormat="1" x14ac:dyDescent="0.2"/>
    <row r="18512" s="166" customFormat="1" x14ac:dyDescent="0.2"/>
    <row r="18513" s="166" customFormat="1" x14ac:dyDescent="0.2"/>
    <row r="18514" s="166" customFormat="1" x14ac:dyDescent="0.2"/>
    <row r="18515" s="166" customFormat="1" x14ac:dyDescent="0.2"/>
    <row r="18516" s="166" customFormat="1" x14ac:dyDescent="0.2"/>
    <row r="18517" s="166" customFormat="1" x14ac:dyDescent="0.2"/>
    <row r="18518" s="166" customFormat="1" x14ac:dyDescent="0.2"/>
    <row r="18519" s="166" customFormat="1" x14ac:dyDescent="0.2"/>
    <row r="18520" s="166" customFormat="1" x14ac:dyDescent="0.2"/>
    <row r="18521" s="166" customFormat="1" x14ac:dyDescent="0.2"/>
    <row r="18522" s="166" customFormat="1" x14ac:dyDescent="0.2"/>
    <row r="18523" s="166" customFormat="1" x14ac:dyDescent="0.2"/>
    <row r="18524" s="166" customFormat="1" x14ac:dyDescent="0.2"/>
    <row r="18525" s="166" customFormat="1" x14ac:dyDescent="0.2"/>
    <row r="18526" s="166" customFormat="1" x14ac:dyDescent="0.2"/>
    <row r="18527" s="166" customFormat="1" x14ac:dyDescent="0.2"/>
    <row r="18528" s="166" customFormat="1" x14ac:dyDescent="0.2"/>
    <row r="18529" s="166" customFormat="1" x14ac:dyDescent="0.2"/>
    <row r="18530" s="166" customFormat="1" x14ac:dyDescent="0.2"/>
    <row r="18531" s="166" customFormat="1" x14ac:dyDescent="0.2"/>
    <row r="18532" s="166" customFormat="1" x14ac:dyDescent="0.2"/>
    <row r="18533" s="166" customFormat="1" x14ac:dyDescent="0.2"/>
    <row r="18534" s="166" customFormat="1" x14ac:dyDescent="0.2"/>
    <row r="18535" s="166" customFormat="1" x14ac:dyDescent="0.2"/>
    <row r="18536" s="166" customFormat="1" x14ac:dyDescent="0.2"/>
    <row r="18537" s="166" customFormat="1" x14ac:dyDescent="0.2"/>
    <row r="18538" s="166" customFormat="1" x14ac:dyDescent="0.2"/>
    <row r="18539" s="166" customFormat="1" x14ac:dyDescent="0.2"/>
    <row r="18540" s="166" customFormat="1" x14ac:dyDescent="0.2"/>
    <row r="18541" s="166" customFormat="1" x14ac:dyDescent="0.2"/>
    <row r="18542" s="166" customFormat="1" x14ac:dyDescent="0.2"/>
    <row r="18543" s="166" customFormat="1" x14ac:dyDescent="0.2"/>
    <row r="18544" s="166" customFormat="1" x14ac:dyDescent="0.2"/>
    <row r="18545" s="166" customFormat="1" x14ac:dyDescent="0.2"/>
    <row r="18546" s="166" customFormat="1" x14ac:dyDescent="0.2"/>
    <row r="18547" s="166" customFormat="1" x14ac:dyDescent="0.2"/>
    <row r="18548" s="166" customFormat="1" x14ac:dyDescent="0.2"/>
    <row r="18549" s="166" customFormat="1" x14ac:dyDescent="0.2"/>
    <row r="18550" s="166" customFormat="1" x14ac:dyDescent="0.2"/>
    <row r="18551" s="166" customFormat="1" x14ac:dyDescent="0.2"/>
    <row r="18552" s="166" customFormat="1" x14ac:dyDescent="0.2"/>
    <row r="18553" s="166" customFormat="1" x14ac:dyDescent="0.2"/>
    <row r="18554" s="166" customFormat="1" x14ac:dyDescent="0.2"/>
    <row r="18555" s="166" customFormat="1" x14ac:dyDescent="0.2"/>
    <row r="18556" s="166" customFormat="1" x14ac:dyDescent="0.2"/>
    <row r="18557" s="166" customFormat="1" x14ac:dyDescent="0.2"/>
    <row r="18558" s="166" customFormat="1" x14ac:dyDescent="0.2"/>
    <row r="18559" s="166" customFormat="1" x14ac:dyDescent="0.2"/>
    <row r="18560" s="166" customFormat="1" x14ac:dyDescent="0.2"/>
    <row r="18561" s="166" customFormat="1" x14ac:dyDescent="0.2"/>
    <row r="18562" s="166" customFormat="1" x14ac:dyDescent="0.2"/>
    <row r="18563" s="166" customFormat="1" x14ac:dyDescent="0.2"/>
    <row r="18564" s="166" customFormat="1" x14ac:dyDescent="0.2"/>
    <row r="18565" s="166" customFormat="1" x14ac:dyDescent="0.2"/>
    <row r="18566" s="166" customFormat="1" x14ac:dyDescent="0.2"/>
    <row r="18567" s="166" customFormat="1" x14ac:dyDescent="0.2"/>
    <row r="18568" s="166" customFormat="1" x14ac:dyDescent="0.2"/>
    <row r="18569" s="166" customFormat="1" x14ac:dyDescent="0.2"/>
    <row r="18570" s="166" customFormat="1" x14ac:dyDescent="0.2"/>
    <row r="18571" s="166" customFormat="1" x14ac:dyDescent="0.2"/>
    <row r="18572" s="166" customFormat="1" x14ac:dyDescent="0.2"/>
    <row r="18573" s="166" customFormat="1" x14ac:dyDescent="0.2"/>
    <row r="18574" s="166" customFormat="1" x14ac:dyDescent="0.2"/>
    <row r="18575" s="166" customFormat="1" x14ac:dyDescent="0.2"/>
    <row r="18576" s="166" customFormat="1" x14ac:dyDescent="0.2"/>
    <row r="18577" s="166" customFormat="1" x14ac:dyDescent="0.2"/>
    <row r="18578" s="166" customFormat="1" x14ac:dyDescent="0.2"/>
    <row r="18579" s="166" customFormat="1" x14ac:dyDescent="0.2"/>
    <row r="18580" s="166" customFormat="1" x14ac:dyDescent="0.2"/>
    <row r="18581" s="166" customFormat="1" x14ac:dyDescent="0.2"/>
    <row r="18582" s="166" customFormat="1" x14ac:dyDescent="0.2"/>
    <row r="18583" s="166" customFormat="1" x14ac:dyDescent="0.2"/>
    <row r="18584" s="166" customFormat="1" x14ac:dyDescent="0.2"/>
    <row r="18585" s="166" customFormat="1" x14ac:dyDescent="0.2"/>
    <row r="18586" s="166" customFormat="1" x14ac:dyDescent="0.2"/>
    <row r="18587" s="166" customFormat="1" x14ac:dyDescent="0.2"/>
    <row r="18588" s="166" customFormat="1" x14ac:dyDescent="0.2"/>
    <row r="18589" s="166" customFormat="1" x14ac:dyDescent="0.2"/>
    <row r="18590" s="166" customFormat="1" x14ac:dyDescent="0.2"/>
    <row r="18591" s="166" customFormat="1" x14ac:dyDescent="0.2"/>
    <row r="18592" s="166" customFormat="1" x14ac:dyDescent="0.2"/>
    <row r="18593" s="166" customFormat="1" x14ac:dyDescent="0.2"/>
    <row r="18594" s="166" customFormat="1" x14ac:dyDescent="0.2"/>
    <row r="18595" s="166" customFormat="1" x14ac:dyDescent="0.2"/>
    <row r="18596" s="166" customFormat="1" x14ac:dyDescent="0.2"/>
    <row r="18597" s="166" customFormat="1" x14ac:dyDescent="0.2"/>
    <row r="18598" s="166" customFormat="1" x14ac:dyDescent="0.2"/>
    <row r="18599" s="166" customFormat="1" x14ac:dyDescent="0.2"/>
    <row r="18600" s="166" customFormat="1" x14ac:dyDescent="0.2"/>
    <row r="18601" s="166" customFormat="1" x14ac:dyDescent="0.2"/>
    <row r="18602" s="166" customFormat="1" x14ac:dyDescent="0.2"/>
    <row r="18603" s="166" customFormat="1" x14ac:dyDescent="0.2"/>
    <row r="18604" s="166" customFormat="1" x14ac:dyDescent="0.2"/>
    <row r="18605" s="166" customFormat="1" x14ac:dyDescent="0.2"/>
    <row r="18606" s="166" customFormat="1" x14ac:dyDescent="0.2"/>
    <row r="18607" s="166" customFormat="1" x14ac:dyDescent="0.2"/>
    <row r="18608" s="166" customFormat="1" x14ac:dyDescent="0.2"/>
    <row r="18609" s="166" customFormat="1" x14ac:dyDescent="0.2"/>
    <row r="18610" s="166" customFormat="1" x14ac:dyDescent="0.2"/>
    <row r="18611" s="166" customFormat="1" x14ac:dyDescent="0.2"/>
    <row r="18612" s="166" customFormat="1" x14ac:dyDescent="0.2"/>
    <row r="18613" s="166" customFormat="1" x14ac:dyDescent="0.2"/>
    <row r="18614" s="166" customFormat="1" x14ac:dyDescent="0.2"/>
    <row r="18615" s="166" customFormat="1" x14ac:dyDescent="0.2"/>
    <row r="18616" s="166" customFormat="1" x14ac:dyDescent="0.2"/>
    <row r="18617" s="166" customFormat="1" x14ac:dyDescent="0.2"/>
    <row r="18618" s="166" customFormat="1" x14ac:dyDescent="0.2"/>
    <row r="18619" s="166" customFormat="1" x14ac:dyDescent="0.2"/>
    <row r="18620" s="166" customFormat="1" x14ac:dyDescent="0.2"/>
    <row r="18621" s="166" customFormat="1" x14ac:dyDescent="0.2"/>
    <row r="18622" s="166" customFormat="1" x14ac:dyDescent="0.2"/>
    <row r="18623" s="166" customFormat="1" x14ac:dyDescent="0.2"/>
    <row r="18624" s="166" customFormat="1" x14ac:dyDescent="0.2"/>
    <row r="18625" s="166" customFormat="1" x14ac:dyDescent="0.2"/>
    <row r="18626" s="166" customFormat="1" x14ac:dyDescent="0.2"/>
    <row r="18627" s="166" customFormat="1" x14ac:dyDescent="0.2"/>
    <row r="18628" s="166" customFormat="1" x14ac:dyDescent="0.2"/>
    <row r="18629" s="166" customFormat="1" x14ac:dyDescent="0.2"/>
    <row r="18630" s="166" customFormat="1" x14ac:dyDescent="0.2"/>
    <row r="18631" s="166" customFormat="1" x14ac:dyDescent="0.2"/>
    <row r="18632" s="166" customFormat="1" x14ac:dyDescent="0.2"/>
    <row r="18633" s="166" customFormat="1" x14ac:dyDescent="0.2"/>
    <row r="18634" s="166" customFormat="1" x14ac:dyDescent="0.2"/>
    <row r="18635" s="166" customFormat="1" x14ac:dyDescent="0.2"/>
    <row r="18636" s="166" customFormat="1" x14ac:dyDescent="0.2"/>
    <row r="18637" s="166" customFormat="1" x14ac:dyDescent="0.2"/>
    <row r="18638" s="166" customFormat="1" x14ac:dyDescent="0.2"/>
    <row r="18639" s="166" customFormat="1" x14ac:dyDescent="0.2"/>
    <row r="18640" s="166" customFormat="1" x14ac:dyDescent="0.2"/>
    <row r="18641" s="166" customFormat="1" x14ac:dyDescent="0.2"/>
    <row r="18642" s="166" customFormat="1" x14ac:dyDescent="0.2"/>
    <row r="18643" s="166" customFormat="1" x14ac:dyDescent="0.2"/>
    <row r="18644" s="166" customFormat="1" x14ac:dyDescent="0.2"/>
    <row r="18645" s="166" customFormat="1" x14ac:dyDescent="0.2"/>
    <row r="18646" s="166" customFormat="1" x14ac:dyDescent="0.2"/>
    <row r="18647" s="166" customFormat="1" x14ac:dyDescent="0.2"/>
    <row r="18648" s="166" customFormat="1" x14ac:dyDescent="0.2"/>
    <row r="18649" s="166" customFormat="1" x14ac:dyDescent="0.2"/>
    <row r="18650" s="166" customFormat="1" x14ac:dyDescent="0.2"/>
    <row r="18651" s="166" customFormat="1" x14ac:dyDescent="0.2"/>
    <row r="18652" s="166" customFormat="1" x14ac:dyDescent="0.2"/>
    <row r="18653" s="166" customFormat="1" x14ac:dyDescent="0.2"/>
    <row r="18654" s="166" customFormat="1" x14ac:dyDescent="0.2"/>
    <row r="18655" s="166" customFormat="1" x14ac:dyDescent="0.2"/>
    <row r="18656" s="166" customFormat="1" x14ac:dyDescent="0.2"/>
    <row r="18657" s="166" customFormat="1" x14ac:dyDescent="0.2"/>
    <row r="18658" s="166" customFormat="1" x14ac:dyDescent="0.2"/>
    <row r="18659" s="166" customFormat="1" x14ac:dyDescent="0.2"/>
    <row r="18660" s="166" customFormat="1" x14ac:dyDescent="0.2"/>
    <row r="18661" s="166" customFormat="1" x14ac:dyDescent="0.2"/>
    <row r="18662" s="166" customFormat="1" x14ac:dyDescent="0.2"/>
    <row r="18663" s="166" customFormat="1" x14ac:dyDescent="0.2"/>
    <row r="18664" s="166" customFormat="1" x14ac:dyDescent="0.2"/>
    <row r="18665" s="166" customFormat="1" x14ac:dyDescent="0.2"/>
    <row r="18666" s="166" customFormat="1" x14ac:dyDescent="0.2"/>
    <row r="18667" s="166" customFormat="1" x14ac:dyDescent="0.2"/>
    <row r="18668" s="166" customFormat="1" x14ac:dyDescent="0.2"/>
    <row r="18669" s="166" customFormat="1" x14ac:dyDescent="0.2"/>
    <row r="18670" s="166" customFormat="1" x14ac:dyDescent="0.2"/>
    <row r="18671" s="166" customFormat="1" x14ac:dyDescent="0.2"/>
    <row r="18672" s="166" customFormat="1" x14ac:dyDescent="0.2"/>
    <row r="18673" s="166" customFormat="1" x14ac:dyDescent="0.2"/>
    <row r="18674" s="166" customFormat="1" x14ac:dyDescent="0.2"/>
    <row r="18675" s="166" customFormat="1" x14ac:dyDescent="0.2"/>
    <row r="18676" s="166" customFormat="1" x14ac:dyDescent="0.2"/>
    <row r="18677" s="166" customFormat="1" x14ac:dyDescent="0.2"/>
    <row r="18678" s="166" customFormat="1" x14ac:dyDescent="0.2"/>
    <row r="18679" s="166" customFormat="1" x14ac:dyDescent="0.2"/>
    <row r="18680" s="166" customFormat="1" x14ac:dyDescent="0.2"/>
    <row r="18681" s="166" customFormat="1" x14ac:dyDescent="0.2"/>
    <row r="18682" s="166" customFormat="1" x14ac:dyDescent="0.2"/>
    <row r="18683" s="166" customFormat="1" x14ac:dyDescent="0.2"/>
    <row r="18684" s="166" customFormat="1" x14ac:dyDescent="0.2"/>
    <row r="18685" s="166" customFormat="1" x14ac:dyDescent="0.2"/>
    <row r="18686" s="166" customFormat="1" x14ac:dyDescent="0.2"/>
    <row r="18687" s="166" customFormat="1" x14ac:dyDescent="0.2"/>
    <row r="18688" s="166" customFormat="1" x14ac:dyDescent="0.2"/>
    <row r="18689" s="166" customFormat="1" x14ac:dyDescent="0.2"/>
    <row r="18690" s="166" customFormat="1" x14ac:dyDescent="0.2"/>
    <row r="18691" s="166" customFormat="1" x14ac:dyDescent="0.2"/>
    <row r="18692" s="166" customFormat="1" x14ac:dyDescent="0.2"/>
    <row r="18693" s="166" customFormat="1" x14ac:dyDescent="0.2"/>
    <row r="18694" s="166" customFormat="1" x14ac:dyDescent="0.2"/>
    <row r="18695" s="166" customFormat="1" x14ac:dyDescent="0.2"/>
    <row r="18696" s="166" customFormat="1" x14ac:dyDescent="0.2"/>
    <row r="18697" s="166" customFormat="1" x14ac:dyDescent="0.2"/>
    <row r="18698" s="166" customFormat="1" x14ac:dyDescent="0.2"/>
    <row r="18699" s="166" customFormat="1" x14ac:dyDescent="0.2"/>
    <row r="18700" s="166" customFormat="1" x14ac:dyDescent="0.2"/>
    <row r="18701" s="166" customFormat="1" x14ac:dyDescent="0.2"/>
    <row r="18702" s="166" customFormat="1" x14ac:dyDescent="0.2"/>
    <row r="18703" s="166" customFormat="1" x14ac:dyDescent="0.2"/>
    <row r="18704" s="166" customFormat="1" x14ac:dyDescent="0.2"/>
    <row r="18705" s="166" customFormat="1" x14ac:dyDescent="0.2"/>
    <row r="18706" s="166" customFormat="1" x14ac:dyDescent="0.2"/>
    <row r="18707" s="166" customFormat="1" x14ac:dyDescent="0.2"/>
    <row r="18708" s="166" customFormat="1" x14ac:dyDescent="0.2"/>
    <row r="18709" s="166" customFormat="1" x14ac:dyDescent="0.2"/>
    <row r="18710" s="166" customFormat="1" x14ac:dyDescent="0.2"/>
    <row r="18711" s="166" customFormat="1" x14ac:dyDescent="0.2"/>
    <row r="18712" s="166" customFormat="1" x14ac:dyDescent="0.2"/>
    <row r="18713" s="166" customFormat="1" x14ac:dyDescent="0.2"/>
    <row r="18714" s="166" customFormat="1" x14ac:dyDescent="0.2"/>
    <row r="18715" s="166" customFormat="1" x14ac:dyDescent="0.2"/>
    <row r="18716" s="166" customFormat="1" x14ac:dyDescent="0.2"/>
    <row r="18717" s="166" customFormat="1" x14ac:dyDescent="0.2"/>
    <row r="18718" s="166" customFormat="1" x14ac:dyDescent="0.2"/>
    <row r="18719" s="166" customFormat="1" x14ac:dyDescent="0.2"/>
    <row r="18720" s="166" customFormat="1" x14ac:dyDescent="0.2"/>
    <row r="18721" s="166" customFormat="1" x14ac:dyDescent="0.2"/>
    <row r="18722" s="166" customFormat="1" x14ac:dyDescent="0.2"/>
    <row r="18723" s="166" customFormat="1" x14ac:dyDescent="0.2"/>
    <row r="18724" s="166" customFormat="1" x14ac:dyDescent="0.2"/>
    <row r="18725" s="166" customFormat="1" x14ac:dyDescent="0.2"/>
    <row r="18726" s="166" customFormat="1" x14ac:dyDescent="0.2"/>
    <row r="18727" s="166" customFormat="1" x14ac:dyDescent="0.2"/>
    <row r="18728" s="166" customFormat="1" x14ac:dyDescent="0.2"/>
    <row r="18729" s="166" customFormat="1" x14ac:dyDescent="0.2"/>
    <row r="18730" s="166" customFormat="1" x14ac:dyDescent="0.2"/>
    <row r="18731" s="166" customFormat="1" x14ac:dyDescent="0.2"/>
    <row r="18732" s="166" customFormat="1" x14ac:dyDescent="0.2"/>
    <row r="18733" s="166" customFormat="1" x14ac:dyDescent="0.2"/>
    <row r="18734" s="166" customFormat="1" x14ac:dyDescent="0.2"/>
    <row r="18735" s="166" customFormat="1" x14ac:dyDescent="0.2"/>
    <row r="18736" s="166" customFormat="1" x14ac:dyDescent="0.2"/>
    <row r="18737" s="166" customFormat="1" x14ac:dyDescent="0.2"/>
    <row r="18738" s="166" customFormat="1" x14ac:dyDescent="0.2"/>
    <row r="18739" s="166" customFormat="1" x14ac:dyDescent="0.2"/>
    <row r="18740" s="166" customFormat="1" x14ac:dyDescent="0.2"/>
    <row r="18741" s="166" customFormat="1" x14ac:dyDescent="0.2"/>
    <row r="18742" s="166" customFormat="1" x14ac:dyDescent="0.2"/>
    <row r="18743" s="166" customFormat="1" x14ac:dyDescent="0.2"/>
    <row r="18744" s="166" customFormat="1" x14ac:dyDescent="0.2"/>
    <row r="18745" s="166" customFormat="1" x14ac:dyDescent="0.2"/>
    <row r="18746" s="166" customFormat="1" x14ac:dyDescent="0.2"/>
    <row r="18747" s="166" customFormat="1" x14ac:dyDescent="0.2"/>
    <row r="18748" s="166" customFormat="1" x14ac:dyDescent="0.2"/>
    <row r="18749" s="166" customFormat="1" x14ac:dyDescent="0.2"/>
    <row r="18750" s="166" customFormat="1" x14ac:dyDescent="0.2"/>
    <row r="18751" s="166" customFormat="1" x14ac:dyDescent="0.2"/>
    <row r="18752" s="166" customFormat="1" x14ac:dyDescent="0.2"/>
    <row r="18753" s="166" customFormat="1" x14ac:dyDescent="0.2"/>
    <row r="18754" s="166" customFormat="1" x14ac:dyDescent="0.2"/>
    <row r="18755" s="166" customFormat="1" x14ac:dyDescent="0.2"/>
    <row r="18756" s="166" customFormat="1" x14ac:dyDescent="0.2"/>
    <row r="18757" s="166" customFormat="1" x14ac:dyDescent="0.2"/>
    <row r="18758" s="166" customFormat="1" x14ac:dyDescent="0.2"/>
    <row r="18759" s="166" customFormat="1" x14ac:dyDescent="0.2"/>
    <row r="18760" s="166" customFormat="1" x14ac:dyDescent="0.2"/>
    <row r="18761" s="166" customFormat="1" x14ac:dyDescent="0.2"/>
    <row r="18762" s="166" customFormat="1" x14ac:dyDescent="0.2"/>
    <row r="18763" s="166" customFormat="1" x14ac:dyDescent="0.2"/>
    <row r="18764" s="166" customFormat="1" x14ac:dyDescent="0.2"/>
    <row r="18765" s="166" customFormat="1" x14ac:dyDescent="0.2"/>
    <row r="18766" s="166" customFormat="1" x14ac:dyDescent="0.2"/>
    <row r="18767" s="166" customFormat="1" x14ac:dyDescent="0.2"/>
    <row r="18768" s="166" customFormat="1" x14ac:dyDescent="0.2"/>
    <row r="18769" s="166" customFormat="1" x14ac:dyDescent="0.2"/>
    <row r="18770" s="166" customFormat="1" x14ac:dyDescent="0.2"/>
    <row r="18771" s="166" customFormat="1" x14ac:dyDescent="0.2"/>
    <row r="18772" s="166" customFormat="1" x14ac:dyDescent="0.2"/>
    <row r="18773" s="166" customFormat="1" x14ac:dyDescent="0.2"/>
    <row r="18774" s="166" customFormat="1" x14ac:dyDescent="0.2"/>
    <row r="18775" s="166" customFormat="1" x14ac:dyDescent="0.2"/>
    <row r="18776" s="166" customFormat="1" x14ac:dyDescent="0.2"/>
    <row r="18777" s="166" customFormat="1" x14ac:dyDescent="0.2"/>
    <row r="18778" s="166" customFormat="1" x14ac:dyDescent="0.2"/>
    <row r="18779" s="166" customFormat="1" x14ac:dyDescent="0.2"/>
    <row r="18780" s="166" customFormat="1" x14ac:dyDescent="0.2"/>
    <row r="18781" s="166" customFormat="1" x14ac:dyDescent="0.2"/>
    <row r="18782" s="166" customFormat="1" x14ac:dyDescent="0.2"/>
    <row r="18783" s="166" customFormat="1" x14ac:dyDescent="0.2"/>
    <row r="18784" s="166" customFormat="1" x14ac:dyDescent="0.2"/>
    <row r="18785" s="166" customFormat="1" x14ac:dyDescent="0.2"/>
    <row r="18786" s="166" customFormat="1" x14ac:dyDescent="0.2"/>
    <row r="18787" s="166" customFormat="1" x14ac:dyDescent="0.2"/>
    <row r="18788" s="166" customFormat="1" x14ac:dyDescent="0.2"/>
    <row r="18789" s="166" customFormat="1" x14ac:dyDescent="0.2"/>
    <row r="18790" s="166" customFormat="1" x14ac:dyDescent="0.2"/>
    <row r="18791" s="166" customFormat="1" x14ac:dyDescent="0.2"/>
    <row r="18792" s="166" customFormat="1" x14ac:dyDescent="0.2"/>
    <row r="18793" s="166" customFormat="1" x14ac:dyDescent="0.2"/>
    <row r="18794" s="166" customFormat="1" x14ac:dyDescent="0.2"/>
    <row r="18795" s="166" customFormat="1" x14ac:dyDescent="0.2"/>
    <row r="18796" s="166" customFormat="1" x14ac:dyDescent="0.2"/>
    <row r="18797" s="166" customFormat="1" x14ac:dyDescent="0.2"/>
    <row r="18798" s="166" customFormat="1" x14ac:dyDescent="0.2"/>
    <row r="18799" s="166" customFormat="1" x14ac:dyDescent="0.2"/>
    <row r="18800" s="166" customFormat="1" x14ac:dyDescent="0.2"/>
    <row r="18801" s="166" customFormat="1" x14ac:dyDescent="0.2"/>
    <row r="18802" s="166" customFormat="1" x14ac:dyDescent="0.2"/>
    <row r="18803" s="166" customFormat="1" x14ac:dyDescent="0.2"/>
    <row r="18804" s="166" customFormat="1" x14ac:dyDescent="0.2"/>
    <row r="18805" s="166" customFormat="1" x14ac:dyDescent="0.2"/>
    <row r="18806" s="166" customFormat="1" x14ac:dyDescent="0.2"/>
    <row r="18807" s="166" customFormat="1" x14ac:dyDescent="0.2"/>
    <row r="18808" s="166" customFormat="1" x14ac:dyDescent="0.2"/>
    <row r="18809" s="166" customFormat="1" x14ac:dyDescent="0.2"/>
    <row r="18810" s="166" customFormat="1" x14ac:dyDescent="0.2"/>
    <row r="18811" s="166" customFormat="1" x14ac:dyDescent="0.2"/>
    <row r="18812" s="166" customFormat="1" x14ac:dyDescent="0.2"/>
    <row r="18813" s="166" customFormat="1" x14ac:dyDescent="0.2"/>
    <row r="18814" s="166" customFormat="1" x14ac:dyDescent="0.2"/>
    <row r="18815" s="166" customFormat="1" x14ac:dyDescent="0.2"/>
    <row r="18816" s="166" customFormat="1" x14ac:dyDescent="0.2"/>
    <row r="18817" s="166" customFormat="1" x14ac:dyDescent="0.2"/>
    <row r="18818" s="166" customFormat="1" x14ac:dyDescent="0.2"/>
    <row r="18819" s="166" customFormat="1" x14ac:dyDescent="0.2"/>
    <row r="18820" s="166" customFormat="1" x14ac:dyDescent="0.2"/>
    <row r="18821" s="166" customFormat="1" x14ac:dyDescent="0.2"/>
    <row r="18822" s="166" customFormat="1" x14ac:dyDescent="0.2"/>
    <row r="18823" s="166" customFormat="1" x14ac:dyDescent="0.2"/>
    <row r="18824" s="166" customFormat="1" x14ac:dyDescent="0.2"/>
    <row r="18825" s="166" customFormat="1" x14ac:dyDescent="0.2"/>
    <row r="18826" s="166" customFormat="1" x14ac:dyDescent="0.2"/>
    <row r="18827" s="166" customFormat="1" x14ac:dyDescent="0.2"/>
    <row r="18828" s="166" customFormat="1" x14ac:dyDescent="0.2"/>
    <row r="18829" s="166" customFormat="1" x14ac:dyDescent="0.2"/>
    <row r="18830" s="166" customFormat="1" x14ac:dyDescent="0.2"/>
    <row r="18831" s="166" customFormat="1" x14ac:dyDescent="0.2"/>
    <row r="18832" s="166" customFormat="1" x14ac:dyDescent="0.2"/>
    <row r="18833" s="166" customFormat="1" x14ac:dyDescent="0.2"/>
    <row r="18834" s="166" customFormat="1" x14ac:dyDescent="0.2"/>
    <row r="18835" s="166" customFormat="1" x14ac:dyDescent="0.2"/>
    <row r="18836" s="166" customFormat="1" x14ac:dyDescent="0.2"/>
    <row r="18837" s="166" customFormat="1" x14ac:dyDescent="0.2"/>
    <row r="18838" s="166" customFormat="1" x14ac:dyDescent="0.2"/>
    <row r="18839" s="166" customFormat="1" x14ac:dyDescent="0.2"/>
    <row r="18840" s="166" customFormat="1" x14ac:dyDescent="0.2"/>
    <row r="18841" s="166" customFormat="1" x14ac:dyDescent="0.2"/>
    <row r="18842" s="166" customFormat="1" x14ac:dyDescent="0.2"/>
    <row r="18843" s="166" customFormat="1" x14ac:dyDescent="0.2"/>
    <row r="18844" s="166" customFormat="1" x14ac:dyDescent="0.2"/>
    <row r="18845" s="166" customFormat="1" x14ac:dyDescent="0.2"/>
    <row r="18846" s="166" customFormat="1" x14ac:dyDescent="0.2"/>
    <row r="18847" s="166" customFormat="1" x14ac:dyDescent="0.2"/>
    <row r="18848" s="166" customFormat="1" x14ac:dyDescent="0.2"/>
    <row r="18849" s="166" customFormat="1" x14ac:dyDescent="0.2"/>
    <row r="18850" s="166" customFormat="1" x14ac:dyDescent="0.2"/>
    <row r="18851" s="166" customFormat="1" x14ac:dyDescent="0.2"/>
    <row r="18852" s="166" customFormat="1" x14ac:dyDescent="0.2"/>
    <row r="18853" s="166" customFormat="1" x14ac:dyDescent="0.2"/>
    <row r="18854" s="166" customFormat="1" x14ac:dyDescent="0.2"/>
    <row r="18855" s="166" customFormat="1" x14ac:dyDescent="0.2"/>
    <row r="18856" s="166" customFormat="1" x14ac:dyDescent="0.2"/>
    <row r="18857" s="166" customFormat="1" x14ac:dyDescent="0.2"/>
    <row r="18858" s="166" customFormat="1" x14ac:dyDescent="0.2"/>
    <row r="18859" s="166" customFormat="1" x14ac:dyDescent="0.2"/>
    <row r="18860" s="166" customFormat="1" x14ac:dyDescent="0.2"/>
    <row r="18861" s="166" customFormat="1" x14ac:dyDescent="0.2"/>
    <row r="18862" s="166" customFormat="1" x14ac:dyDescent="0.2"/>
    <row r="18863" s="166" customFormat="1" x14ac:dyDescent="0.2"/>
    <row r="18864" s="166" customFormat="1" x14ac:dyDescent="0.2"/>
    <row r="18865" s="166" customFormat="1" x14ac:dyDescent="0.2"/>
    <row r="18866" s="166" customFormat="1" x14ac:dyDescent="0.2"/>
    <row r="18867" s="166" customFormat="1" x14ac:dyDescent="0.2"/>
    <row r="18868" s="166" customFormat="1" x14ac:dyDescent="0.2"/>
    <row r="18869" s="166" customFormat="1" x14ac:dyDescent="0.2"/>
    <row r="18870" s="166" customFormat="1" x14ac:dyDescent="0.2"/>
    <row r="18871" s="166" customFormat="1" x14ac:dyDescent="0.2"/>
    <row r="18872" s="166" customFormat="1" x14ac:dyDescent="0.2"/>
    <row r="18873" s="166" customFormat="1" x14ac:dyDescent="0.2"/>
    <row r="18874" s="166" customFormat="1" x14ac:dyDescent="0.2"/>
    <row r="18875" s="166" customFormat="1" x14ac:dyDescent="0.2"/>
    <row r="18876" s="166" customFormat="1" x14ac:dyDescent="0.2"/>
    <row r="18877" s="166" customFormat="1" x14ac:dyDescent="0.2"/>
    <row r="18878" s="166" customFormat="1" x14ac:dyDescent="0.2"/>
    <row r="18879" s="166" customFormat="1" x14ac:dyDescent="0.2"/>
    <row r="18880" s="166" customFormat="1" x14ac:dyDescent="0.2"/>
    <row r="18881" s="166" customFormat="1" x14ac:dyDescent="0.2"/>
    <row r="18882" s="166" customFormat="1" x14ac:dyDescent="0.2"/>
    <row r="18883" s="166" customFormat="1" x14ac:dyDescent="0.2"/>
    <row r="18884" s="166" customFormat="1" x14ac:dyDescent="0.2"/>
    <row r="18885" s="166" customFormat="1" x14ac:dyDescent="0.2"/>
    <row r="18886" s="166" customFormat="1" x14ac:dyDescent="0.2"/>
    <row r="18887" s="166" customFormat="1" x14ac:dyDescent="0.2"/>
    <row r="18888" s="166" customFormat="1" x14ac:dyDescent="0.2"/>
    <row r="18889" s="166" customFormat="1" x14ac:dyDescent="0.2"/>
    <row r="18890" s="166" customFormat="1" x14ac:dyDescent="0.2"/>
    <row r="18891" s="166" customFormat="1" x14ac:dyDescent="0.2"/>
    <row r="18892" s="166" customFormat="1" x14ac:dyDescent="0.2"/>
    <row r="18893" s="166" customFormat="1" x14ac:dyDescent="0.2"/>
    <row r="18894" s="166" customFormat="1" x14ac:dyDescent="0.2"/>
    <row r="18895" s="166" customFormat="1" x14ac:dyDescent="0.2"/>
    <row r="18896" s="166" customFormat="1" x14ac:dyDescent="0.2"/>
    <row r="18897" s="166" customFormat="1" x14ac:dyDescent="0.2"/>
    <row r="18898" s="166" customFormat="1" x14ac:dyDescent="0.2"/>
    <row r="18899" s="166" customFormat="1" x14ac:dyDescent="0.2"/>
    <row r="18900" s="166" customFormat="1" x14ac:dyDescent="0.2"/>
    <row r="18901" s="166" customFormat="1" x14ac:dyDescent="0.2"/>
    <row r="18902" s="166" customFormat="1" x14ac:dyDescent="0.2"/>
    <row r="18903" s="166" customFormat="1" x14ac:dyDescent="0.2"/>
    <row r="18904" s="166" customFormat="1" x14ac:dyDescent="0.2"/>
    <row r="18905" s="166" customFormat="1" x14ac:dyDescent="0.2"/>
    <row r="18906" s="166" customFormat="1" x14ac:dyDescent="0.2"/>
    <row r="18907" s="166" customFormat="1" x14ac:dyDescent="0.2"/>
    <row r="18908" s="166" customFormat="1" x14ac:dyDescent="0.2"/>
    <row r="18909" s="166" customFormat="1" x14ac:dyDescent="0.2"/>
    <row r="18910" s="166" customFormat="1" x14ac:dyDescent="0.2"/>
    <row r="18911" s="166" customFormat="1" x14ac:dyDescent="0.2"/>
    <row r="18912" s="166" customFormat="1" x14ac:dyDescent="0.2"/>
    <row r="18913" s="166" customFormat="1" x14ac:dyDescent="0.2"/>
    <row r="18914" s="166" customFormat="1" x14ac:dyDescent="0.2"/>
    <row r="18915" s="166" customFormat="1" x14ac:dyDescent="0.2"/>
    <row r="18916" s="166" customFormat="1" x14ac:dyDescent="0.2"/>
    <row r="18917" s="166" customFormat="1" x14ac:dyDescent="0.2"/>
    <row r="18918" s="166" customFormat="1" x14ac:dyDescent="0.2"/>
    <row r="18919" s="166" customFormat="1" x14ac:dyDescent="0.2"/>
    <row r="18920" s="166" customFormat="1" x14ac:dyDescent="0.2"/>
    <row r="18921" s="166" customFormat="1" x14ac:dyDescent="0.2"/>
    <row r="18922" s="166" customFormat="1" x14ac:dyDescent="0.2"/>
    <row r="18923" s="166" customFormat="1" x14ac:dyDescent="0.2"/>
    <row r="18924" s="166" customFormat="1" x14ac:dyDescent="0.2"/>
    <row r="18925" s="166" customFormat="1" x14ac:dyDescent="0.2"/>
    <row r="18926" s="166" customFormat="1" x14ac:dyDescent="0.2"/>
    <row r="18927" s="166" customFormat="1" x14ac:dyDescent="0.2"/>
    <row r="18928" s="166" customFormat="1" x14ac:dyDescent="0.2"/>
    <row r="18929" s="166" customFormat="1" x14ac:dyDescent="0.2"/>
    <row r="18930" s="166" customFormat="1" x14ac:dyDescent="0.2"/>
    <row r="18931" s="166" customFormat="1" x14ac:dyDescent="0.2"/>
    <row r="18932" s="166" customFormat="1" x14ac:dyDescent="0.2"/>
    <row r="18933" s="166" customFormat="1" x14ac:dyDescent="0.2"/>
    <row r="18934" s="166" customFormat="1" x14ac:dyDescent="0.2"/>
    <row r="18935" s="166" customFormat="1" x14ac:dyDescent="0.2"/>
    <row r="18936" s="166" customFormat="1" x14ac:dyDescent="0.2"/>
    <row r="18937" s="166" customFormat="1" x14ac:dyDescent="0.2"/>
    <row r="18938" s="166" customFormat="1" x14ac:dyDescent="0.2"/>
    <row r="18939" s="166" customFormat="1" x14ac:dyDescent="0.2"/>
    <row r="18940" s="166" customFormat="1" x14ac:dyDescent="0.2"/>
    <row r="18941" s="166" customFormat="1" x14ac:dyDescent="0.2"/>
    <row r="18942" s="166" customFormat="1" x14ac:dyDescent="0.2"/>
    <row r="18943" s="166" customFormat="1" x14ac:dyDescent="0.2"/>
    <row r="18944" s="166" customFormat="1" x14ac:dyDescent="0.2"/>
    <row r="18945" s="166" customFormat="1" x14ac:dyDescent="0.2"/>
    <row r="18946" s="166" customFormat="1" x14ac:dyDescent="0.2"/>
    <row r="18947" s="166" customFormat="1" x14ac:dyDescent="0.2"/>
    <row r="18948" s="166" customFormat="1" x14ac:dyDescent="0.2"/>
    <row r="18949" s="166" customFormat="1" x14ac:dyDescent="0.2"/>
    <row r="18950" s="166" customFormat="1" x14ac:dyDescent="0.2"/>
    <row r="18951" s="166" customFormat="1" x14ac:dyDescent="0.2"/>
    <row r="18952" s="166" customFormat="1" x14ac:dyDescent="0.2"/>
    <row r="18953" s="166" customFormat="1" x14ac:dyDescent="0.2"/>
    <row r="18954" s="166" customFormat="1" x14ac:dyDescent="0.2"/>
    <row r="18955" s="166" customFormat="1" x14ac:dyDescent="0.2"/>
    <row r="18956" s="166" customFormat="1" x14ac:dyDescent="0.2"/>
    <row r="18957" s="166" customFormat="1" x14ac:dyDescent="0.2"/>
    <row r="18958" s="166" customFormat="1" x14ac:dyDescent="0.2"/>
    <row r="18959" s="166" customFormat="1" x14ac:dyDescent="0.2"/>
    <row r="18960" s="166" customFormat="1" x14ac:dyDescent="0.2"/>
    <row r="18961" s="166" customFormat="1" x14ac:dyDescent="0.2"/>
    <row r="18962" s="166" customFormat="1" x14ac:dyDescent="0.2"/>
    <row r="18963" s="166" customFormat="1" x14ac:dyDescent="0.2"/>
    <row r="18964" s="166" customFormat="1" x14ac:dyDescent="0.2"/>
    <row r="18965" s="166" customFormat="1" x14ac:dyDescent="0.2"/>
    <row r="18966" s="166" customFormat="1" x14ac:dyDescent="0.2"/>
    <row r="18967" s="166" customFormat="1" x14ac:dyDescent="0.2"/>
    <row r="18968" s="166" customFormat="1" x14ac:dyDescent="0.2"/>
    <row r="18969" s="166" customFormat="1" x14ac:dyDescent="0.2"/>
    <row r="18970" s="166" customFormat="1" x14ac:dyDescent="0.2"/>
    <row r="18971" s="166" customFormat="1" x14ac:dyDescent="0.2"/>
    <row r="18972" s="166" customFormat="1" x14ac:dyDescent="0.2"/>
    <row r="18973" s="166" customFormat="1" x14ac:dyDescent="0.2"/>
    <row r="18974" s="166" customFormat="1" x14ac:dyDescent="0.2"/>
    <row r="18975" s="166" customFormat="1" x14ac:dyDescent="0.2"/>
    <row r="18976" s="166" customFormat="1" x14ac:dyDescent="0.2"/>
    <row r="18977" s="166" customFormat="1" x14ac:dyDescent="0.2"/>
    <row r="18978" s="166" customFormat="1" x14ac:dyDescent="0.2"/>
    <row r="18979" s="166" customFormat="1" x14ac:dyDescent="0.2"/>
    <row r="18980" s="166" customFormat="1" x14ac:dyDescent="0.2"/>
    <row r="18981" s="166" customFormat="1" x14ac:dyDescent="0.2"/>
    <row r="18982" s="166" customFormat="1" x14ac:dyDescent="0.2"/>
    <row r="18983" s="166" customFormat="1" x14ac:dyDescent="0.2"/>
    <row r="18984" s="166" customFormat="1" x14ac:dyDescent="0.2"/>
    <row r="18985" s="166" customFormat="1" x14ac:dyDescent="0.2"/>
    <row r="18986" s="166" customFormat="1" x14ac:dyDescent="0.2"/>
    <row r="18987" s="166" customFormat="1" x14ac:dyDescent="0.2"/>
    <row r="18988" s="166" customFormat="1" x14ac:dyDescent="0.2"/>
    <row r="18989" s="166" customFormat="1" x14ac:dyDescent="0.2"/>
    <row r="18990" s="166" customFormat="1" x14ac:dyDescent="0.2"/>
    <row r="18991" s="166" customFormat="1" x14ac:dyDescent="0.2"/>
    <row r="18992" s="166" customFormat="1" x14ac:dyDescent="0.2"/>
    <row r="18993" s="166" customFormat="1" x14ac:dyDescent="0.2"/>
    <row r="18994" s="166" customFormat="1" x14ac:dyDescent="0.2"/>
    <row r="18995" s="166" customFormat="1" x14ac:dyDescent="0.2"/>
    <row r="18996" s="166" customFormat="1" x14ac:dyDescent="0.2"/>
    <row r="18997" s="166" customFormat="1" x14ac:dyDescent="0.2"/>
    <row r="18998" s="166" customFormat="1" x14ac:dyDescent="0.2"/>
    <row r="18999" s="166" customFormat="1" x14ac:dyDescent="0.2"/>
    <row r="19000" s="166" customFormat="1" x14ac:dyDescent="0.2"/>
    <row r="19001" s="166" customFormat="1" x14ac:dyDescent="0.2"/>
    <row r="19002" s="166" customFormat="1" x14ac:dyDescent="0.2"/>
    <row r="19003" s="166" customFormat="1" x14ac:dyDescent="0.2"/>
    <row r="19004" s="166" customFormat="1" x14ac:dyDescent="0.2"/>
    <row r="19005" s="166" customFormat="1" x14ac:dyDescent="0.2"/>
    <row r="19006" s="166" customFormat="1" x14ac:dyDescent="0.2"/>
    <row r="19007" s="166" customFormat="1" x14ac:dyDescent="0.2"/>
    <row r="19008" s="166" customFormat="1" x14ac:dyDescent="0.2"/>
    <row r="19009" s="166" customFormat="1" x14ac:dyDescent="0.2"/>
    <row r="19010" s="166" customFormat="1" x14ac:dyDescent="0.2"/>
    <row r="19011" s="166" customFormat="1" x14ac:dyDescent="0.2"/>
    <row r="19012" s="166" customFormat="1" x14ac:dyDescent="0.2"/>
    <row r="19013" s="166" customFormat="1" x14ac:dyDescent="0.2"/>
    <row r="19014" s="166" customFormat="1" x14ac:dyDescent="0.2"/>
    <row r="19015" s="166" customFormat="1" x14ac:dyDescent="0.2"/>
    <row r="19016" s="166" customFormat="1" x14ac:dyDescent="0.2"/>
    <row r="19017" s="166" customFormat="1" x14ac:dyDescent="0.2"/>
    <row r="19018" s="166" customFormat="1" x14ac:dyDescent="0.2"/>
    <row r="19019" s="166" customFormat="1" x14ac:dyDescent="0.2"/>
    <row r="19020" s="166" customFormat="1" x14ac:dyDescent="0.2"/>
    <row r="19021" s="166" customFormat="1" x14ac:dyDescent="0.2"/>
    <row r="19022" s="166" customFormat="1" x14ac:dyDescent="0.2"/>
    <row r="19023" s="166" customFormat="1" x14ac:dyDescent="0.2"/>
    <row r="19024" s="166" customFormat="1" x14ac:dyDescent="0.2"/>
    <row r="19025" s="166" customFormat="1" x14ac:dyDescent="0.2"/>
    <row r="19026" s="166" customFormat="1" x14ac:dyDescent="0.2"/>
    <row r="19027" s="166" customFormat="1" x14ac:dyDescent="0.2"/>
    <row r="19028" s="166" customFormat="1" x14ac:dyDescent="0.2"/>
    <row r="19029" s="166" customFormat="1" x14ac:dyDescent="0.2"/>
    <row r="19030" s="166" customFormat="1" x14ac:dyDescent="0.2"/>
    <row r="19031" s="166" customFormat="1" x14ac:dyDescent="0.2"/>
    <row r="19032" s="166" customFormat="1" x14ac:dyDescent="0.2"/>
    <row r="19033" s="166" customFormat="1" x14ac:dyDescent="0.2"/>
    <row r="19034" s="166" customFormat="1" x14ac:dyDescent="0.2"/>
    <row r="19035" s="166" customFormat="1" x14ac:dyDescent="0.2"/>
    <row r="19036" s="166" customFormat="1" x14ac:dyDescent="0.2"/>
    <row r="19037" s="166" customFormat="1" x14ac:dyDescent="0.2"/>
    <row r="19038" s="166" customFormat="1" x14ac:dyDescent="0.2"/>
    <row r="19039" s="166" customFormat="1" x14ac:dyDescent="0.2"/>
    <row r="19040" s="166" customFormat="1" x14ac:dyDescent="0.2"/>
    <row r="19041" s="166" customFormat="1" x14ac:dyDescent="0.2"/>
    <row r="19042" s="166" customFormat="1" x14ac:dyDescent="0.2"/>
    <row r="19043" s="166" customFormat="1" x14ac:dyDescent="0.2"/>
    <row r="19044" s="166" customFormat="1" x14ac:dyDescent="0.2"/>
    <row r="19045" s="166" customFormat="1" x14ac:dyDescent="0.2"/>
    <row r="19046" s="166" customFormat="1" x14ac:dyDescent="0.2"/>
    <row r="19047" s="166" customFormat="1" x14ac:dyDescent="0.2"/>
    <row r="19048" s="166" customFormat="1" x14ac:dyDescent="0.2"/>
    <row r="19049" s="166" customFormat="1" x14ac:dyDescent="0.2"/>
    <row r="19050" s="166" customFormat="1" x14ac:dyDescent="0.2"/>
    <row r="19051" s="166" customFormat="1" x14ac:dyDescent="0.2"/>
    <row r="19052" s="166" customFormat="1" x14ac:dyDescent="0.2"/>
    <row r="19053" s="166" customFormat="1" x14ac:dyDescent="0.2"/>
    <row r="19054" s="166" customFormat="1" x14ac:dyDescent="0.2"/>
    <row r="19055" s="166" customFormat="1" x14ac:dyDescent="0.2"/>
    <row r="19056" s="166" customFormat="1" x14ac:dyDescent="0.2"/>
    <row r="19057" s="166" customFormat="1" x14ac:dyDescent="0.2"/>
    <row r="19058" s="166" customFormat="1" x14ac:dyDescent="0.2"/>
    <row r="19059" s="166" customFormat="1" x14ac:dyDescent="0.2"/>
    <row r="19060" s="166" customFormat="1" x14ac:dyDescent="0.2"/>
    <row r="19061" s="166" customFormat="1" x14ac:dyDescent="0.2"/>
    <row r="19062" s="166" customFormat="1" x14ac:dyDescent="0.2"/>
    <row r="19063" s="166" customFormat="1" x14ac:dyDescent="0.2"/>
    <row r="19064" s="166" customFormat="1" x14ac:dyDescent="0.2"/>
    <row r="19065" s="166" customFormat="1" x14ac:dyDescent="0.2"/>
    <row r="19066" s="166" customFormat="1" x14ac:dyDescent="0.2"/>
    <row r="19067" s="166" customFormat="1" x14ac:dyDescent="0.2"/>
    <row r="19068" s="166" customFormat="1" x14ac:dyDescent="0.2"/>
    <row r="19069" s="166" customFormat="1" x14ac:dyDescent="0.2"/>
    <row r="19070" s="166" customFormat="1" x14ac:dyDescent="0.2"/>
    <row r="19071" s="166" customFormat="1" x14ac:dyDescent="0.2"/>
    <row r="19072" s="166" customFormat="1" x14ac:dyDescent="0.2"/>
    <row r="19073" s="166" customFormat="1" x14ac:dyDescent="0.2"/>
    <row r="19074" s="166" customFormat="1" x14ac:dyDescent="0.2"/>
    <row r="19075" s="166" customFormat="1" x14ac:dyDescent="0.2"/>
    <row r="19076" s="166" customFormat="1" x14ac:dyDescent="0.2"/>
    <row r="19077" s="166" customFormat="1" x14ac:dyDescent="0.2"/>
    <row r="19078" s="166" customFormat="1" x14ac:dyDescent="0.2"/>
    <row r="19079" s="166" customFormat="1" x14ac:dyDescent="0.2"/>
    <row r="19080" s="166" customFormat="1" x14ac:dyDescent="0.2"/>
    <row r="19081" s="166" customFormat="1" x14ac:dyDescent="0.2"/>
    <row r="19082" s="166" customFormat="1" x14ac:dyDescent="0.2"/>
    <row r="19083" s="166" customFormat="1" x14ac:dyDescent="0.2"/>
    <row r="19084" s="166" customFormat="1" x14ac:dyDescent="0.2"/>
    <row r="19085" s="166" customFormat="1" x14ac:dyDescent="0.2"/>
    <row r="19086" s="166" customFormat="1" x14ac:dyDescent="0.2"/>
    <row r="19087" s="166" customFormat="1" x14ac:dyDescent="0.2"/>
    <row r="19088" s="166" customFormat="1" x14ac:dyDescent="0.2"/>
    <row r="19089" s="166" customFormat="1" x14ac:dyDescent="0.2"/>
    <row r="19090" s="166" customFormat="1" x14ac:dyDescent="0.2"/>
    <row r="19091" s="166" customFormat="1" x14ac:dyDescent="0.2"/>
    <row r="19092" s="166" customFormat="1" x14ac:dyDescent="0.2"/>
    <row r="19093" s="166" customFormat="1" x14ac:dyDescent="0.2"/>
    <row r="19094" s="166" customFormat="1" x14ac:dyDescent="0.2"/>
    <row r="19095" s="166" customFormat="1" x14ac:dyDescent="0.2"/>
    <row r="19096" s="166" customFormat="1" x14ac:dyDescent="0.2"/>
    <row r="19097" s="166" customFormat="1" x14ac:dyDescent="0.2"/>
    <row r="19098" s="166" customFormat="1" x14ac:dyDescent="0.2"/>
    <row r="19099" s="166" customFormat="1" x14ac:dyDescent="0.2"/>
    <row r="19100" s="166" customFormat="1" x14ac:dyDescent="0.2"/>
    <row r="19101" s="166" customFormat="1" x14ac:dyDescent="0.2"/>
    <row r="19102" s="166" customFormat="1" x14ac:dyDescent="0.2"/>
    <row r="19103" s="166" customFormat="1" x14ac:dyDescent="0.2"/>
    <row r="19104" s="166" customFormat="1" x14ac:dyDescent="0.2"/>
    <row r="19105" s="166" customFormat="1" x14ac:dyDescent="0.2"/>
    <row r="19106" s="166" customFormat="1" x14ac:dyDescent="0.2"/>
    <row r="19107" s="166" customFormat="1" x14ac:dyDescent="0.2"/>
    <row r="19108" s="166" customFormat="1" x14ac:dyDescent="0.2"/>
    <row r="19109" s="166" customFormat="1" x14ac:dyDescent="0.2"/>
    <row r="19110" s="166" customFormat="1" x14ac:dyDescent="0.2"/>
    <row r="19111" s="166" customFormat="1" x14ac:dyDescent="0.2"/>
    <row r="19112" s="166" customFormat="1" x14ac:dyDescent="0.2"/>
    <row r="19113" s="166" customFormat="1" x14ac:dyDescent="0.2"/>
    <row r="19114" s="166" customFormat="1" x14ac:dyDescent="0.2"/>
    <row r="19115" s="166" customFormat="1" x14ac:dyDescent="0.2"/>
    <row r="19116" s="166" customFormat="1" x14ac:dyDescent="0.2"/>
    <row r="19117" s="166" customFormat="1" x14ac:dyDescent="0.2"/>
    <row r="19118" s="166" customFormat="1" x14ac:dyDescent="0.2"/>
    <row r="19119" s="166" customFormat="1" x14ac:dyDescent="0.2"/>
    <row r="19120" s="166" customFormat="1" x14ac:dyDescent="0.2"/>
    <row r="19121" s="166" customFormat="1" x14ac:dyDescent="0.2"/>
    <row r="19122" s="166" customFormat="1" x14ac:dyDescent="0.2"/>
    <row r="19123" s="166" customFormat="1" x14ac:dyDescent="0.2"/>
    <row r="19124" s="166" customFormat="1" x14ac:dyDescent="0.2"/>
    <row r="19125" s="166" customFormat="1" x14ac:dyDescent="0.2"/>
    <row r="19126" s="166" customFormat="1" x14ac:dyDescent="0.2"/>
    <row r="19127" s="166" customFormat="1" x14ac:dyDescent="0.2"/>
    <row r="19128" s="166" customFormat="1" x14ac:dyDescent="0.2"/>
    <row r="19129" s="166" customFormat="1" x14ac:dyDescent="0.2"/>
    <row r="19130" s="166" customFormat="1" x14ac:dyDescent="0.2"/>
    <row r="19131" s="166" customFormat="1" x14ac:dyDescent="0.2"/>
    <row r="19132" s="166" customFormat="1" x14ac:dyDescent="0.2"/>
    <row r="19133" s="166" customFormat="1" x14ac:dyDescent="0.2"/>
    <row r="19134" s="166" customFormat="1" x14ac:dyDescent="0.2"/>
    <row r="19135" s="166" customFormat="1" x14ac:dyDescent="0.2"/>
    <row r="19136" s="166" customFormat="1" x14ac:dyDescent="0.2"/>
    <row r="19137" s="166" customFormat="1" x14ac:dyDescent="0.2"/>
    <row r="19138" s="166" customFormat="1" x14ac:dyDescent="0.2"/>
    <row r="19139" s="166" customFormat="1" x14ac:dyDescent="0.2"/>
    <row r="19140" s="166" customFormat="1" x14ac:dyDescent="0.2"/>
    <row r="19141" s="166" customFormat="1" x14ac:dyDescent="0.2"/>
    <row r="19142" s="166" customFormat="1" x14ac:dyDescent="0.2"/>
    <row r="19143" s="166" customFormat="1" x14ac:dyDescent="0.2"/>
    <row r="19144" s="166" customFormat="1" x14ac:dyDescent="0.2"/>
    <row r="19145" s="166" customFormat="1" x14ac:dyDescent="0.2"/>
    <row r="19146" s="166" customFormat="1" x14ac:dyDescent="0.2"/>
    <row r="19147" s="166" customFormat="1" x14ac:dyDescent="0.2"/>
    <row r="19148" s="166" customFormat="1" x14ac:dyDescent="0.2"/>
    <row r="19149" s="166" customFormat="1" x14ac:dyDescent="0.2"/>
    <row r="19150" s="166" customFormat="1" x14ac:dyDescent="0.2"/>
    <row r="19151" s="166" customFormat="1" x14ac:dyDescent="0.2"/>
    <row r="19152" s="166" customFormat="1" x14ac:dyDescent="0.2"/>
    <row r="19153" s="166" customFormat="1" x14ac:dyDescent="0.2"/>
    <row r="19154" s="166" customFormat="1" x14ac:dyDescent="0.2"/>
    <row r="19155" s="166" customFormat="1" x14ac:dyDescent="0.2"/>
    <row r="19156" s="166" customFormat="1" x14ac:dyDescent="0.2"/>
    <row r="19157" s="166" customFormat="1" x14ac:dyDescent="0.2"/>
    <row r="19158" s="166" customFormat="1" x14ac:dyDescent="0.2"/>
    <row r="19159" s="166" customFormat="1" x14ac:dyDescent="0.2"/>
    <row r="19160" s="166" customFormat="1" x14ac:dyDescent="0.2"/>
    <row r="19161" s="166" customFormat="1" x14ac:dyDescent="0.2"/>
    <row r="19162" s="166" customFormat="1" x14ac:dyDescent="0.2"/>
    <row r="19163" s="166" customFormat="1" x14ac:dyDescent="0.2"/>
    <row r="19164" s="166" customFormat="1" x14ac:dyDescent="0.2"/>
    <row r="19165" s="166" customFormat="1" x14ac:dyDescent="0.2"/>
    <row r="19166" s="166" customFormat="1" x14ac:dyDescent="0.2"/>
    <row r="19167" s="166" customFormat="1" x14ac:dyDescent="0.2"/>
    <row r="19168" s="166" customFormat="1" x14ac:dyDescent="0.2"/>
    <row r="19169" s="166" customFormat="1" x14ac:dyDescent="0.2"/>
    <row r="19170" s="166" customFormat="1" x14ac:dyDescent="0.2"/>
    <row r="19171" s="166" customFormat="1" x14ac:dyDescent="0.2"/>
    <row r="19172" s="166" customFormat="1" x14ac:dyDescent="0.2"/>
    <row r="19173" s="166" customFormat="1" x14ac:dyDescent="0.2"/>
    <row r="19174" s="166" customFormat="1" x14ac:dyDescent="0.2"/>
    <row r="19175" s="166" customFormat="1" x14ac:dyDescent="0.2"/>
    <row r="19176" s="166" customFormat="1" x14ac:dyDescent="0.2"/>
    <row r="19177" s="166" customFormat="1" x14ac:dyDescent="0.2"/>
    <row r="19178" s="166" customFormat="1" x14ac:dyDescent="0.2"/>
    <row r="19179" s="166" customFormat="1" x14ac:dyDescent="0.2"/>
    <row r="19180" s="166" customFormat="1" x14ac:dyDescent="0.2"/>
    <row r="19181" s="166" customFormat="1" x14ac:dyDescent="0.2"/>
    <row r="19182" s="166" customFormat="1" x14ac:dyDescent="0.2"/>
    <row r="19183" s="166" customFormat="1" x14ac:dyDescent="0.2"/>
    <row r="19184" s="166" customFormat="1" x14ac:dyDescent="0.2"/>
    <row r="19185" s="166" customFormat="1" x14ac:dyDescent="0.2"/>
    <row r="19186" s="166" customFormat="1" x14ac:dyDescent="0.2"/>
    <row r="19187" s="166" customFormat="1" x14ac:dyDescent="0.2"/>
    <row r="19188" s="166" customFormat="1" x14ac:dyDescent="0.2"/>
    <row r="19189" s="166" customFormat="1" x14ac:dyDescent="0.2"/>
    <row r="19190" s="166" customFormat="1" x14ac:dyDescent="0.2"/>
    <row r="19191" s="166" customFormat="1" x14ac:dyDescent="0.2"/>
    <row r="19192" s="166" customFormat="1" x14ac:dyDescent="0.2"/>
    <row r="19193" s="166" customFormat="1" x14ac:dyDescent="0.2"/>
    <row r="19194" s="166" customFormat="1" x14ac:dyDescent="0.2"/>
    <row r="19195" s="166" customFormat="1" x14ac:dyDescent="0.2"/>
    <row r="19196" s="166" customFormat="1" x14ac:dyDescent="0.2"/>
    <row r="19197" s="166" customFormat="1" x14ac:dyDescent="0.2"/>
    <row r="19198" s="166" customFormat="1" x14ac:dyDescent="0.2"/>
    <row r="19199" s="166" customFormat="1" x14ac:dyDescent="0.2"/>
    <row r="19200" s="166" customFormat="1" x14ac:dyDescent="0.2"/>
    <row r="19201" s="166" customFormat="1" x14ac:dyDescent="0.2"/>
    <row r="19202" s="166" customFormat="1" x14ac:dyDescent="0.2"/>
    <row r="19203" s="166" customFormat="1" x14ac:dyDescent="0.2"/>
    <row r="19204" s="166" customFormat="1" x14ac:dyDescent="0.2"/>
    <row r="19205" s="166" customFormat="1" x14ac:dyDescent="0.2"/>
    <row r="19206" s="166" customFormat="1" x14ac:dyDescent="0.2"/>
    <row r="19207" s="166" customFormat="1" x14ac:dyDescent="0.2"/>
    <row r="19208" s="166" customFormat="1" x14ac:dyDescent="0.2"/>
    <row r="19209" s="166" customFormat="1" x14ac:dyDescent="0.2"/>
    <row r="19210" s="166" customFormat="1" x14ac:dyDescent="0.2"/>
    <row r="19211" s="166" customFormat="1" x14ac:dyDescent="0.2"/>
    <row r="19212" s="166" customFormat="1" x14ac:dyDescent="0.2"/>
    <row r="19213" s="166" customFormat="1" x14ac:dyDescent="0.2"/>
    <row r="19214" s="166" customFormat="1" x14ac:dyDescent="0.2"/>
    <row r="19215" s="166" customFormat="1" x14ac:dyDescent="0.2"/>
    <row r="19216" s="166" customFormat="1" x14ac:dyDescent="0.2"/>
    <row r="19217" s="166" customFormat="1" x14ac:dyDescent="0.2"/>
    <row r="19218" s="166" customFormat="1" x14ac:dyDescent="0.2"/>
    <row r="19219" s="166" customFormat="1" x14ac:dyDescent="0.2"/>
    <row r="19220" s="166" customFormat="1" x14ac:dyDescent="0.2"/>
    <row r="19221" s="166" customFormat="1" x14ac:dyDescent="0.2"/>
    <row r="19222" s="166" customFormat="1" x14ac:dyDescent="0.2"/>
    <row r="19223" s="166" customFormat="1" x14ac:dyDescent="0.2"/>
    <row r="19224" s="166" customFormat="1" x14ac:dyDescent="0.2"/>
    <row r="19225" s="166" customFormat="1" x14ac:dyDescent="0.2"/>
    <row r="19226" s="166" customFormat="1" x14ac:dyDescent="0.2"/>
    <row r="19227" s="166" customFormat="1" x14ac:dyDescent="0.2"/>
    <row r="19228" s="166" customFormat="1" x14ac:dyDescent="0.2"/>
    <row r="19229" s="166" customFormat="1" x14ac:dyDescent="0.2"/>
    <row r="19230" s="166" customFormat="1" x14ac:dyDescent="0.2"/>
    <row r="19231" s="166" customFormat="1" x14ac:dyDescent="0.2"/>
    <row r="19232" s="166" customFormat="1" x14ac:dyDescent="0.2"/>
    <row r="19233" s="166" customFormat="1" x14ac:dyDescent="0.2"/>
    <row r="19234" s="166" customFormat="1" x14ac:dyDescent="0.2"/>
    <row r="19235" s="166" customFormat="1" x14ac:dyDescent="0.2"/>
    <row r="19236" s="166" customFormat="1" x14ac:dyDescent="0.2"/>
    <row r="19237" s="166" customFormat="1" x14ac:dyDescent="0.2"/>
    <row r="19238" s="166" customFormat="1" x14ac:dyDescent="0.2"/>
    <row r="19239" s="166" customFormat="1" x14ac:dyDescent="0.2"/>
    <row r="19240" s="166" customFormat="1" x14ac:dyDescent="0.2"/>
    <row r="19241" s="166" customFormat="1" x14ac:dyDescent="0.2"/>
    <row r="19242" s="166" customFormat="1" x14ac:dyDescent="0.2"/>
    <row r="19243" s="166" customFormat="1" x14ac:dyDescent="0.2"/>
    <row r="19244" s="166" customFormat="1" x14ac:dyDescent="0.2"/>
    <row r="19245" s="166" customFormat="1" x14ac:dyDescent="0.2"/>
    <row r="19246" s="166" customFormat="1" x14ac:dyDescent="0.2"/>
    <row r="19247" s="166" customFormat="1" x14ac:dyDescent="0.2"/>
    <row r="19248" s="166" customFormat="1" x14ac:dyDescent="0.2"/>
    <row r="19249" s="166" customFormat="1" x14ac:dyDescent="0.2"/>
    <row r="19250" s="166" customFormat="1" x14ac:dyDescent="0.2"/>
    <row r="19251" s="166" customFormat="1" x14ac:dyDescent="0.2"/>
    <row r="19252" s="166" customFormat="1" x14ac:dyDescent="0.2"/>
    <row r="19253" s="166" customFormat="1" x14ac:dyDescent="0.2"/>
    <row r="19254" s="166" customFormat="1" x14ac:dyDescent="0.2"/>
    <row r="19255" s="166" customFormat="1" x14ac:dyDescent="0.2"/>
    <row r="19256" s="166" customFormat="1" x14ac:dyDescent="0.2"/>
    <row r="19257" s="166" customFormat="1" x14ac:dyDescent="0.2"/>
    <row r="19258" s="166" customFormat="1" x14ac:dyDescent="0.2"/>
    <row r="19259" s="166" customFormat="1" x14ac:dyDescent="0.2"/>
    <row r="19260" s="166" customFormat="1" x14ac:dyDescent="0.2"/>
    <row r="19261" s="166" customFormat="1" x14ac:dyDescent="0.2"/>
    <row r="19262" s="166" customFormat="1" x14ac:dyDescent="0.2"/>
    <row r="19263" s="166" customFormat="1" x14ac:dyDescent="0.2"/>
    <row r="19264" s="166" customFormat="1" x14ac:dyDescent="0.2"/>
    <row r="19265" s="166" customFormat="1" x14ac:dyDescent="0.2"/>
    <row r="19266" s="166" customFormat="1" x14ac:dyDescent="0.2"/>
    <row r="19267" s="166" customFormat="1" x14ac:dyDescent="0.2"/>
    <row r="19268" s="166" customFormat="1" x14ac:dyDescent="0.2"/>
    <row r="19269" s="166" customFormat="1" x14ac:dyDescent="0.2"/>
    <row r="19270" s="166" customFormat="1" x14ac:dyDescent="0.2"/>
    <row r="19271" s="166" customFormat="1" x14ac:dyDescent="0.2"/>
    <row r="19272" s="166" customFormat="1" x14ac:dyDescent="0.2"/>
    <row r="19273" s="166" customFormat="1" x14ac:dyDescent="0.2"/>
    <row r="19274" s="166" customFormat="1" x14ac:dyDescent="0.2"/>
    <row r="19275" s="166" customFormat="1" x14ac:dyDescent="0.2"/>
    <row r="19276" s="166" customFormat="1" x14ac:dyDescent="0.2"/>
    <row r="19277" s="166" customFormat="1" x14ac:dyDescent="0.2"/>
    <row r="19278" s="166" customFormat="1" x14ac:dyDescent="0.2"/>
    <row r="19279" s="166" customFormat="1" x14ac:dyDescent="0.2"/>
    <row r="19280" s="166" customFormat="1" x14ac:dyDescent="0.2"/>
    <row r="19281" s="166" customFormat="1" x14ac:dyDescent="0.2"/>
    <row r="19282" s="166" customFormat="1" x14ac:dyDescent="0.2"/>
    <row r="19283" s="166" customFormat="1" x14ac:dyDescent="0.2"/>
    <row r="19284" s="166" customFormat="1" x14ac:dyDescent="0.2"/>
    <row r="19285" s="166" customFormat="1" x14ac:dyDescent="0.2"/>
    <row r="19286" s="166" customFormat="1" x14ac:dyDescent="0.2"/>
    <row r="19287" s="166" customFormat="1" x14ac:dyDescent="0.2"/>
    <row r="19288" s="166" customFormat="1" x14ac:dyDescent="0.2"/>
    <row r="19289" s="166" customFormat="1" x14ac:dyDescent="0.2"/>
    <row r="19290" s="166" customFormat="1" x14ac:dyDescent="0.2"/>
    <row r="19291" s="166" customFormat="1" x14ac:dyDescent="0.2"/>
    <row r="19292" s="166" customFormat="1" x14ac:dyDescent="0.2"/>
    <row r="19293" s="166" customFormat="1" x14ac:dyDescent="0.2"/>
    <row r="19294" s="166" customFormat="1" x14ac:dyDescent="0.2"/>
    <row r="19295" s="166" customFormat="1" x14ac:dyDescent="0.2"/>
    <row r="19296" s="166" customFormat="1" x14ac:dyDescent="0.2"/>
    <row r="19297" s="166" customFormat="1" x14ac:dyDescent="0.2"/>
    <row r="19298" s="166" customFormat="1" x14ac:dyDescent="0.2"/>
    <row r="19299" s="166" customFormat="1" x14ac:dyDescent="0.2"/>
    <row r="19300" s="166" customFormat="1" x14ac:dyDescent="0.2"/>
    <row r="19301" s="166" customFormat="1" x14ac:dyDescent="0.2"/>
    <row r="19302" s="166" customFormat="1" x14ac:dyDescent="0.2"/>
    <row r="19303" s="166" customFormat="1" x14ac:dyDescent="0.2"/>
    <row r="19304" s="166" customFormat="1" x14ac:dyDescent="0.2"/>
    <row r="19305" s="166" customFormat="1" x14ac:dyDescent="0.2"/>
    <row r="19306" s="166" customFormat="1" x14ac:dyDescent="0.2"/>
    <row r="19307" s="166" customFormat="1" x14ac:dyDescent="0.2"/>
    <row r="19308" s="166" customFormat="1" x14ac:dyDescent="0.2"/>
    <row r="19309" s="166" customFormat="1" x14ac:dyDescent="0.2"/>
    <row r="19310" s="166" customFormat="1" x14ac:dyDescent="0.2"/>
    <row r="19311" s="166" customFormat="1" x14ac:dyDescent="0.2"/>
    <row r="19312" s="166" customFormat="1" x14ac:dyDescent="0.2"/>
    <row r="19313" s="166" customFormat="1" x14ac:dyDescent="0.2"/>
    <row r="19314" s="166" customFormat="1" x14ac:dyDescent="0.2"/>
    <row r="19315" s="166" customFormat="1" x14ac:dyDescent="0.2"/>
    <row r="19316" s="166" customFormat="1" x14ac:dyDescent="0.2"/>
    <row r="19317" s="166" customFormat="1" x14ac:dyDescent="0.2"/>
    <row r="19318" s="166" customFormat="1" x14ac:dyDescent="0.2"/>
    <row r="19319" s="166" customFormat="1" x14ac:dyDescent="0.2"/>
    <row r="19320" s="166" customFormat="1" x14ac:dyDescent="0.2"/>
    <row r="19321" s="166" customFormat="1" x14ac:dyDescent="0.2"/>
    <row r="19322" s="166" customFormat="1" x14ac:dyDescent="0.2"/>
    <row r="19323" s="166" customFormat="1" x14ac:dyDescent="0.2"/>
    <row r="19324" s="166" customFormat="1" x14ac:dyDescent="0.2"/>
    <row r="19325" s="166" customFormat="1" x14ac:dyDescent="0.2"/>
    <row r="19326" s="166" customFormat="1" x14ac:dyDescent="0.2"/>
    <row r="19327" s="166" customFormat="1" x14ac:dyDescent="0.2"/>
    <row r="19328" s="166" customFormat="1" x14ac:dyDescent="0.2"/>
    <row r="19329" s="166" customFormat="1" x14ac:dyDescent="0.2"/>
    <row r="19330" s="166" customFormat="1" x14ac:dyDescent="0.2"/>
    <row r="19331" s="166" customFormat="1" x14ac:dyDescent="0.2"/>
    <row r="19332" s="166" customFormat="1" x14ac:dyDescent="0.2"/>
    <row r="19333" s="166" customFormat="1" x14ac:dyDescent="0.2"/>
    <row r="19334" s="166" customFormat="1" x14ac:dyDescent="0.2"/>
    <row r="19335" s="166" customFormat="1" x14ac:dyDescent="0.2"/>
    <row r="19336" s="166" customFormat="1" x14ac:dyDescent="0.2"/>
    <row r="19337" s="166" customFormat="1" x14ac:dyDescent="0.2"/>
    <row r="19338" s="166" customFormat="1" x14ac:dyDescent="0.2"/>
    <row r="19339" s="166" customFormat="1" x14ac:dyDescent="0.2"/>
    <row r="19340" s="166" customFormat="1" x14ac:dyDescent="0.2"/>
    <row r="19341" s="166" customFormat="1" x14ac:dyDescent="0.2"/>
    <row r="19342" s="166" customFormat="1" x14ac:dyDescent="0.2"/>
    <row r="19343" s="166" customFormat="1" x14ac:dyDescent="0.2"/>
    <row r="19344" s="166" customFormat="1" x14ac:dyDescent="0.2"/>
    <row r="19345" s="166" customFormat="1" x14ac:dyDescent="0.2"/>
    <row r="19346" s="166" customFormat="1" x14ac:dyDescent="0.2"/>
    <row r="19347" s="166" customFormat="1" x14ac:dyDescent="0.2"/>
    <row r="19348" s="166" customFormat="1" x14ac:dyDescent="0.2"/>
    <row r="19349" s="166" customFormat="1" x14ac:dyDescent="0.2"/>
    <row r="19350" s="166" customFormat="1" x14ac:dyDescent="0.2"/>
    <row r="19351" s="166" customFormat="1" x14ac:dyDescent="0.2"/>
    <row r="19352" s="166" customFormat="1" x14ac:dyDescent="0.2"/>
    <row r="19353" s="166" customFormat="1" x14ac:dyDescent="0.2"/>
    <row r="19354" s="166" customFormat="1" x14ac:dyDescent="0.2"/>
    <row r="19355" s="166" customFormat="1" x14ac:dyDescent="0.2"/>
    <row r="19356" s="166" customFormat="1" x14ac:dyDescent="0.2"/>
    <row r="19357" s="166" customFormat="1" x14ac:dyDescent="0.2"/>
    <row r="19358" s="166" customFormat="1" x14ac:dyDescent="0.2"/>
    <row r="19359" s="166" customFormat="1" x14ac:dyDescent="0.2"/>
    <row r="19360" s="166" customFormat="1" x14ac:dyDescent="0.2"/>
    <row r="19361" s="166" customFormat="1" x14ac:dyDescent="0.2"/>
    <row r="19362" s="166" customFormat="1" x14ac:dyDescent="0.2"/>
    <row r="19363" s="166" customFormat="1" x14ac:dyDescent="0.2"/>
    <row r="19364" s="166" customFormat="1" x14ac:dyDescent="0.2"/>
    <row r="19365" s="166" customFormat="1" x14ac:dyDescent="0.2"/>
    <row r="19366" s="166" customFormat="1" x14ac:dyDescent="0.2"/>
    <row r="19367" s="166" customFormat="1" x14ac:dyDescent="0.2"/>
    <row r="19368" s="166" customFormat="1" x14ac:dyDescent="0.2"/>
    <row r="19369" s="166" customFormat="1" x14ac:dyDescent="0.2"/>
    <row r="19370" s="166" customFormat="1" x14ac:dyDescent="0.2"/>
    <row r="19371" s="166" customFormat="1" x14ac:dyDescent="0.2"/>
    <row r="19372" s="166" customFormat="1" x14ac:dyDescent="0.2"/>
    <row r="19373" s="166" customFormat="1" x14ac:dyDescent="0.2"/>
    <row r="19374" s="166" customFormat="1" x14ac:dyDescent="0.2"/>
    <row r="19375" s="166" customFormat="1" x14ac:dyDescent="0.2"/>
    <row r="19376" s="166" customFormat="1" x14ac:dyDescent="0.2"/>
    <row r="19377" s="166" customFormat="1" x14ac:dyDescent="0.2"/>
    <row r="19378" s="166" customFormat="1" x14ac:dyDescent="0.2"/>
    <row r="19379" s="166" customFormat="1" x14ac:dyDescent="0.2"/>
    <row r="19380" s="166" customFormat="1" x14ac:dyDescent="0.2"/>
    <row r="19381" s="166" customFormat="1" x14ac:dyDescent="0.2"/>
    <row r="19382" s="166" customFormat="1" x14ac:dyDescent="0.2"/>
    <row r="19383" s="166" customFormat="1" x14ac:dyDescent="0.2"/>
    <row r="19384" s="166" customFormat="1" x14ac:dyDescent="0.2"/>
    <row r="19385" s="166" customFormat="1" x14ac:dyDescent="0.2"/>
    <row r="19386" s="166" customFormat="1" x14ac:dyDescent="0.2"/>
    <row r="19387" s="166" customFormat="1" x14ac:dyDescent="0.2"/>
    <row r="19388" s="166" customFormat="1" x14ac:dyDescent="0.2"/>
    <row r="19389" s="166" customFormat="1" x14ac:dyDescent="0.2"/>
    <row r="19390" s="166" customFormat="1" x14ac:dyDescent="0.2"/>
    <row r="19391" s="166" customFormat="1" x14ac:dyDescent="0.2"/>
    <row r="19392" s="166" customFormat="1" x14ac:dyDescent="0.2"/>
    <row r="19393" s="166" customFormat="1" x14ac:dyDescent="0.2"/>
    <row r="19394" s="166" customFormat="1" x14ac:dyDescent="0.2"/>
    <row r="19395" s="166" customFormat="1" x14ac:dyDescent="0.2"/>
    <row r="19396" s="166" customFormat="1" x14ac:dyDescent="0.2"/>
    <row r="19397" s="166" customFormat="1" x14ac:dyDescent="0.2"/>
    <row r="19398" s="166" customFormat="1" x14ac:dyDescent="0.2"/>
    <row r="19399" s="166" customFormat="1" x14ac:dyDescent="0.2"/>
    <row r="19400" s="166" customFormat="1" x14ac:dyDescent="0.2"/>
    <row r="19401" s="166" customFormat="1" x14ac:dyDescent="0.2"/>
    <row r="19402" s="166" customFormat="1" x14ac:dyDescent="0.2"/>
    <row r="19403" s="166" customFormat="1" x14ac:dyDescent="0.2"/>
    <row r="19404" s="166" customFormat="1" x14ac:dyDescent="0.2"/>
    <row r="19405" s="166" customFormat="1" x14ac:dyDescent="0.2"/>
    <row r="19406" s="166" customFormat="1" x14ac:dyDescent="0.2"/>
    <row r="19407" s="166" customFormat="1" x14ac:dyDescent="0.2"/>
    <row r="19408" s="166" customFormat="1" x14ac:dyDescent="0.2"/>
    <row r="19409" s="166" customFormat="1" x14ac:dyDescent="0.2"/>
    <row r="19410" s="166" customFormat="1" x14ac:dyDescent="0.2"/>
    <row r="19411" s="166" customFormat="1" x14ac:dyDescent="0.2"/>
    <row r="19412" s="166" customFormat="1" x14ac:dyDescent="0.2"/>
    <row r="19413" s="166" customFormat="1" x14ac:dyDescent="0.2"/>
    <row r="19414" s="166" customFormat="1" x14ac:dyDescent="0.2"/>
    <row r="19415" s="166" customFormat="1" x14ac:dyDescent="0.2"/>
    <row r="19416" s="166" customFormat="1" x14ac:dyDescent="0.2"/>
    <row r="19417" s="166" customFormat="1" x14ac:dyDescent="0.2"/>
    <row r="19418" s="166" customFormat="1" x14ac:dyDescent="0.2"/>
    <row r="19419" s="166" customFormat="1" x14ac:dyDescent="0.2"/>
    <row r="19420" s="166" customFormat="1" x14ac:dyDescent="0.2"/>
    <row r="19421" s="166" customFormat="1" x14ac:dyDescent="0.2"/>
    <row r="19422" s="166" customFormat="1" x14ac:dyDescent="0.2"/>
    <row r="19423" s="166" customFormat="1" x14ac:dyDescent="0.2"/>
    <row r="19424" s="166" customFormat="1" x14ac:dyDescent="0.2"/>
    <row r="19425" s="166" customFormat="1" x14ac:dyDescent="0.2"/>
    <row r="19426" s="166" customFormat="1" x14ac:dyDescent="0.2"/>
    <row r="19427" s="166" customFormat="1" x14ac:dyDescent="0.2"/>
    <row r="19428" s="166" customFormat="1" x14ac:dyDescent="0.2"/>
    <row r="19429" s="166" customFormat="1" x14ac:dyDescent="0.2"/>
    <row r="19430" s="166" customFormat="1" x14ac:dyDescent="0.2"/>
    <row r="19431" s="166" customFormat="1" x14ac:dyDescent="0.2"/>
    <row r="19432" s="166" customFormat="1" x14ac:dyDescent="0.2"/>
    <row r="19433" s="166" customFormat="1" x14ac:dyDescent="0.2"/>
    <row r="19434" s="166" customFormat="1" x14ac:dyDescent="0.2"/>
    <row r="19435" s="166" customFormat="1" x14ac:dyDescent="0.2"/>
    <row r="19436" s="166" customFormat="1" x14ac:dyDescent="0.2"/>
    <row r="19437" s="166" customFormat="1" x14ac:dyDescent="0.2"/>
    <row r="19438" s="166" customFormat="1" x14ac:dyDescent="0.2"/>
    <row r="19439" s="166" customFormat="1" x14ac:dyDescent="0.2"/>
    <row r="19440" s="166" customFormat="1" x14ac:dyDescent="0.2"/>
    <row r="19441" s="166" customFormat="1" x14ac:dyDescent="0.2"/>
    <row r="19442" s="166" customFormat="1" x14ac:dyDescent="0.2"/>
    <row r="19443" s="166" customFormat="1" x14ac:dyDescent="0.2"/>
    <row r="19444" s="166" customFormat="1" x14ac:dyDescent="0.2"/>
    <row r="19445" s="166" customFormat="1" x14ac:dyDescent="0.2"/>
    <row r="19446" s="166" customFormat="1" x14ac:dyDescent="0.2"/>
    <row r="19447" s="166" customFormat="1" x14ac:dyDescent="0.2"/>
    <row r="19448" s="166" customFormat="1" x14ac:dyDescent="0.2"/>
    <row r="19449" s="166" customFormat="1" x14ac:dyDescent="0.2"/>
    <row r="19450" s="166" customFormat="1" x14ac:dyDescent="0.2"/>
    <row r="19451" s="166" customFormat="1" x14ac:dyDescent="0.2"/>
    <row r="19452" s="166" customFormat="1" x14ac:dyDescent="0.2"/>
    <row r="19453" s="166" customFormat="1" x14ac:dyDescent="0.2"/>
    <row r="19454" s="166" customFormat="1" x14ac:dyDescent="0.2"/>
    <row r="19455" s="166" customFormat="1" x14ac:dyDescent="0.2"/>
    <row r="19456" s="166" customFormat="1" x14ac:dyDescent="0.2"/>
    <row r="19457" s="166" customFormat="1" x14ac:dyDescent="0.2"/>
    <row r="19458" s="166" customFormat="1" x14ac:dyDescent="0.2"/>
    <row r="19459" s="166" customFormat="1" x14ac:dyDescent="0.2"/>
    <row r="19460" s="166" customFormat="1" x14ac:dyDescent="0.2"/>
    <row r="19461" s="166" customFormat="1" x14ac:dyDescent="0.2"/>
    <row r="19462" s="166" customFormat="1" x14ac:dyDescent="0.2"/>
    <row r="19463" s="166" customFormat="1" x14ac:dyDescent="0.2"/>
    <row r="19464" s="166" customFormat="1" x14ac:dyDescent="0.2"/>
    <row r="19465" s="166" customFormat="1" x14ac:dyDescent="0.2"/>
    <row r="19466" s="166" customFormat="1" x14ac:dyDescent="0.2"/>
    <row r="19467" s="166" customFormat="1" x14ac:dyDescent="0.2"/>
    <row r="19468" s="166" customFormat="1" x14ac:dyDescent="0.2"/>
    <row r="19469" s="166" customFormat="1" x14ac:dyDescent="0.2"/>
    <row r="19470" s="166" customFormat="1" x14ac:dyDescent="0.2"/>
    <row r="19471" s="166" customFormat="1" x14ac:dyDescent="0.2"/>
    <row r="19472" s="166" customFormat="1" x14ac:dyDescent="0.2"/>
    <row r="19473" s="166" customFormat="1" x14ac:dyDescent="0.2"/>
    <row r="19474" s="166" customFormat="1" x14ac:dyDescent="0.2"/>
    <row r="19475" s="166" customFormat="1" x14ac:dyDescent="0.2"/>
    <row r="19476" s="166" customFormat="1" x14ac:dyDescent="0.2"/>
    <row r="19477" s="166" customFormat="1" x14ac:dyDescent="0.2"/>
    <row r="19478" s="166" customFormat="1" x14ac:dyDescent="0.2"/>
    <row r="19479" s="166" customFormat="1" x14ac:dyDescent="0.2"/>
    <row r="19480" s="166" customFormat="1" x14ac:dyDescent="0.2"/>
    <row r="19481" s="166" customFormat="1" x14ac:dyDescent="0.2"/>
    <row r="19482" s="166" customFormat="1" x14ac:dyDescent="0.2"/>
    <row r="19483" s="166" customFormat="1" x14ac:dyDescent="0.2"/>
    <row r="19484" s="166" customFormat="1" x14ac:dyDescent="0.2"/>
    <row r="19485" s="166" customFormat="1" x14ac:dyDescent="0.2"/>
    <row r="19486" s="166" customFormat="1" x14ac:dyDescent="0.2"/>
    <row r="19487" s="166" customFormat="1" x14ac:dyDescent="0.2"/>
    <row r="19488" s="166" customFormat="1" x14ac:dyDescent="0.2"/>
    <row r="19489" s="166" customFormat="1" x14ac:dyDescent="0.2"/>
    <row r="19490" s="166" customFormat="1" x14ac:dyDescent="0.2"/>
    <row r="19491" s="166" customFormat="1" x14ac:dyDescent="0.2"/>
    <row r="19492" s="166" customFormat="1" x14ac:dyDescent="0.2"/>
    <row r="19493" s="166" customFormat="1" x14ac:dyDescent="0.2"/>
    <row r="19494" s="166" customFormat="1" x14ac:dyDescent="0.2"/>
    <row r="19495" s="166" customFormat="1" x14ac:dyDescent="0.2"/>
    <row r="19496" s="166" customFormat="1" x14ac:dyDescent="0.2"/>
    <row r="19497" s="166" customFormat="1" x14ac:dyDescent="0.2"/>
    <row r="19498" s="166" customFormat="1" x14ac:dyDescent="0.2"/>
    <row r="19499" s="166" customFormat="1" x14ac:dyDescent="0.2"/>
    <row r="19500" s="166" customFormat="1" x14ac:dyDescent="0.2"/>
    <row r="19501" s="166" customFormat="1" x14ac:dyDescent="0.2"/>
    <row r="19502" s="166" customFormat="1" x14ac:dyDescent="0.2"/>
    <row r="19503" s="166" customFormat="1" x14ac:dyDescent="0.2"/>
    <row r="19504" s="166" customFormat="1" x14ac:dyDescent="0.2"/>
    <row r="19505" s="166" customFormat="1" x14ac:dyDescent="0.2"/>
    <row r="19506" s="166" customFormat="1" x14ac:dyDescent="0.2"/>
    <row r="19507" s="166" customFormat="1" x14ac:dyDescent="0.2"/>
    <row r="19508" s="166" customFormat="1" x14ac:dyDescent="0.2"/>
    <row r="19509" s="166" customFormat="1" x14ac:dyDescent="0.2"/>
    <row r="19510" s="166" customFormat="1" x14ac:dyDescent="0.2"/>
    <row r="19511" s="166" customFormat="1" x14ac:dyDescent="0.2"/>
    <row r="19512" s="166" customFormat="1" x14ac:dyDescent="0.2"/>
    <row r="19513" s="166" customFormat="1" x14ac:dyDescent="0.2"/>
    <row r="19514" s="166" customFormat="1" x14ac:dyDescent="0.2"/>
    <row r="19515" s="166" customFormat="1" x14ac:dyDescent="0.2"/>
    <row r="19516" s="166" customFormat="1" x14ac:dyDescent="0.2"/>
    <row r="19517" s="166" customFormat="1" x14ac:dyDescent="0.2"/>
    <row r="19518" s="166" customFormat="1" x14ac:dyDescent="0.2"/>
    <row r="19519" s="166" customFormat="1" x14ac:dyDescent="0.2"/>
    <row r="19520" s="166" customFormat="1" x14ac:dyDescent="0.2"/>
    <row r="19521" s="166" customFormat="1" x14ac:dyDescent="0.2"/>
    <row r="19522" s="166" customFormat="1" x14ac:dyDescent="0.2"/>
    <row r="19523" s="166" customFormat="1" x14ac:dyDescent="0.2"/>
    <row r="19524" s="166" customFormat="1" x14ac:dyDescent="0.2"/>
    <row r="19525" s="166" customFormat="1" x14ac:dyDescent="0.2"/>
    <row r="19526" s="166" customFormat="1" x14ac:dyDescent="0.2"/>
    <row r="19527" s="166" customFormat="1" x14ac:dyDescent="0.2"/>
    <row r="19528" s="166" customFormat="1" x14ac:dyDescent="0.2"/>
    <row r="19529" s="166" customFormat="1" x14ac:dyDescent="0.2"/>
    <row r="19530" s="166" customFormat="1" x14ac:dyDescent="0.2"/>
    <row r="19531" s="166" customFormat="1" x14ac:dyDescent="0.2"/>
    <row r="19532" s="166" customFormat="1" x14ac:dyDescent="0.2"/>
    <row r="19533" s="166" customFormat="1" x14ac:dyDescent="0.2"/>
    <row r="19534" s="166" customFormat="1" x14ac:dyDescent="0.2"/>
    <row r="19535" s="166" customFormat="1" x14ac:dyDescent="0.2"/>
    <row r="19536" s="166" customFormat="1" x14ac:dyDescent="0.2"/>
    <row r="19537" s="166" customFormat="1" x14ac:dyDescent="0.2"/>
    <row r="19538" s="166" customFormat="1" x14ac:dyDescent="0.2"/>
    <row r="19539" s="166" customFormat="1" x14ac:dyDescent="0.2"/>
    <row r="19540" s="166" customFormat="1" x14ac:dyDescent="0.2"/>
    <row r="19541" s="166" customFormat="1" x14ac:dyDescent="0.2"/>
    <row r="19542" s="166" customFormat="1" x14ac:dyDescent="0.2"/>
    <row r="19543" s="166" customFormat="1" x14ac:dyDescent="0.2"/>
    <row r="19544" s="166" customFormat="1" x14ac:dyDescent="0.2"/>
    <row r="19545" s="166" customFormat="1" x14ac:dyDescent="0.2"/>
    <row r="19546" s="166" customFormat="1" x14ac:dyDescent="0.2"/>
    <row r="19547" s="166" customFormat="1" x14ac:dyDescent="0.2"/>
    <row r="19548" s="166" customFormat="1" x14ac:dyDescent="0.2"/>
    <row r="19549" s="166" customFormat="1" x14ac:dyDescent="0.2"/>
    <row r="19550" s="166" customFormat="1" x14ac:dyDescent="0.2"/>
    <row r="19551" s="166" customFormat="1" x14ac:dyDescent="0.2"/>
    <row r="19552" s="166" customFormat="1" x14ac:dyDescent="0.2"/>
    <row r="19553" s="166" customFormat="1" x14ac:dyDescent="0.2"/>
    <row r="19554" s="166" customFormat="1" x14ac:dyDescent="0.2"/>
    <row r="19555" s="166" customFormat="1" x14ac:dyDescent="0.2"/>
    <row r="19556" s="166" customFormat="1" x14ac:dyDescent="0.2"/>
    <row r="19557" s="166" customFormat="1" x14ac:dyDescent="0.2"/>
    <row r="19558" s="166" customFormat="1" x14ac:dyDescent="0.2"/>
    <row r="19559" s="166" customFormat="1" x14ac:dyDescent="0.2"/>
    <row r="19560" s="166" customFormat="1" x14ac:dyDescent="0.2"/>
    <row r="19561" s="166" customFormat="1" x14ac:dyDescent="0.2"/>
    <row r="19562" s="166" customFormat="1" x14ac:dyDescent="0.2"/>
    <row r="19563" s="166" customFormat="1" x14ac:dyDescent="0.2"/>
    <row r="19564" s="166" customFormat="1" x14ac:dyDescent="0.2"/>
    <row r="19565" s="166" customFormat="1" x14ac:dyDescent="0.2"/>
    <row r="19566" s="166" customFormat="1" x14ac:dyDescent="0.2"/>
    <row r="19567" s="166" customFormat="1" x14ac:dyDescent="0.2"/>
    <row r="19568" s="166" customFormat="1" x14ac:dyDescent="0.2"/>
    <row r="19569" s="166" customFormat="1" x14ac:dyDescent="0.2"/>
    <row r="19570" s="166" customFormat="1" x14ac:dyDescent="0.2"/>
    <row r="19571" s="166" customFormat="1" x14ac:dyDescent="0.2"/>
    <row r="19572" s="166" customFormat="1" x14ac:dyDescent="0.2"/>
    <row r="19573" s="166" customFormat="1" x14ac:dyDescent="0.2"/>
    <row r="19574" s="166" customFormat="1" x14ac:dyDescent="0.2"/>
    <row r="19575" s="166" customFormat="1" x14ac:dyDescent="0.2"/>
    <row r="19576" s="166" customFormat="1" x14ac:dyDescent="0.2"/>
    <row r="19577" s="166" customFormat="1" x14ac:dyDescent="0.2"/>
    <row r="19578" s="166" customFormat="1" x14ac:dyDescent="0.2"/>
    <row r="19579" s="166" customFormat="1" x14ac:dyDescent="0.2"/>
    <row r="19580" s="166" customFormat="1" x14ac:dyDescent="0.2"/>
    <row r="19581" s="166" customFormat="1" x14ac:dyDescent="0.2"/>
    <row r="19582" s="166" customFormat="1" x14ac:dyDescent="0.2"/>
    <row r="19583" s="166" customFormat="1" x14ac:dyDescent="0.2"/>
    <row r="19584" s="166" customFormat="1" x14ac:dyDescent="0.2"/>
    <row r="19585" s="166" customFormat="1" x14ac:dyDescent="0.2"/>
    <row r="19586" s="166" customFormat="1" x14ac:dyDescent="0.2"/>
    <row r="19587" s="166" customFormat="1" x14ac:dyDescent="0.2"/>
    <row r="19588" s="166" customFormat="1" x14ac:dyDescent="0.2"/>
    <row r="19589" s="166" customFormat="1" x14ac:dyDescent="0.2"/>
    <row r="19590" s="166" customFormat="1" x14ac:dyDescent="0.2"/>
    <row r="19591" s="166" customFormat="1" x14ac:dyDescent="0.2"/>
    <row r="19592" s="166" customFormat="1" x14ac:dyDescent="0.2"/>
    <row r="19593" s="166" customFormat="1" x14ac:dyDescent="0.2"/>
    <row r="19594" s="166" customFormat="1" x14ac:dyDescent="0.2"/>
    <row r="19595" s="166" customFormat="1" x14ac:dyDescent="0.2"/>
    <row r="19596" s="166" customFormat="1" x14ac:dyDescent="0.2"/>
    <row r="19597" s="166" customFormat="1" x14ac:dyDescent="0.2"/>
    <row r="19598" s="166" customFormat="1" x14ac:dyDescent="0.2"/>
    <row r="19599" s="166" customFormat="1" x14ac:dyDescent="0.2"/>
    <row r="19600" s="166" customFormat="1" x14ac:dyDescent="0.2"/>
    <row r="19601" s="166" customFormat="1" x14ac:dyDescent="0.2"/>
    <row r="19602" s="166" customFormat="1" x14ac:dyDescent="0.2"/>
    <row r="19603" s="166" customFormat="1" x14ac:dyDescent="0.2"/>
    <row r="19604" s="166" customFormat="1" x14ac:dyDescent="0.2"/>
    <row r="19605" s="166" customFormat="1" x14ac:dyDescent="0.2"/>
    <row r="19606" s="166" customFormat="1" x14ac:dyDescent="0.2"/>
    <row r="19607" s="166" customFormat="1" x14ac:dyDescent="0.2"/>
    <row r="19608" s="166" customFormat="1" x14ac:dyDescent="0.2"/>
    <row r="19609" s="166" customFormat="1" x14ac:dyDescent="0.2"/>
    <row r="19610" s="166" customFormat="1" x14ac:dyDescent="0.2"/>
    <row r="19611" s="166" customFormat="1" x14ac:dyDescent="0.2"/>
    <row r="19612" s="166" customFormat="1" x14ac:dyDescent="0.2"/>
    <row r="19613" s="166" customFormat="1" x14ac:dyDescent="0.2"/>
    <row r="19614" s="166" customFormat="1" x14ac:dyDescent="0.2"/>
    <row r="19615" s="166" customFormat="1" x14ac:dyDescent="0.2"/>
    <row r="19616" s="166" customFormat="1" x14ac:dyDescent="0.2"/>
    <row r="19617" s="166" customFormat="1" x14ac:dyDescent="0.2"/>
    <row r="19618" s="166" customFormat="1" x14ac:dyDescent="0.2"/>
    <row r="19619" s="166" customFormat="1" x14ac:dyDescent="0.2"/>
    <row r="19620" s="166" customFormat="1" x14ac:dyDescent="0.2"/>
    <row r="19621" s="166" customFormat="1" x14ac:dyDescent="0.2"/>
    <row r="19622" s="166" customFormat="1" x14ac:dyDescent="0.2"/>
    <row r="19623" s="166" customFormat="1" x14ac:dyDescent="0.2"/>
    <row r="19624" s="166" customFormat="1" x14ac:dyDescent="0.2"/>
    <row r="19625" s="166" customFormat="1" x14ac:dyDescent="0.2"/>
    <row r="19626" s="166" customFormat="1" x14ac:dyDescent="0.2"/>
    <row r="19627" s="166" customFormat="1" x14ac:dyDescent="0.2"/>
    <row r="19628" s="166" customFormat="1" x14ac:dyDescent="0.2"/>
    <row r="19629" s="166" customFormat="1" x14ac:dyDescent="0.2"/>
    <row r="19630" s="166" customFormat="1" x14ac:dyDescent="0.2"/>
    <row r="19631" s="166" customFormat="1" x14ac:dyDescent="0.2"/>
    <row r="19632" s="166" customFormat="1" x14ac:dyDescent="0.2"/>
    <row r="19633" s="166" customFormat="1" x14ac:dyDescent="0.2"/>
    <row r="19634" s="166" customFormat="1" x14ac:dyDescent="0.2"/>
    <row r="19635" s="166" customFormat="1" x14ac:dyDescent="0.2"/>
    <row r="19636" s="166" customFormat="1" x14ac:dyDescent="0.2"/>
    <row r="19637" s="166" customFormat="1" x14ac:dyDescent="0.2"/>
    <row r="19638" s="166" customFormat="1" x14ac:dyDescent="0.2"/>
    <row r="19639" s="166" customFormat="1" x14ac:dyDescent="0.2"/>
    <row r="19640" s="166" customFormat="1" x14ac:dyDescent="0.2"/>
    <row r="19641" s="166" customFormat="1" x14ac:dyDescent="0.2"/>
    <row r="19642" s="166" customFormat="1" x14ac:dyDescent="0.2"/>
    <row r="19643" s="166" customFormat="1" x14ac:dyDescent="0.2"/>
    <row r="19644" s="166" customFormat="1" x14ac:dyDescent="0.2"/>
    <row r="19645" s="166" customFormat="1" x14ac:dyDescent="0.2"/>
    <row r="19646" s="166" customFormat="1" x14ac:dyDescent="0.2"/>
    <row r="19647" s="166" customFormat="1" x14ac:dyDescent="0.2"/>
    <row r="19648" s="166" customFormat="1" x14ac:dyDescent="0.2"/>
    <row r="19649" s="166" customFormat="1" x14ac:dyDescent="0.2"/>
    <row r="19650" s="166" customFormat="1" x14ac:dyDescent="0.2"/>
    <row r="19651" s="166" customFormat="1" x14ac:dyDescent="0.2"/>
    <row r="19652" s="166" customFormat="1" x14ac:dyDescent="0.2"/>
    <row r="19653" s="166" customFormat="1" x14ac:dyDescent="0.2"/>
    <row r="19654" s="166" customFormat="1" x14ac:dyDescent="0.2"/>
    <row r="19655" s="166" customFormat="1" x14ac:dyDescent="0.2"/>
    <row r="19656" s="166" customFormat="1" x14ac:dyDescent="0.2"/>
    <row r="19657" s="166" customFormat="1" x14ac:dyDescent="0.2"/>
    <row r="19658" s="166" customFormat="1" x14ac:dyDescent="0.2"/>
    <row r="19659" s="166" customFormat="1" x14ac:dyDescent="0.2"/>
    <row r="19660" s="166" customFormat="1" x14ac:dyDescent="0.2"/>
    <row r="19661" s="166" customFormat="1" x14ac:dyDescent="0.2"/>
    <row r="19662" s="166" customFormat="1" x14ac:dyDescent="0.2"/>
    <row r="19663" s="166" customFormat="1" x14ac:dyDescent="0.2"/>
    <row r="19664" s="166" customFormat="1" x14ac:dyDescent="0.2"/>
    <row r="19665" s="166" customFormat="1" x14ac:dyDescent="0.2"/>
    <row r="19666" s="166" customFormat="1" x14ac:dyDescent="0.2"/>
    <row r="19667" s="166" customFormat="1" x14ac:dyDescent="0.2"/>
    <row r="19668" s="166" customFormat="1" x14ac:dyDescent="0.2"/>
    <row r="19669" s="166" customFormat="1" x14ac:dyDescent="0.2"/>
    <row r="19670" s="166" customFormat="1" x14ac:dyDescent="0.2"/>
    <row r="19671" s="166" customFormat="1" x14ac:dyDescent="0.2"/>
    <row r="19672" s="166" customFormat="1" x14ac:dyDescent="0.2"/>
    <row r="19673" s="166" customFormat="1" x14ac:dyDescent="0.2"/>
    <row r="19674" s="166" customFormat="1" x14ac:dyDescent="0.2"/>
    <row r="19675" s="166" customFormat="1" x14ac:dyDescent="0.2"/>
    <row r="19676" s="166" customFormat="1" x14ac:dyDescent="0.2"/>
    <row r="19677" s="166" customFormat="1" x14ac:dyDescent="0.2"/>
    <row r="19678" s="166" customFormat="1" x14ac:dyDescent="0.2"/>
    <row r="19679" s="166" customFormat="1" x14ac:dyDescent="0.2"/>
    <row r="19680" s="166" customFormat="1" x14ac:dyDescent="0.2"/>
    <row r="19681" s="166" customFormat="1" x14ac:dyDescent="0.2"/>
    <row r="19682" s="166" customFormat="1" x14ac:dyDescent="0.2"/>
    <row r="19683" s="166" customFormat="1" x14ac:dyDescent="0.2"/>
    <row r="19684" s="166" customFormat="1" x14ac:dyDescent="0.2"/>
    <row r="19685" s="166" customFormat="1" x14ac:dyDescent="0.2"/>
    <row r="19686" s="166" customFormat="1" x14ac:dyDescent="0.2"/>
    <row r="19687" s="166" customFormat="1" x14ac:dyDescent="0.2"/>
    <row r="19688" s="166" customFormat="1" x14ac:dyDescent="0.2"/>
    <row r="19689" s="166" customFormat="1" x14ac:dyDescent="0.2"/>
    <row r="19690" s="166" customFormat="1" x14ac:dyDescent="0.2"/>
    <row r="19691" s="166" customFormat="1" x14ac:dyDescent="0.2"/>
    <row r="19692" s="166" customFormat="1" x14ac:dyDescent="0.2"/>
    <row r="19693" s="166" customFormat="1" x14ac:dyDescent="0.2"/>
    <row r="19694" s="166" customFormat="1" x14ac:dyDescent="0.2"/>
    <row r="19695" s="166" customFormat="1" x14ac:dyDescent="0.2"/>
    <row r="19696" s="166" customFormat="1" x14ac:dyDescent="0.2"/>
    <row r="19697" s="166" customFormat="1" x14ac:dyDescent="0.2"/>
    <row r="19698" s="166" customFormat="1" x14ac:dyDescent="0.2"/>
    <row r="19699" s="166" customFormat="1" x14ac:dyDescent="0.2"/>
    <row r="19700" s="166" customFormat="1" x14ac:dyDescent="0.2"/>
    <row r="19701" s="166" customFormat="1" x14ac:dyDescent="0.2"/>
    <row r="19702" s="166" customFormat="1" x14ac:dyDescent="0.2"/>
    <row r="19703" s="166" customFormat="1" x14ac:dyDescent="0.2"/>
    <row r="19704" s="166" customFormat="1" x14ac:dyDescent="0.2"/>
    <row r="19705" s="166" customFormat="1" x14ac:dyDescent="0.2"/>
    <row r="19706" s="166" customFormat="1" x14ac:dyDescent="0.2"/>
    <row r="19707" s="166" customFormat="1" x14ac:dyDescent="0.2"/>
    <row r="19708" s="166" customFormat="1" x14ac:dyDescent="0.2"/>
    <row r="19709" s="166" customFormat="1" x14ac:dyDescent="0.2"/>
    <row r="19710" s="166" customFormat="1" x14ac:dyDescent="0.2"/>
    <row r="19711" s="166" customFormat="1" x14ac:dyDescent="0.2"/>
    <row r="19712" s="166" customFormat="1" x14ac:dyDescent="0.2"/>
    <row r="19713" s="166" customFormat="1" x14ac:dyDescent="0.2"/>
    <row r="19714" s="166" customFormat="1" x14ac:dyDescent="0.2"/>
    <row r="19715" s="166" customFormat="1" x14ac:dyDescent="0.2"/>
    <row r="19716" s="166" customFormat="1" x14ac:dyDescent="0.2"/>
    <row r="19717" s="166" customFormat="1" x14ac:dyDescent="0.2"/>
    <row r="19718" s="166" customFormat="1" x14ac:dyDescent="0.2"/>
    <row r="19719" s="166" customFormat="1" x14ac:dyDescent="0.2"/>
    <row r="19720" s="166" customFormat="1" x14ac:dyDescent="0.2"/>
    <row r="19721" s="166" customFormat="1" x14ac:dyDescent="0.2"/>
    <row r="19722" s="166" customFormat="1" x14ac:dyDescent="0.2"/>
    <row r="19723" s="166" customFormat="1" x14ac:dyDescent="0.2"/>
    <row r="19724" s="166" customFormat="1" x14ac:dyDescent="0.2"/>
    <row r="19725" s="166" customFormat="1" x14ac:dyDescent="0.2"/>
    <row r="19726" s="166" customFormat="1" x14ac:dyDescent="0.2"/>
    <row r="19727" s="166" customFormat="1" x14ac:dyDescent="0.2"/>
    <row r="19728" s="166" customFormat="1" x14ac:dyDescent="0.2"/>
    <row r="19729" s="166" customFormat="1" x14ac:dyDescent="0.2"/>
    <row r="19730" s="166" customFormat="1" x14ac:dyDescent="0.2"/>
    <row r="19731" s="166" customFormat="1" x14ac:dyDescent="0.2"/>
    <row r="19732" s="166" customFormat="1" x14ac:dyDescent="0.2"/>
    <row r="19733" s="166" customFormat="1" x14ac:dyDescent="0.2"/>
    <row r="19734" s="166" customFormat="1" x14ac:dyDescent="0.2"/>
    <row r="19735" s="166" customFormat="1" x14ac:dyDescent="0.2"/>
    <row r="19736" s="166" customFormat="1" x14ac:dyDescent="0.2"/>
    <row r="19737" s="166" customFormat="1" x14ac:dyDescent="0.2"/>
    <row r="19738" s="166" customFormat="1" x14ac:dyDescent="0.2"/>
    <row r="19739" s="166" customFormat="1" x14ac:dyDescent="0.2"/>
    <row r="19740" s="166" customFormat="1" x14ac:dyDescent="0.2"/>
    <row r="19741" s="166" customFormat="1" x14ac:dyDescent="0.2"/>
    <row r="19742" s="166" customFormat="1" x14ac:dyDescent="0.2"/>
    <row r="19743" s="166" customFormat="1" x14ac:dyDescent="0.2"/>
    <row r="19744" s="166" customFormat="1" x14ac:dyDescent="0.2"/>
    <row r="19745" s="166" customFormat="1" x14ac:dyDescent="0.2"/>
    <row r="19746" s="166" customFormat="1" x14ac:dyDescent="0.2"/>
    <row r="19747" s="166" customFormat="1" x14ac:dyDescent="0.2"/>
    <row r="19748" s="166" customFormat="1" x14ac:dyDescent="0.2"/>
    <row r="19749" s="166" customFormat="1" x14ac:dyDescent="0.2"/>
    <row r="19750" s="166" customFormat="1" x14ac:dyDescent="0.2"/>
    <row r="19751" s="166" customFormat="1" x14ac:dyDescent="0.2"/>
    <row r="19752" s="166" customFormat="1" x14ac:dyDescent="0.2"/>
    <row r="19753" s="166" customFormat="1" x14ac:dyDescent="0.2"/>
    <row r="19754" s="166" customFormat="1" x14ac:dyDescent="0.2"/>
    <row r="19755" s="166" customFormat="1" x14ac:dyDescent="0.2"/>
    <row r="19756" s="166" customFormat="1" x14ac:dyDescent="0.2"/>
    <row r="19757" s="166" customFormat="1" x14ac:dyDescent="0.2"/>
    <row r="19758" s="166" customFormat="1" x14ac:dyDescent="0.2"/>
    <row r="19759" s="166" customFormat="1" x14ac:dyDescent="0.2"/>
    <row r="19760" s="166" customFormat="1" x14ac:dyDescent="0.2"/>
    <row r="19761" s="166" customFormat="1" x14ac:dyDescent="0.2"/>
    <row r="19762" s="166" customFormat="1" x14ac:dyDescent="0.2"/>
    <row r="19763" s="166" customFormat="1" x14ac:dyDescent="0.2"/>
    <row r="19764" s="166" customFormat="1" x14ac:dyDescent="0.2"/>
    <row r="19765" s="166" customFormat="1" x14ac:dyDescent="0.2"/>
    <row r="19766" s="166" customFormat="1" x14ac:dyDescent="0.2"/>
    <row r="19767" s="166" customFormat="1" x14ac:dyDescent="0.2"/>
    <row r="19768" s="166" customFormat="1" x14ac:dyDescent="0.2"/>
    <row r="19769" s="166" customFormat="1" x14ac:dyDescent="0.2"/>
    <row r="19770" s="166" customFormat="1" x14ac:dyDescent="0.2"/>
    <row r="19771" s="166" customFormat="1" x14ac:dyDescent="0.2"/>
    <row r="19772" s="166" customFormat="1" x14ac:dyDescent="0.2"/>
    <row r="19773" s="166" customFormat="1" x14ac:dyDescent="0.2"/>
    <row r="19774" s="166" customFormat="1" x14ac:dyDescent="0.2"/>
    <row r="19775" s="166" customFormat="1" x14ac:dyDescent="0.2"/>
    <row r="19776" s="166" customFormat="1" x14ac:dyDescent="0.2"/>
    <row r="19777" s="166" customFormat="1" x14ac:dyDescent="0.2"/>
    <row r="19778" s="166" customFormat="1" x14ac:dyDescent="0.2"/>
    <row r="19779" s="166" customFormat="1" x14ac:dyDescent="0.2"/>
    <row r="19780" s="166" customFormat="1" x14ac:dyDescent="0.2"/>
    <row r="19781" s="166" customFormat="1" x14ac:dyDescent="0.2"/>
    <row r="19782" s="166" customFormat="1" x14ac:dyDescent="0.2"/>
    <row r="19783" s="166" customFormat="1" x14ac:dyDescent="0.2"/>
    <row r="19784" s="166" customFormat="1" x14ac:dyDescent="0.2"/>
    <row r="19785" s="166" customFormat="1" x14ac:dyDescent="0.2"/>
    <row r="19786" s="166" customFormat="1" x14ac:dyDescent="0.2"/>
    <row r="19787" s="166" customFormat="1" x14ac:dyDescent="0.2"/>
    <row r="19788" s="166" customFormat="1" x14ac:dyDescent="0.2"/>
    <row r="19789" s="166" customFormat="1" x14ac:dyDescent="0.2"/>
    <row r="19790" s="166" customFormat="1" x14ac:dyDescent="0.2"/>
    <row r="19791" s="166" customFormat="1" x14ac:dyDescent="0.2"/>
    <row r="19792" s="166" customFormat="1" x14ac:dyDescent="0.2"/>
    <row r="19793" s="166" customFormat="1" x14ac:dyDescent="0.2"/>
    <row r="19794" s="166" customFormat="1" x14ac:dyDescent="0.2"/>
    <row r="19795" s="166" customFormat="1" x14ac:dyDescent="0.2"/>
    <row r="19796" s="166" customFormat="1" x14ac:dyDescent="0.2"/>
    <row r="19797" s="166" customFormat="1" x14ac:dyDescent="0.2"/>
    <row r="19798" s="166" customFormat="1" x14ac:dyDescent="0.2"/>
    <row r="19799" s="166" customFormat="1" x14ac:dyDescent="0.2"/>
    <row r="19800" s="166" customFormat="1" x14ac:dyDescent="0.2"/>
    <row r="19801" s="166" customFormat="1" x14ac:dyDescent="0.2"/>
    <row r="19802" s="166" customFormat="1" x14ac:dyDescent="0.2"/>
    <row r="19803" s="166" customFormat="1" x14ac:dyDescent="0.2"/>
    <row r="19804" s="166" customFormat="1" x14ac:dyDescent="0.2"/>
    <row r="19805" s="166" customFormat="1" x14ac:dyDescent="0.2"/>
    <row r="19806" s="166" customFormat="1" x14ac:dyDescent="0.2"/>
    <row r="19807" s="166" customFormat="1" x14ac:dyDescent="0.2"/>
    <row r="19808" s="166" customFormat="1" x14ac:dyDescent="0.2"/>
    <row r="19809" s="166" customFormat="1" x14ac:dyDescent="0.2"/>
    <row r="19810" s="166" customFormat="1" x14ac:dyDescent="0.2"/>
    <row r="19811" s="166" customFormat="1" x14ac:dyDescent="0.2"/>
    <row r="19812" s="166" customFormat="1" x14ac:dyDescent="0.2"/>
    <row r="19813" s="166" customFormat="1" x14ac:dyDescent="0.2"/>
    <row r="19814" s="166" customFormat="1" x14ac:dyDescent="0.2"/>
    <row r="19815" s="166" customFormat="1" x14ac:dyDescent="0.2"/>
    <row r="19816" s="166" customFormat="1" x14ac:dyDescent="0.2"/>
    <row r="19817" s="166" customFormat="1" x14ac:dyDescent="0.2"/>
    <row r="19818" s="166" customFormat="1" x14ac:dyDescent="0.2"/>
    <row r="19819" s="166" customFormat="1" x14ac:dyDescent="0.2"/>
    <row r="19820" s="166" customFormat="1" x14ac:dyDescent="0.2"/>
    <row r="19821" s="166" customFormat="1" x14ac:dyDescent="0.2"/>
    <row r="19822" s="166" customFormat="1" x14ac:dyDescent="0.2"/>
    <row r="19823" s="166" customFormat="1" x14ac:dyDescent="0.2"/>
    <row r="19824" s="166" customFormat="1" x14ac:dyDescent="0.2"/>
    <row r="19825" s="166" customFormat="1" x14ac:dyDescent="0.2"/>
    <row r="19826" s="166" customFormat="1" x14ac:dyDescent="0.2"/>
    <row r="19827" s="166" customFormat="1" x14ac:dyDescent="0.2"/>
    <row r="19828" s="166" customFormat="1" x14ac:dyDescent="0.2"/>
    <row r="19829" s="166" customFormat="1" x14ac:dyDescent="0.2"/>
    <row r="19830" s="166" customFormat="1" x14ac:dyDescent="0.2"/>
    <row r="19831" s="166" customFormat="1" x14ac:dyDescent="0.2"/>
    <row r="19832" s="166" customFormat="1" x14ac:dyDescent="0.2"/>
    <row r="19833" s="166" customFormat="1" x14ac:dyDescent="0.2"/>
    <row r="19834" s="166" customFormat="1" x14ac:dyDescent="0.2"/>
    <row r="19835" s="166" customFormat="1" x14ac:dyDescent="0.2"/>
    <row r="19836" s="166" customFormat="1" x14ac:dyDescent="0.2"/>
    <row r="19837" s="166" customFormat="1" x14ac:dyDescent="0.2"/>
    <row r="19838" s="166" customFormat="1" x14ac:dyDescent="0.2"/>
    <row r="19839" s="166" customFormat="1" x14ac:dyDescent="0.2"/>
    <row r="19840" s="166" customFormat="1" x14ac:dyDescent="0.2"/>
    <row r="19841" s="166" customFormat="1" x14ac:dyDescent="0.2"/>
    <row r="19842" s="166" customFormat="1" x14ac:dyDescent="0.2"/>
    <row r="19843" s="166" customFormat="1" x14ac:dyDescent="0.2"/>
    <row r="19844" s="166" customFormat="1" x14ac:dyDescent="0.2"/>
    <row r="19845" s="166" customFormat="1" x14ac:dyDescent="0.2"/>
    <row r="19846" s="166" customFormat="1" x14ac:dyDescent="0.2"/>
    <row r="19847" s="166" customFormat="1" x14ac:dyDescent="0.2"/>
    <row r="19848" s="166" customFormat="1" x14ac:dyDescent="0.2"/>
    <row r="19849" s="166" customFormat="1" x14ac:dyDescent="0.2"/>
    <row r="19850" s="166" customFormat="1" x14ac:dyDescent="0.2"/>
    <row r="19851" s="166" customFormat="1" x14ac:dyDescent="0.2"/>
    <row r="19852" s="166" customFormat="1" x14ac:dyDescent="0.2"/>
    <row r="19853" s="166" customFormat="1" x14ac:dyDescent="0.2"/>
    <row r="19854" s="166" customFormat="1" x14ac:dyDescent="0.2"/>
    <row r="19855" s="166" customFormat="1" x14ac:dyDescent="0.2"/>
    <row r="19856" s="166" customFormat="1" x14ac:dyDescent="0.2"/>
    <row r="19857" s="166" customFormat="1" x14ac:dyDescent="0.2"/>
    <row r="19858" s="166" customFormat="1" x14ac:dyDescent="0.2"/>
    <row r="19859" s="166" customFormat="1" x14ac:dyDescent="0.2"/>
    <row r="19860" s="166" customFormat="1" x14ac:dyDescent="0.2"/>
    <row r="19861" s="166" customFormat="1" x14ac:dyDescent="0.2"/>
    <row r="19862" s="166" customFormat="1" x14ac:dyDescent="0.2"/>
    <row r="19863" s="166" customFormat="1" x14ac:dyDescent="0.2"/>
    <row r="19864" s="166" customFormat="1" x14ac:dyDescent="0.2"/>
    <row r="19865" s="166" customFormat="1" x14ac:dyDescent="0.2"/>
    <row r="19866" s="166" customFormat="1" x14ac:dyDescent="0.2"/>
    <row r="19867" s="166" customFormat="1" x14ac:dyDescent="0.2"/>
    <row r="19868" s="166" customFormat="1" x14ac:dyDescent="0.2"/>
    <row r="19869" s="166" customFormat="1" x14ac:dyDescent="0.2"/>
    <row r="19870" s="166" customFormat="1" x14ac:dyDescent="0.2"/>
    <row r="19871" s="166" customFormat="1" x14ac:dyDescent="0.2"/>
    <row r="19872" s="166" customFormat="1" x14ac:dyDescent="0.2"/>
    <row r="19873" s="166" customFormat="1" x14ac:dyDescent="0.2"/>
    <row r="19874" s="166" customFormat="1" x14ac:dyDescent="0.2"/>
    <row r="19875" s="166" customFormat="1" x14ac:dyDescent="0.2"/>
    <row r="19876" s="166" customFormat="1" x14ac:dyDescent="0.2"/>
    <row r="19877" s="166" customFormat="1" x14ac:dyDescent="0.2"/>
    <row r="19878" s="166" customFormat="1" x14ac:dyDescent="0.2"/>
    <row r="19879" s="166" customFormat="1" x14ac:dyDescent="0.2"/>
    <row r="19880" s="166" customFormat="1" x14ac:dyDescent="0.2"/>
    <row r="19881" s="166" customFormat="1" x14ac:dyDescent="0.2"/>
    <row r="19882" s="166" customFormat="1" x14ac:dyDescent="0.2"/>
    <row r="19883" s="166" customFormat="1" x14ac:dyDescent="0.2"/>
    <row r="19884" s="166" customFormat="1" x14ac:dyDescent="0.2"/>
    <row r="19885" s="166" customFormat="1" x14ac:dyDescent="0.2"/>
    <row r="19886" s="166" customFormat="1" x14ac:dyDescent="0.2"/>
    <row r="19887" s="166" customFormat="1" x14ac:dyDescent="0.2"/>
    <row r="19888" s="166" customFormat="1" x14ac:dyDescent="0.2"/>
    <row r="19889" s="166" customFormat="1" x14ac:dyDescent="0.2"/>
    <row r="19890" s="166" customFormat="1" x14ac:dyDescent="0.2"/>
    <row r="19891" s="166" customFormat="1" x14ac:dyDescent="0.2"/>
    <row r="19892" s="166" customFormat="1" x14ac:dyDescent="0.2"/>
    <row r="19893" s="166" customFormat="1" x14ac:dyDescent="0.2"/>
    <row r="19894" s="166" customFormat="1" x14ac:dyDescent="0.2"/>
    <row r="19895" s="166" customFormat="1" x14ac:dyDescent="0.2"/>
    <row r="19896" s="166" customFormat="1" x14ac:dyDescent="0.2"/>
    <row r="19897" s="166" customFormat="1" x14ac:dyDescent="0.2"/>
    <row r="19898" s="166" customFormat="1" x14ac:dyDescent="0.2"/>
    <row r="19899" s="166" customFormat="1" x14ac:dyDescent="0.2"/>
    <row r="19900" s="166" customFormat="1" x14ac:dyDescent="0.2"/>
    <row r="19901" s="166" customFormat="1" x14ac:dyDescent="0.2"/>
    <row r="19902" s="166" customFormat="1" x14ac:dyDescent="0.2"/>
    <row r="19903" s="166" customFormat="1" x14ac:dyDescent="0.2"/>
    <row r="19904" s="166" customFormat="1" x14ac:dyDescent="0.2"/>
    <row r="19905" s="166" customFormat="1" x14ac:dyDescent="0.2"/>
    <row r="19906" s="166" customFormat="1" x14ac:dyDescent="0.2"/>
    <row r="19907" s="166" customFormat="1" x14ac:dyDescent="0.2"/>
    <row r="19908" s="166" customFormat="1" x14ac:dyDescent="0.2"/>
    <row r="19909" s="166" customFormat="1" x14ac:dyDescent="0.2"/>
    <row r="19910" s="166" customFormat="1" x14ac:dyDescent="0.2"/>
    <row r="19911" s="166" customFormat="1" x14ac:dyDescent="0.2"/>
    <row r="19912" s="166" customFormat="1" x14ac:dyDescent="0.2"/>
    <row r="19913" s="166" customFormat="1" x14ac:dyDescent="0.2"/>
    <row r="19914" s="166" customFormat="1" x14ac:dyDescent="0.2"/>
    <row r="19915" s="166" customFormat="1" x14ac:dyDescent="0.2"/>
    <row r="19916" s="166" customFormat="1" x14ac:dyDescent="0.2"/>
    <row r="19917" s="166" customFormat="1" x14ac:dyDescent="0.2"/>
    <row r="19918" s="166" customFormat="1" x14ac:dyDescent="0.2"/>
    <row r="19919" s="166" customFormat="1" x14ac:dyDescent="0.2"/>
    <row r="19920" s="166" customFormat="1" x14ac:dyDescent="0.2"/>
    <row r="19921" s="166" customFormat="1" x14ac:dyDescent="0.2"/>
    <row r="19922" s="166" customFormat="1" x14ac:dyDescent="0.2"/>
    <row r="19923" s="166" customFormat="1" x14ac:dyDescent="0.2"/>
    <row r="19924" s="166" customFormat="1" x14ac:dyDescent="0.2"/>
    <row r="19925" s="166" customFormat="1" x14ac:dyDescent="0.2"/>
    <row r="19926" s="166" customFormat="1" x14ac:dyDescent="0.2"/>
    <row r="19927" s="166" customFormat="1" x14ac:dyDescent="0.2"/>
    <row r="19928" s="166" customFormat="1" x14ac:dyDescent="0.2"/>
    <row r="19929" s="166" customFormat="1" x14ac:dyDescent="0.2"/>
    <row r="19930" s="166" customFormat="1" x14ac:dyDescent="0.2"/>
    <row r="19931" s="166" customFormat="1" x14ac:dyDescent="0.2"/>
    <row r="19932" s="166" customFormat="1" x14ac:dyDescent="0.2"/>
    <row r="19933" s="166" customFormat="1" x14ac:dyDescent="0.2"/>
    <row r="19934" s="166" customFormat="1" x14ac:dyDescent="0.2"/>
    <row r="19935" s="166" customFormat="1" x14ac:dyDescent="0.2"/>
    <row r="19936" s="166" customFormat="1" x14ac:dyDescent="0.2"/>
    <row r="19937" s="166" customFormat="1" x14ac:dyDescent="0.2"/>
    <row r="19938" s="166" customFormat="1" x14ac:dyDescent="0.2"/>
    <row r="19939" s="166" customFormat="1" x14ac:dyDescent="0.2"/>
    <row r="19940" s="166" customFormat="1" x14ac:dyDescent="0.2"/>
    <row r="19941" s="166" customFormat="1" x14ac:dyDescent="0.2"/>
    <row r="19942" s="166" customFormat="1" x14ac:dyDescent="0.2"/>
    <row r="19943" s="166" customFormat="1" x14ac:dyDescent="0.2"/>
    <row r="19944" s="166" customFormat="1" x14ac:dyDescent="0.2"/>
    <row r="19945" s="166" customFormat="1" x14ac:dyDescent="0.2"/>
    <row r="19946" s="166" customFormat="1" x14ac:dyDescent="0.2"/>
    <row r="19947" s="166" customFormat="1" x14ac:dyDescent="0.2"/>
    <row r="19948" s="166" customFormat="1" x14ac:dyDescent="0.2"/>
    <row r="19949" s="166" customFormat="1" x14ac:dyDescent="0.2"/>
    <row r="19950" s="166" customFormat="1" x14ac:dyDescent="0.2"/>
    <row r="19951" s="166" customFormat="1" x14ac:dyDescent="0.2"/>
    <row r="19952" s="166" customFormat="1" x14ac:dyDescent="0.2"/>
    <row r="19953" s="166" customFormat="1" x14ac:dyDescent="0.2"/>
    <row r="19954" s="166" customFormat="1" x14ac:dyDescent="0.2"/>
    <row r="19955" s="166" customFormat="1" x14ac:dyDescent="0.2"/>
    <row r="19956" s="166" customFormat="1" x14ac:dyDescent="0.2"/>
    <row r="19957" s="166" customFormat="1" x14ac:dyDescent="0.2"/>
    <row r="19958" s="166" customFormat="1" x14ac:dyDescent="0.2"/>
    <row r="19959" s="166" customFormat="1" x14ac:dyDescent="0.2"/>
    <row r="19960" s="166" customFormat="1" x14ac:dyDescent="0.2"/>
    <row r="19961" s="166" customFormat="1" x14ac:dyDescent="0.2"/>
    <row r="19962" s="166" customFormat="1" x14ac:dyDescent="0.2"/>
    <row r="19963" s="166" customFormat="1" x14ac:dyDescent="0.2"/>
    <row r="19964" s="166" customFormat="1" x14ac:dyDescent="0.2"/>
    <row r="19965" s="166" customFormat="1" x14ac:dyDescent="0.2"/>
    <row r="19966" s="166" customFormat="1" x14ac:dyDescent="0.2"/>
    <row r="19967" s="166" customFormat="1" x14ac:dyDescent="0.2"/>
    <row r="19968" s="166" customFormat="1" x14ac:dyDescent="0.2"/>
    <row r="19969" s="166" customFormat="1" x14ac:dyDescent="0.2"/>
    <row r="19970" s="166" customFormat="1" x14ac:dyDescent="0.2"/>
    <row r="19971" s="166" customFormat="1" x14ac:dyDescent="0.2"/>
    <row r="19972" s="166" customFormat="1" x14ac:dyDescent="0.2"/>
    <row r="19973" s="166" customFormat="1" x14ac:dyDescent="0.2"/>
    <row r="19974" s="166" customFormat="1" x14ac:dyDescent="0.2"/>
    <row r="19975" s="166" customFormat="1" x14ac:dyDescent="0.2"/>
    <row r="19976" s="166" customFormat="1" x14ac:dyDescent="0.2"/>
    <row r="19977" s="166" customFormat="1" x14ac:dyDescent="0.2"/>
    <row r="19978" s="166" customFormat="1" x14ac:dyDescent="0.2"/>
    <row r="19979" s="166" customFormat="1" x14ac:dyDescent="0.2"/>
    <row r="19980" s="166" customFormat="1" x14ac:dyDescent="0.2"/>
    <row r="19981" s="166" customFormat="1" x14ac:dyDescent="0.2"/>
    <row r="19982" s="166" customFormat="1" x14ac:dyDescent="0.2"/>
    <row r="19983" s="166" customFormat="1" x14ac:dyDescent="0.2"/>
    <row r="19984" s="166" customFormat="1" x14ac:dyDescent="0.2"/>
    <row r="19985" s="166" customFormat="1" x14ac:dyDescent="0.2"/>
    <row r="19986" s="166" customFormat="1" x14ac:dyDescent="0.2"/>
    <row r="19987" s="166" customFormat="1" x14ac:dyDescent="0.2"/>
    <row r="19988" s="166" customFormat="1" x14ac:dyDescent="0.2"/>
    <row r="19989" s="166" customFormat="1" x14ac:dyDescent="0.2"/>
    <row r="19990" s="166" customFormat="1" x14ac:dyDescent="0.2"/>
    <row r="19991" s="166" customFormat="1" x14ac:dyDescent="0.2"/>
    <row r="19992" s="166" customFormat="1" x14ac:dyDescent="0.2"/>
    <row r="19993" s="166" customFormat="1" x14ac:dyDescent="0.2"/>
    <row r="19994" s="166" customFormat="1" x14ac:dyDescent="0.2"/>
    <row r="19995" s="166" customFormat="1" x14ac:dyDescent="0.2"/>
    <row r="19996" s="166" customFormat="1" x14ac:dyDescent="0.2"/>
    <row r="19997" s="166" customFormat="1" x14ac:dyDescent="0.2"/>
    <row r="19998" s="166" customFormat="1" x14ac:dyDescent="0.2"/>
    <row r="19999" s="166" customFormat="1" x14ac:dyDescent="0.2"/>
    <row r="20000" s="166" customFormat="1" x14ac:dyDescent="0.2"/>
  </sheetData>
  <sheetProtection password="E10F" sheet="1"/>
  <mergeCells count="5">
    <mergeCell ref="B26:J27"/>
    <mergeCell ref="C8:D8"/>
    <mergeCell ref="E8:F8"/>
    <mergeCell ref="G8:H8"/>
    <mergeCell ref="I8:J8"/>
  </mergeCells>
  <phoneticPr fontId="3" type="noConversion"/>
  <conditionalFormatting sqref="D10:D11 D19 C8 F10:F11 E8 H10:H11 J10:J11 F13:F14 H13:H14 J13:J14 D13:D14 D23:D25 F23:F25 H23:H25 J23:J25">
    <cfRule type="expression" dxfId="145" priority="7" stopIfTrue="1">
      <formula>C8="PASS"</formula>
    </cfRule>
    <cfRule type="expression" dxfId="144" priority="8" stopIfTrue="1">
      <formula>C8="FAIL"</formula>
    </cfRule>
  </conditionalFormatting>
  <conditionalFormatting sqref="G8:J8">
    <cfRule type="expression" dxfId="143" priority="9" stopIfTrue="1">
      <formula>G8="PASS"</formula>
    </cfRule>
    <cfRule type="expression" dxfId="142" priority="10" stopIfTrue="1">
      <formula>G8="FAIL"</formula>
    </cfRule>
    <cfRule type="expression" dxfId="141" priority="11" stopIfTrue="1">
      <formula>G8="N/A"</formula>
    </cfRule>
  </conditionalFormatting>
  <conditionalFormatting sqref="F19">
    <cfRule type="expression" dxfId="140" priority="5" stopIfTrue="1">
      <formula>F19="PASS"</formula>
    </cfRule>
    <cfRule type="expression" dxfId="139" priority="6" stopIfTrue="1">
      <formula>F19="FAIL"</formula>
    </cfRule>
  </conditionalFormatting>
  <conditionalFormatting sqref="H19">
    <cfRule type="expression" dxfId="138" priority="3" stopIfTrue="1">
      <formula>H19="PASS"</formula>
    </cfRule>
    <cfRule type="expression" dxfId="137" priority="4" stopIfTrue="1">
      <formula>H19="FAIL"</formula>
    </cfRule>
  </conditionalFormatting>
  <conditionalFormatting sqref="J19">
    <cfRule type="expression" dxfId="136" priority="1" stopIfTrue="1">
      <formula>J19="PASS"</formula>
    </cfRule>
    <cfRule type="expression" dxfId="135" priority="2" stopIfTrue="1">
      <formula>J19="FAIL"</formula>
    </cfRule>
  </conditionalFormatting>
  <dataValidations count="1">
    <dataValidation type="list" allowBlank="1" showInputMessage="1" showErrorMessage="1" sqref="C3" xr:uid="{00000000-0002-0000-1700-000000000000}">
      <formula1>"2,3,4"</formula1>
    </dataValidation>
  </dataValidations>
  <hyperlinks>
    <hyperlink ref="B29" location="'Monocoque Attachments Guidance'!A1" display="Link to guidance notes" xr:uid="{00000000-0004-0000-1700-000000000000}"/>
    <hyperlink ref="K3" location="'Cover Sheet'!A1" display="BACK to COVER SHEET" xr:uid="{00000000-0004-0000-1700-000001000000}"/>
    <hyperlink ref="K3:M3" location="'Cover Sheet'!A1" display="BACK to COVER SHEET" xr:uid="{00000000-0004-0000-1700-000002000000}"/>
  </hyperlinks>
  <pageMargins left="0.75" right="0.75" top="1" bottom="1" header="0.5" footer="0.5"/>
  <pageSetup paperSize="9"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3"/>
  <dimension ref="B1:AC10000"/>
  <sheetViews>
    <sheetView showGridLines="0" workbookViewId="0">
      <selection activeCell="B1" sqref="B1"/>
    </sheetView>
  </sheetViews>
  <sheetFormatPr baseColWidth="10" defaultColWidth="9.140625" defaultRowHeight="12.75" x14ac:dyDescent="0.2"/>
  <cols>
    <col min="1" max="1" width="4.28515625" customWidth="1"/>
    <col min="2" max="2" width="29" customWidth="1"/>
    <col min="3" max="4" width="7" customWidth="1"/>
    <col min="5" max="5" width="7.42578125" customWidth="1"/>
    <col min="6" max="6" width="6.140625" bestFit="1" customWidth="1"/>
    <col min="7" max="7" width="7.7109375" customWidth="1"/>
    <col min="8" max="8" width="6.140625" bestFit="1" customWidth="1"/>
    <col min="9" max="9" width="7.42578125" customWidth="1"/>
    <col min="10" max="10" width="6.140625" bestFit="1" customWidth="1"/>
  </cols>
  <sheetData>
    <row r="1" spans="2:29" ht="15.75" x14ac:dyDescent="0.25">
      <c r="B1" s="2" t="s">
        <v>196</v>
      </c>
    </row>
    <row r="2" spans="2:29" x14ac:dyDescent="0.2">
      <c r="B2" s="73"/>
      <c r="C2" s="77"/>
      <c r="D2" s="77"/>
      <c r="E2" s="56"/>
      <c r="F2" s="56"/>
    </row>
    <row r="3" spans="2:29" x14ac:dyDescent="0.2">
      <c r="B3" t="s">
        <v>183</v>
      </c>
      <c r="C3" s="165">
        <v>2</v>
      </c>
      <c r="D3" s="75"/>
      <c r="E3" s="56"/>
      <c r="F3" s="56"/>
      <c r="K3" s="298" t="s">
        <v>565</v>
      </c>
      <c r="L3" s="298"/>
      <c r="M3" s="298"/>
    </row>
    <row r="4" spans="2:29" x14ac:dyDescent="0.2">
      <c r="B4" t="s">
        <v>197</v>
      </c>
      <c r="C4" s="165" t="s">
        <v>7</v>
      </c>
      <c r="D4" s="75"/>
      <c r="E4" s="56"/>
      <c r="F4" s="56"/>
    </row>
    <row r="5" spans="2:29" x14ac:dyDescent="0.2">
      <c r="B5" t="s">
        <v>199</v>
      </c>
      <c r="C5" s="165" t="s">
        <v>198</v>
      </c>
      <c r="D5" s="75"/>
      <c r="E5" s="56"/>
      <c r="F5" s="56"/>
    </row>
    <row r="6" spans="2:29" x14ac:dyDescent="0.2">
      <c r="C6" s="316"/>
      <c r="D6" s="75"/>
      <c r="E6" s="56"/>
      <c r="F6" s="56"/>
    </row>
    <row r="7" spans="2:29" x14ac:dyDescent="0.2">
      <c r="C7" s="5" t="s">
        <v>173</v>
      </c>
      <c r="D7" s="77"/>
      <c r="E7" s="5" t="s">
        <v>184</v>
      </c>
      <c r="F7" s="56"/>
      <c r="G7" s="5" t="s">
        <v>185</v>
      </c>
      <c r="I7" s="5" t="s">
        <v>186</v>
      </c>
    </row>
    <row r="8" spans="2:29" x14ac:dyDescent="0.2">
      <c r="B8" s="83" t="s">
        <v>395</v>
      </c>
      <c r="C8" s="749" t="str">
        <f>IF(C3=0,"LAMINATED",IF(AND(D10="PASS",D11="PASS",D13="PASS",D14="PASS",D23="PASS",D19="PASS",D24="PASS",D25="pass"),"PASS","FAIL"))</f>
        <v>FAIL</v>
      </c>
      <c r="D8" s="750"/>
      <c r="E8" s="749" t="str">
        <f>IF(C3=0,"LAMINATED",IF(AND(F10="PASS",F11="PASS",F13="PASS",F14="PASS",F23="PASS",F19="PASS",F24="PASS",F25="pass"),"PASS","FAIL"))</f>
        <v>FAIL</v>
      </c>
      <c r="F8" s="750"/>
      <c r="G8" s="749" t="str">
        <f>IF($C$3&lt;=2,"N/A",IF(AND(H10="PASS",H11="PASS",H13="PASS",H14="PASS",H23="PASS",H19="PASS",H24="PASS",H25="pass"),"PASS","FAIL"))</f>
        <v>N/A</v>
      </c>
      <c r="H8" s="750"/>
      <c r="I8" s="749" t="str">
        <f>IF($C$3&lt;=3,"N/A",IF(AND(J10="PASS",J11="PASS",J13="PASS",J14="PASS",J23="PASS",J19="PASS",J24="PASS",J25="pass"),"PASS","FAIL"))</f>
        <v>N/A</v>
      </c>
      <c r="J8" s="750"/>
      <c r="K8" s="25"/>
      <c r="L8" s="25"/>
      <c r="M8" s="25"/>
      <c r="N8" s="25"/>
      <c r="O8" s="25"/>
      <c r="P8" s="25"/>
      <c r="Q8" s="25"/>
      <c r="R8" s="25"/>
      <c r="S8" s="25"/>
      <c r="T8" s="25"/>
      <c r="U8" s="25"/>
      <c r="V8" s="25"/>
      <c r="W8" s="25"/>
      <c r="X8" s="25"/>
      <c r="Y8" s="25"/>
      <c r="Z8" s="25"/>
      <c r="AA8" s="25"/>
      <c r="AB8" s="25"/>
      <c r="AC8" s="26"/>
    </row>
    <row r="9" spans="2:29" x14ac:dyDescent="0.2">
      <c r="B9" s="78"/>
      <c r="C9" s="82"/>
      <c r="D9" s="81"/>
      <c r="E9" s="77"/>
      <c r="F9" s="80"/>
      <c r="G9" s="77"/>
      <c r="H9" s="20"/>
      <c r="I9" s="1"/>
      <c r="J9" s="20"/>
      <c r="K9" s="31"/>
      <c r="L9" s="31"/>
      <c r="M9" s="31"/>
      <c r="N9" s="31"/>
      <c r="O9" s="31"/>
      <c r="P9" s="31"/>
      <c r="Q9" s="31"/>
      <c r="R9" s="31"/>
      <c r="S9" s="31"/>
      <c r="T9" s="31"/>
      <c r="U9" s="31"/>
      <c r="V9" s="31"/>
      <c r="W9" s="31"/>
      <c r="X9" s="31"/>
      <c r="Y9" s="31"/>
      <c r="Z9" s="31"/>
      <c r="AA9" s="31"/>
      <c r="AB9" s="31"/>
      <c r="AC9" s="32"/>
    </row>
    <row r="10" spans="2:29" x14ac:dyDescent="0.2">
      <c r="B10" s="84" t="s">
        <v>176</v>
      </c>
      <c r="C10" s="160">
        <v>0</v>
      </c>
      <c r="D10" s="86" t="str">
        <f>IF(C10&gt;=8,"PASS","FAIL")</f>
        <v>FAIL</v>
      </c>
      <c r="E10" s="162">
        <v>0</v>
      </c>
      <c r="F10" s="85" t="str">
        <f>IF(E10&gt;=8,"PASS","FAIL")</f>
        <v>FAIL</v>
      </c>
      <c r="G10" s="162">
        <v>0</v>
      </c>
      <c r="H10" s="85" t="str">
        <f>IF(G10&gt;=8,"PASS","FAIL")</f>
        <v>FAIL</v>
      </c>
      <c r="I10" s="162">
        <v>0</v>
      </c>
      <c r="J10" s="85" t="str">
        <f>IF(I10&gt;=8,"PASS","FAIL")</f>
        <v>FAIL</v>
      </c>
      <c r="K10" s="31"/>
      <c r="L10" s="31"/>
      <c r="M10" s="31"/>
      <c r="N10" s="31"/>
      <c r="O10" s="31"/>
      <c r="P10" s="31"/>
      <c r="Q10" s="31"/>
      <c r="R10" s="31"/>
      <c r="S10" s="31"/>
      <c r="T10" s="31"/>
      <c r="U10" s="31"/>
      <c r="V10" s="31"/>
      <c r="W10" s="31"/>
      <c r="X10" s="31"/>
      <c r="Y10" s="31"/>
      <c r="Z10" s="31"/>
      <c r="AA10" s="31"/>
      <c r="AB10" s="31"/>
      <c r="AC10" s="32"/>
    </row>
    <row r="11" spans="2:29" x14ac:dyDescent="0.2">
      <c r="B11" s="87" t="s">
        <v>174</v>
      </c>
      <c r="C11" s="161">
        <v>0</v>
      </c>
      <c r="D11" s="88" t="str">
        <f>IF(C11&gt;=2,"PASS","FAIL")</f>
        <v>FAIL</v>
      </c>
      <c r="E11" s="163">
        <v>0</v>
      </c>
      <c r="F11" s="89" t="str">
        <f>IF(E11&gt;=2,"PASS","FAIL")</f>
        <v>FAIL</v>
      </c>
      <c r="G11" s="163">
        <v>0</v>
      </c>
      <c r="H11" s="89" t="str">
        <f>IF(G11&gt;=2,"PASS","FAIL")</f>
        <v>FAIL</v>
      </c>
      <c r="I11" s="163">
        <v>0</v>
      </c>
      <c r="J11" s="89" t="str">
        <f>IF(I11&gt;=2,"PASS","FAIL")</f>
        <v>FAIL</v>
      </c>
      <c r="K11" s="31"/>
      <c r="L11" s="31"/>
      <c r="M11" s="31"/>
      <c r="N11" s="31"/>
      <c r="O11" s="31"/>
      <c r="P11" s="31"/>
      <c r="Q11" s="31"/>
      <c r="R11" s="31"/>
      <c r="S11" s="31"/>
      <c r="T11" s="31"/>
      <c r="U11" s="31"/>
      <c r="V11" s="31"/>
      <c r="W11" s="31"/>
      <c r="X11" s="31"/>
      <c r="Y11" s="31"/>
      <c r="Z11" s="31"/>
      <c r="AA11" s="31"/>
      <c r="AB11" s="31"/>
      <c r="AC11" s="32"/>
    </row>
    <row r="12" spans="2:29" x14ac:dyDescent="0.2">
      <c r="B12" s="8"/>
      <c r="C12" s="8"/>
      <c r="D12" s="79"/>
      <c r="E12" s="1"/>
      <c r="F12" s="79"/>
      <c r="G12" s="1"/>
      <c r="H12" s="79"/>
      <c r="I12" s="1"/>
      <c r="J12" s="79"/>
      <c r="K12" s="31"/>
      <c r="L12" s="31"/>
      <c r="M12" s="31"/>
      <c r="N12" s="31"/>
      <c r="O12" s="31"/>
      <c r="P12" s="31"/>
      <c r="Q12" s="31"/>
      <c r="R12" s="31"/>
      <c r="S12" s="31"/>
      <c r="T12" s="31"/>
      <c r="U12" s="31"/>
      <c r="V12" s="31"/>
      <c r="W12" s="31"/>
      <c r="X12" s="31"/>
      <c r="Y12" s="31"/>
      <c r="Z12" s="31"/>
      <c r="AA12" s="31"/>
      <c r="AB12" s="31"/>
      <c r="AC12" s="32"/>
    </row>
    <row r="13" spans="2:29" x14ac:dyDescent="0.2">
      <c r="B13" s="90" t="s">
        <v>179</v>
      </c>
      <c r="C13" s="164">
        <v>0</v>
      </c>
      <c r="D13" s="88" t="str">
        <f>IF(OR(AND($C$4="steel",C13&gt;(PI()*25.4)),AND($C$4="alu.",C13&gt;(PI()*30.5))),"PASS","FAIL")</f>
        <v>FAIL</v>
      </c>
      <c r="E13" s="164">
        <v>0</v>
      </c>
      <c r="F13" s="88" t="str">
        <f>IF(OR(AND($C$4="steel",E13&gt;(PI()*25.4)),AND($C$4="alu.",E13&gt;(PI()*30.5))),"PASS","FAIL")</f>
        <v>FAIL</v>
      </c>
      <c r="G13" s="164">
        <v>0</v>
      </c>
      <c r="H13" s="88" t="str">
        <f>IF(OR(AND($C$4="steel",G13&gt;(PI()*25.4)),AND($C$4="alu.",G13&gt;(PI()*30.5))),"PASS","FAIL")</f>
        <v>FAIL</v>
      </c>
      <c r="I13" s="164">
        <v>0</v>
      </c>
      <c r="J13" s="88" t="str">
        <f>IF(OR(AND($C$4="steel",I13&gt;(PI()*25.4)),AND($C$4="alu.",I13&gt;(PI()*30.5))),"PASS","FAIL")</f>
        <v>FAIL</v>
      </c>
      <c r="K13" s="31"/>
      <c r="L13" s="31"/>
      <c r="M13" s="31"/>
      <c r="N13" s="31"/>
      <c r="O13" s="31"/>
      <c r="P13" s="31"/>
      <c r="Q13" s="31"/>
      <c r="R13" s="31"/>
      <c r="S13" s="31"/>
      <c r="T13" s="31"/>
      <c r="U13" s="31"/>
      <c r="V13" s="31"/>
      <c r="W13" s="31"/>
      <c r="X13" s="31"/>
      <c r="Y13" s="31"/>
      <c r="Z13" s="31"/>
      <c r="AA13" s="31"/>
      <c r="AB13" s="31"/>
      <c r="AC13" s="32"/>
    </row>
    <row r="14" spans="2:29" x14ac:dyDescent="0.2">
      <c r="B14" s="87" t="s">
        <v>177</v>
      </c>
      <c r="C14" s="164">
        <v>0</v>
      </c>
      <c r="D14" s="88" t="str">
        <f>IF(C14&gt;=2,"PASS","FAIL")</f>
        <v>FAIL</v>
      </c>
      <c r="E14" s="164">
        <v>0</v>
      </c>
      <c r="F14" s="89" t="str">
        <f>IF(E14&gt;=2,"PASS","FAIL")</f>
        <v>FAIL</v>
      </c>
      <c r="G14" s="164">
        <v>0</v>
      </c>
      <c r="H14" s="89" t="str">
        <f>IF(G14&gt;=2,"PASS","FAIL")</f>
        <v>FAIL</v>
      </c>
      <c r="I14" s="164">
        <v>0</v>
      </c>
      <c r="J14" s="89" t="str">
        <f>IF(I14&gt;=2,"PASS","FAIL")</f>
        <v>FAIL</v>
      </c>
      <c r="K14" s="31"/>
      <c r="L14" s="31"/>
      <c r="M14" s="31"/>
      <c r="N14" s="31"/>
      <c r="O14" s="31"/>
      <c r="P14" s="31"/>
      <c r="Q14" s="31"/>
      <c r="R14" s="31"/>
      <c r="S14" s="31"/>
      <c r="T14" s="31"/>
      <c r="U14" s="31"/>
      <c r="V14" s="31"/>
      <c r="W14" s="31"/>
      <c r="X14" s="31"/>
      <c r="Y14" s="31"/>
      <c r="Z14" s="31"/>
      <c r="AA14" s="31"/>
      <c r="AB14" s="31"/>
      <c r="AC14" s="32"/>
    </row>
    <row r="15" spans="2:29" x14ac:dyDescent="0.2">
      <c r="B15" s="90" t="s">
        <v>178</v>
      </c>
      <c r="C15" s="164">
        <v>0</v>
      </c>
      <c r="D15" s="88"/>
      <c r="E15" s="164">
        <v>0</v>
      </c>
      <c r="F15" s="89"/>
      <c r="G15" s="164">
        <v>0</v>
      </c>
      <c r="H15" s="89"/>
      <c r="I15" s="164">
        <v>0</v>
      </c>
      <c r="J15" s="89"/>
      <c r="K15" s="31"/>
      <c r="L15" s="31"/>
      <c r="M15" s="31"/>
      <c r="N15" s="31"/>
      <c r="O15" s="31"/>
      <c r="P15" s="31"/>
      <c r="Q15" s="31"/>
      <c r="R15" s="31"/>
      <c r="S15" s="31"/>
      <c r="T15" s="31"/>
      <c r="U15" s="31"/>
      <c r="V15" s="31"/>
      <c r="W15" s="31"/>
      <c r="X15" s="31"/>
      <c r="Y15" s="31"/>
      <c r="Z15" s="31"/>
      <c r="AA15" s="31"/>
      <c r="AB15" s="31"/>
      <c r="AC15" s="32"/>
    </row>
    <row r="16" spans="2:29" x14ac:dyDescent="0.2">
      <c r="B16" s="90" t="s">
        <v>190</v>
      </c>
      <c r="C16" s="76">
        <v>0</v>
      </c>
      <c r="D16" s="88"/>
      <c r="E16" s="76">
        <v>0</v>
      </c>
      <c r="F16" s="89"/>
      <c r="G16" s="76">
        <v>0</v>
      </c>
      <c r="H16" s="89"/>
      <c r="I16" s="76">
        <v>0</v>
      </c>
      <c r="J16" s="89"/>
      <c r="K16" s="31"/>
      <c r="L16" s="31"/>
      <c r="M16" s="31"/>
      <c r="N16" s="31"/>
      <c r="O16" s="31"/>
      <c r="P16" s="31"/>
      <c r="Q16" s="31"/>
      <c r="R16" s="31"/>
      <c r="S16" s="31"/>
      <c r="T16" s="31"/>
      <c r="U16" s="31"/>
      <c r="V16" s="31"/>
      <c r="W16" s="31"/>
      <c r="X16" s="31"/>
      <c r="Y16" s="31"/>
      <c r="Z16" s="31"/>
      <c r="AA16" s="31"/>
      <c r="AB16" s="31"/>
      <c r="AC16" s="32"/>
    </row>
    <row r="17" spans="2:29" x14ac:dyDescent="0.2">
      <c r="B17" s="90" t="s">
        <v>394</v>
      </c>
      <c r="C17" s="164">
        <v>0</v>
      </c>
      <c r="D17" s="88"/>
      <c r="E17" s="164">
        <v>0</v>
      </c>
      <c r="F17" s="89"/>
      <c r="G17" s="164">
        <v>0</v>
      </c>
      <c r="H17" s="89"/>
      <c r="I17" s="164">
        <v>0</v>
      </c>
      <c r="J17" s="89"/>
      <c r="K17" s="31"/>
      <c r="L17" s="31"/>
      <c r="M17" s="31"/>
      <c r="N17" s="31"/>
      <c r="O17" s="31"/>
      <c r="P17" s="31"/>
      <c r="Q17" s="31"/>
      <c r="R17" s="31"/>
      <c r="S17" s="31"/>
      <c r="T17" s="31"/>
      <c r="U17" s="31"/>
      <c r="V17" s="31"/>
      <c r="W17" s="31"/>
      <c r="X17" s="31"/>
      <c r="Y17" s="31"/>
      <c r="Z17" s="31"/>
      <c r="AA17" s="31"/>
      <c r="AB17" s="31"/>
      <c r="AC17" s="32"/>
    </row>
    <row r="18" spans="2:29" x14ac:dyDescent="0.2">
      <c r="B18" s="90" t="s">
        <v>190</v>
      </c>
      <c r="C18" s="76">
        <v>0</v>
      </c>
      <c r="D18" s="88"/>
      <c r="E18" s="76">
        <v>0</v>
      </c>
      <c r="F18" s="89"/>
      <c r="G18" s="76">
        <v>0</v>
      </c>
      <c r="H18" s="89"/>
      <c r="I18" s="76">
        <v>0</v>
      </c>
      <c r="J18" s="89"/>
      <c r="K18" s="31"/>
      <c r="L18" s="31"/>
      <c r="M18" s="31"/>
      <c r="N18" s="31"/>
      <c r="O18" s="31"/>
      <c r="P18" s="31"/>
      <c r="Q18" s="31"/>
      <c r="R18" s="31"/>
      <c r="S18" s="31"/>
      <c r="T18" s="31"/>
      <c r="U18" s="31"/>
      <c r="V18" s="31"/>
      <c r="W18" s="31"/>
      <c r="X18" s="31"/>
      <c r="Y18" s="31"/>
      <c r="Z18" s="31"/>
      <c r="AA18" s="31"/>
      <c r="AB18" s="31"/>
      <c r="AC18" s="32"/>
    </row>
    <row r="19" spans="2:29" x14ac:dyDescent="0.2">
      <c r="B19" s="53" t="s">
        <v>180</v>
      </c>
      <c r="C19" s="22">
        <v>0</v>
      </c>
      <c r="D19" s="88" t="str">
        <f>IF(C19&gt;=2,"PASS","FAIL")</f>
        <v>FAIL</v>
      </c>
      <c r="E19" s="22">
        <v>0</v>
      </c>
      <c r="F19" s="89" t="str">
        <f>IF(E19&gt;=2,"PASS","FAIL")</f>
        <v>FAIL</v>
      </c>
      <c r="G19" s="22">
        <v>0</v>
      </c>
      <c r="H19" s="89" t="str">
        <f>IF(G19&gt;=2,"PASS","FAIL")</f>
        <v>FAIL</v>
      </c>
      <c r="I19" s="22">
        <v>0</v>
      </c>
      <c r="J19" s="89" t="str">
        <f>IF(I19&gt;=2,"PASS","FAIL")</f>
        <v>FAIL</v>
      </c>
      <c r="K19" s="31"/>
      <c r="L19" s="31"/>
      <c r="M19" s="31"/>
      <c r="N19" s="31"/>
      <c r="O19" s="31"/>
      <c r="P19" s="31"/>
      <c r="Q19" s="31"/>
      <c r="R19" s="31"/>
      <c r="S19" s="31"/>
      <c r="T19" s="31"/>
      <c r="U19" s="31"/>
      <c r="V19" s="31"/>
      <c r="W19" s="31"/>
      <c r="X19" s="31"/>
      <c r="Y19" s="31"/>
      <c r="Z19" s="31"/>
      <c r="AA19" s="31"/>
      <c r="AB19" s="31"/>
      <c r="AC19" s="32"/>
    </row>
    <row r="20" spans="2:29" x14ac:dyDescent="0.2">
      <c r="B20" s="53" t="s">
        <v>181</v>
      </c>
      <c r="C20" s="22">
        <v>0</v>
      </c>
      <c r="D20" s="21"/>
      <c r="E20" s="22">
        <v>0</v>
      </c>
      <c r="F20" s="69"/>
      <c r="G20" s="22">
        <v>0</v>
      </c>
      <c r="H20" s="69"/>
      <c r="I20" s="22">
        <v>0</v>
      </c>
      <c r="J20" s="69"/>
      <c r="K20" s="31"/>
      <c r="L20" s="31"/>
      <c r="M20" s="31"/>
      <c r="N20" s="31"/>
      <c r="O20" s="31"/>
      <c r="P20" s="31"/>
      <c r="Q20" s="31"/>
      <c r="R20" s="31"/>
      <c r="S20" s="31"/>
      <c r="T20" s="31"/>
      <c r="U20" s="31"/>
      <c r="V20" s="31"/>
      <c r="W20" s="31"/>
      <c r="X20" s="31"/>
      <c r="Y20" s="31"/>
      <c r="Z20" s="31"/>
      <c r="AA20" s="31"/>
      <c r="AB20" s="31"/>
      <c r="AC20" s="32"/>
    </row>
    <row r="21" spans="2:29" x14ac:dyDescent="0.2">
      <c r="B21" s="90" t="s">
        <v>484</v>
      </c>
      <c r="C21" s="159">
        <v>0</v>
      </c>
      <c r="D21" s="88"/>
      <c r="E21" s="164">
        <v>0</v>
      </c>
      <c r="F21" s="89"/>
      <c r="G21" s="164">
        <v>0</v>
      </c>
      <c r="H21" s="89"/>
      <c r="I21" s="164">
        <v>0</v>
      </c>
      <c r="J21" s="89"/>
      <c r="K21" s="31"/>
      <c r="L21" s="31"/>
      <c r="M21" s="31"/>
      <c r="N21" s="31"/>
      <c r="O21" s="31"/>
      <c r="P21" s="31"/>
      <c r="Q21" s="31"/>
      <c r="R21" s="31"/>
      <c r="S21" s="31"/>
      <c r="T21" s="31"/>
      <c r="U21" s="31"/>
      <c r="V21" s="31"/>
      <c r="W21" s="31"/>
      <c r="X21" s="31"/>
      <c r="Y21" s="31"/>
      <c r="Z21" s="31"/>
      <c r="AA21" s="31"/>
      <c r="AB21" s="31"/>
      <c r="AC21" s="32"/>
    </row>
    <row r="22" spans="2:29" x14ac:dyDescent="0.2">
      <c r="B22" s="90" t="s">
        <v>187</v>
      </c>
      <c r="C22" s="91">
        <f>IF($C$5="SIS",'T2.6.9 Shear Tests'!$W$54,'T2.6.9 Shear Tests'!$D$54)</f>
        <v>0</v>
      </c>
      <c r="D22" s="88"/>
      <c r="E22" s="92">
        <f>C22</f>
        <v>0</v>
      </c>
      <c r="F22" s="89"/>
      <c r="G22" s="92">
        <f>C22</f>
        <v>0</v>
      </c>
      <c r="H22" s="89"/>
      <c r="I22" s="92">
        <f>C22</f>
        <v>0</v>
      </c>
      <c r="J22" s="89"/>
      <c r="K22" s="31"/>
      <c r="L22" s="31"/>
      <c r="M22" s="31"/>
      <c r="N22" s="31"/>
      <c r="O22" s="31"/>
      <c r="P22" s="31"/>
      <c r="Q22" s="31"/>
      <c r="R22" s="31"/>
      <c r="S22" s="31"/>
      <c r="T22" s="31"/>
      <c r="U22" s="31"/>
      <c r="V22" s="31"/>
      <c r="W22" s="31"/>
      <c r="X22" s="31"/>
      <c r="Y22" s="31"/>
      <c r="Z22" s="31"/>
      <c r="AA22" s="31"/>
      <c r="AB22" s="31"/>
      <c r="AC22" s="32"/>
    </row>
    <row r="23" spans="2:29" x14ac:dyDescent="0.2">
      <c r="B23" s="90" t="s">
        <v>182</v>
      </c>
      <c r="C23" s="93">
        <f>((C15*C16)+(C17*C18))*C22*0.001</f>
        <v>0</v>
      </c>
      <c r="D23" s="88" t="str">
        <f>IF(C23&gt;=30,"PASS","FAIL")</f>
        <v>FAIL</v>
      </c>
      <c r="E23" s="93">
        <f>((E15*E16)+(E17*E18))*E22*0.001</f>
        <v>0</v>
      </c>
      <c r="F23" s="89" t="str">
        <f>IF(E23&gt;=30,"PASS","FAIL")</f>
        <v>FAIL</v>
      </c>
      <c r="G23" s="93">
        <f>((G15*G16)+(G17*G18))*G22*0.001</f>
        <v>0</v>
      </c>
      <c r="H23" s="89" t="str">
        <f>IF(G23&gt;=30,"PASS","FAIL")</f>
        <v>FAIL</v>
      </c>
      <c r="I23" s="93">
        <f>((I15*I16)+(I17*I18))*I22*0.001</f>
        <v>0</v>
      </c>
      <c r="J23" s="89" t="str">
        <f>IF(I23&gt;=30,"PASS","FAIL")</f>
        <v>FAIL</v>
      </c>
      <c r="K23" s="31"/>
      <c r="L23" s="31"/>
      <c r="M23" s="31"/>
      <c r="N23" s="31"/>
      <c r="O23" s="31"/>
      <c r="P23" s="31"/>
      <c r="Q23" s="31"/>
      <c r="R23" s="31"/>
      <c r="S23" s="31"/>
      <c r="T23" s="31"/>
      <c r="U23" s="31"/>
      <c r="V23" s="31"/>
      <c r="W23" s="31"/>
      <c r="X23" s="31"/>
      <c r="Y23" s="31"/>
      <c r="Z23" s="31"/>
      <c r="AA23" s="31"/>
      <c r="AB23" s="31"/>
      <c r="AC23" s="32"/>
    </row>
    <row r="24" spans="2:29" x14ac:dyDescent="0.2">
      <c r="B24" s="53" t="s">
        <v>182</v>
      </c>
      <c r="C24" s="93">
        <f>((C16*C17)+(C18*C20))*C22*0.001</f>
        <v>0</v>
      </c>
      <c r="D24" s="88" t="str">
        <f>IF(C24&gt;=30,"PASS","FAIL")</f>
        <v>FAIL</v>
      </c>
      <c r="E24" s="93">
        <f>((E16*E17)+(E18*E20))*E22*0.001</f>
        <v>0</v>
      </c>
      <c r="F24" s="89" t="str">
        <f>IF(E24&gt;=30,"PASS","FAIL")</f>
        <v>FAIL</v>
      </c>
      <c r="G24" s="93">
        <f>((G16*G17)+(G18*G20))*G22*0.001</f>
        <v>0</v>
      </c>
      <c r="H24" s="89" t="str">
        <f>IF(G24&gt;=30,"PASS","FAIL")</f>
        <v>FAIL</v>
      </c>
      <c r="I24" s="93">
        <f>((I16*I17)+(I18*I20))*I22*0.001</f>
        <v>0</v>
      </c>
      <c r="J24" s="89" t="str">
        <f>IF(I24&gt;=30,"PASS","FAIL")</f>
        <v>FAIL</v>
      </c>
      <c r="K24" s="31"/>
      <c r="L24" s="31"/>
      <c r="M24" s="31"/>
      <c r="N24" s="31"/>
      <c r="O24" s="31"/>
      <c r="P24" s="31"/>
      <c r="Q24" s="31"/>
      <c r="R24" s="31"/>
      <c r="S24" s="31"/>
      <c r="T24" s="31"/>
      <c r="U24" s="31"/>
      <c r="V24" s="31"/>
      <c r="W24" s="31"/>
      <c r="X24" s="31"/>
      <c r="Y24" s="31"/>
      <c r="Z24" s="31"/>
      <c r="AA24" s="31"/>
      <c r="AB24" s="31"/>
      <c r="AC24" s="32"/>
    </row>
    <row r="25" spans="2:29" x14ac:dyDescent="0.2">
      <c r="B25" s="401" t="s">
        <v>483</v>
      </c>
      <c r="C25" s="402">
        <f>C22*2*C21*(C16+C18)*0.001</f>
        <v>0</v>
      </c>
      <c r="D25" s="88" t="str">
        <f>IF(C25&gt;=30,"PASS","FAIL")</f>
        <v>FAIL</v>
      </c>
      <c r="E25" s="402">
        <f>E22*2*E21*(E16+E18)*0.001</f>
        <v>0</v>
      </c>
      <c r="F25" s="89" t="str">
        <f>IF(E25&gt;=30,"PASS","FAIL")</f>
        <v>FAIL</v>
      </c>
      <c r="G25" s="402">
        <f>G22*2*G21*(G16+G18)*0.001</f>
        <v>0</v>
      </c>
      <c r="H25" s="89" t="str">
        <f>IF(G25&gt;=30,"PASS","FAIL")</f>
        <v>FAIL</v>
      </c>
      <c r="I25" s="402">
        <f>I22*2*I21*(I16+I18)*0.001</f>
        <v>0</v>
      </c>
      <c r="J25" s="89" t="str">
        <f>IF(I25&gt;=30,"PASS","FAIL")</f>
        <v>FAIL</v>
      </c>
      <c r="K25" s="31"/>
      <c r="L25" s="31"/>
      <c r="M25" s="31"/>
      <c r="N25" s="31"/>
      <c r="O25" s="31"/>
      <c r="P25" s="31"/>
      <c r="Q25" s="31"/>
      <c r="R25" s="31"/>
      <c r="S25" s="31"/>
      <c r="T25" s="31"/>
      <c r="U25" s="31"/>
      <c r="V25" s="31"/>
      <c r="W25" s="31"/>
      <c r="X25" s="31"/>
      <c r="Y25" s="31"/>
      <c r="Z25" s="31"/>
      <c r="AA25" s="31"/>
      <c r="AB25" s="31"/>
      <c r="AC25" s="32"/>
    </row>
    <row r="26" spans="2:29" x14ac:dyDescent="0.2">
      <c r="B26" s="751" t="s">
        <v>519</v>
      </c>
      <c r="C26" s="752"/>
      <c r="D26" s="752"/>
      <c r="E26" s="752"/>
      <c r="F26" s="752"/>
      <c r="G26" s="752"/>
      <c r="H26" s="752"/>
      <c r="I26" s="752"/>
      <c r="J26" s="753"/>
      <c r="K26" s="30"/>
      <c r="L26" s="31"/>
      <c r="M26" s="31"/>
      <c r="N26" s="31"/>
      <c r="O26" s="31"/>
      <c r="P26" s="31"/>
      <c r="Q26" s="31"/>
      <c r="R26" s="31"/>
      <c r="S26" s="31"/>
      <c r="T26" s="31"/>
      <c r="U26" s="31"/>
      <c r="V26" s="31"/>
      <c r="W26" s="31"/>
      <c r="X26" s="31"/>
      <c r="Y26" s="31"/>
      <c r="Z26" s="31"/>
      <c r="AA26" s="31"/>
      <c r="AB26" s="31"/>
      <c r="AC26" s="32"/>
    </row>
    <row r="27" spans="2:29" x14ac:dyDescent="0.2">
      <c r="B27" s="754"/>
      <c r="C27" s="755"/>
      <c r="D27" s="755"/>
      <c r="E27" s="755"/>
      <c r="F27" s="755"/>
      <c r="G27" s="755"/>
      <c r="H27" s="755"/>
      <c r="I27" s="755"/>
      <c r="J27" s="756"/>
      <c r="K27" s="30"/>
      <c r="L27" s="31"/>
      <c r="M27" s="31"/>
      <c r="N27" s="31"/>
      <c r="O27" s="31"/>
      <c r="P27" s="31"/>
      <c r="Q27" s="31"/>
      <c r="R27" s="31"/>
      <c r="S27" s="31"/>
      <c r="T27" s="31"/>
      <c r="U27" s="31"/>
      <c r="V27" s="31"/>
      <c r="W27" s="31"/>
      <c r="X27" s="31"/>
      <c r="Y27" s="31"/>
      <c r="Z27" s="31"/>
      <c r="AA27" s="31"/>
      <c r="AB27" s="31"/>
      <c r="AC27" s="32"/>
    </row>
    <row r="28" spans="2:29" s="166" customFormat="1" x14ac:dyDescent="0.2">
      <c r="B28" s="24"/>
      <c r="C28" s="25"/>
      <c r="D28" s="25"/>
      <c r="E28" s="25"/>
      <c r="F28" s="25"/>
      <c r="G28" s="25"/>
      <c r="H28" s="25"/>
      <c r="I28" s="25"/>
      <c r="J28" s="25"/>
      <c r="K28" s="31"/>
      <c r="L28" s="31"/>
      <c r="M28" s="31"/>
      <c r="N28" s="31"/>
      <c r="O28" s="31"/>
      <c r="P28" s="31"/>
      <c r="Q28" s="31"/>
      <c r="R28" s="31"/>
      <c r="S28" s="31"/>
      <c r="T28" s="31"/>
      <c r="U28" s="31"/>
      <c r="V28" s="31"/>
      <c r="W28" s="31"/>
      <c r="X28" s="31"/>
      <c r="Y28" s="31"/>
      <c r="Z28" s="31"/>
      <c r="AA28" s="31"/>
      <c r="AB28" s="31"/>
      <c r="AC28" s="32"/>
    </row>
    <row r="29" spans="2:29" s="166" customFormat="1" x14ac:dyDescent="0.2">
      <c r="B29" s="513" t="s">
        <v>480</v>
      </c>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2"/>
    </row>
    <row r="30" spans="2:29" s="166" customFormat="1" x14ac:dyDescent="0.2">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2"/>
    </row>
    <row r="31" spans="2:29" s="166" customFormat="1" x14ac:dyDescent="0.2">
      <c r="B31" s="30"/>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2"/>
    </row>
    <row r="32" spans="2:29"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2"/>
    </row>
    <row r="33" spans="2:29" s="166" customFormat="1" x14ac:dyDescent="0.2">
      <c r="B33" s="30"/>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2"/>
    </row>
    <row r="34" spans="2:29"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2"/>
    </row>
    <row r="35" spans="2:29"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2"/>
    </row>
    <row r="36" spans="2:29"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2"/>
    </row>
    <row r="37" spans="2:29"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2"/>
    </row>
    <row r="38" spans="2:29"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2"/>
    </row>
    <row r="39" spans="2:29"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2"/>
    </row>
    <row r="40" spans="2:29"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2"/>
    </row>
    <row r="41" spans="2:29"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2"/>
    </row>
    <row r="42" spans="2:29"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2"/>
    </row>
    <row r="43" spans="2:29"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2"/>
    </row>
    <row r="44" spans="2:29"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2"/>
    </row>
    <row r="45" spans="2:29"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2"/>
    </row>
    <row r="46" spans="2:29"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2"/>
    </row>
    <row r="47" spans="2:29"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2"/>
    </row>
    <row r="48" spans="2:29"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2"/>
    </row>
    <row r="49" spans="2:29"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2"/>
    </row>
    <row r="50" spans="2:29"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2"/>
    </row>
    <row r="51" spans="2:29"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2"/>
    </row>
    <row r="52" spans="2:29"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2"/>
    </row>
    <row r="53" spans="2:29"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2"/>
    </row>
    <row r="54" spans="2:29" s="166" customFormat="1" x14ac:dyDescent="0.2">
      <c r="B54" s="38"/>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9"/>
    </row>
    <row r="55" spans="2:29" s="166" customFormat="1" x14ac:dyDescent="0.2"/>
    <row r="56" spans="2:29" s="166" customFormat="1" x14ac:dyDescent="0.2"/>
    <row r="57" spans="2:29" s="166" customFormat="1" x14ac:dyDescent="0.2"/>
    <row r="58" spans="2:29" s="166" customFormat="1" x14ac:dyDescent="0.2"/>
    <row r="59" spans="2:29" s="166" customFormat="1" x14ac:dyDescent="0.2"/>
    <row r="60" spans="2:29" s="166" customFormat="1" x14ac:dyDescent="0.2"/>
    <row r="61" spans="2:29" s="166" customFormat="1" x14ac:dyDescent="0.2"/>
    <row r="62" spans="2:29" s="166" customFormat="1" x14ac:dyDescent="0.2"/>
    <row r="63" spans="2:29" s="166" customFormat="1" x14ac:dyDescent="0.2"/>
    <row r="64" spans="2:29"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sheetData>
  <sheetProtection password="E10F" sheet="1"/>
  <mergeCells count="5">
    <mergeCell ref="B26:J27"/>
    <mergeCell ref="C8:D8"/>
    <mergeCell ref="E8:F8"/>
    <mergeCell ref="G8:H8"/>
    <mergeCell ref="I8:J8"/>
  </mergeCells>
  <phoneticPr fontId="3" type="noConversion"/>
  <conditionalFormatting sqref="D10:D11 D13:D14 D19 C8 F10:F11 J19 F19 E8 H10:H11 F13:F14 H19 J10:J11 H13:H14 J13:J14 D23:D25 F23:F25 H23:H25 J23:J25">
    <cfRule type="expression" dxfId="134" priority="5" stopIfTrue="1">
      <formula>C8="PASS"</formula>
    </cfRule>
    <cfRule type="expression" dxfId="133" priority="6" stopIfTrue="1">
      <formula>C8="FAIL"</formula>
    </cfRule>
  </conditionalFormatting>
  <conditionalFormatting sqref="G8:J8">
    <cfRule type="expression" dxfId="132" priority="7" stopIfTrue="1">
      <formula>G8="PASS"</formula>
    </cfRule>
    <cfRule type="expression" dxfId="131" priority="8" stopIfTrue="1">
      <formula>G8="FAIL"</formula>
    </cfRule>
    <cfRule type="expression" dxfId="130" priority="9" stopIfTrue="1">
      <formula>G8="N/A"</formula>
    </cfRule>
  </conditionalFormatting>
  <conditionalFormatting sqref="C8:D8">
    <cfRule type="cellIs" dxfId="129" priority="4" stopIfTrue="1" operator="equal">
      <formula>"laminated"</formula>
    </cfRule>
  </conditionalFormatting>
  <conditionalFormatting sqref="E8:F8">
    <cfRule type="cellIs" dxfId="128" priority="3" stopIfTrue="1" operator="equal">
      <formula>"laminated"</formula>
    </cfRule>
  </conditionalFormatting>
  <dataValidations count="3">
    <dataValidation type="list" allowBlank="1" showInputMessage="1" showErrorMessage="1" sqref="C4" xr:uid="{00000000-0002-0000-1800-000000000000}">
      <formula1>"Steel, Alu."</formula1>
    </dataValidation>
    <dataValidation type="list" allowBlank="1" showInputMessage="1" showErrorMessage="1" sqref="C5" xr:uid="{00000000-0002-0000-1800-000001000000}">
      <formula1>"SIS, FBHS"</formula1>
    </dataValidation>
    <dataValidation type="list" allowBlank="1" showInputMessage="1" showErrorMessage="1" sqref="C3" xr:uid="{00000000-0002-0000-1800-000002000000}">
      <formula1>"0,2,3,4"</formula1>
    </dataValidation>
  </dataValidations>
  <hyperlinks>
    <hyperlink ref="B29" location="'Monocoque Attachments Guidance'!A1" display="Link to guidance notes" xr:uid="{00000000-0004-0000-1800-000000000000}"/>
    <hyperlink ref="K3" location="'Cover Sheet'!A1" display="BACK to COVER SHEET" xr:uid="{00000000-0004-0000-1800-000001000000}"/>
    <hyperlink ref="K3:M3" location="'Cover Sheet'!A1" display="BACK to COVER SHEET" xr:uid="{00000000-0004-0000-1800-000002000000}"/>
  </hyperlinks>
  <pageMargins left="0.75" right="0.75" top="1" bottom="1" header="0.5" footer="0.5"/>
  <pageSetup paperSize="9"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B1:AC10001"/>
  <sheetViews>
    <sheetView showGridLines="0" workbookViewId="0">
      <selection activeCell="B1" sqref="B1"/>
    </sheetView>
  </sheetViews>
  <sheetFormatPr baseColWidth="10" defaultColWidth="9.140625" defaultRowHeight="12.75" x14ac:dyDescent="0.2"/>
  <cols>
    <col min="1" max="1" width="4.28515625" customWidth="1"/>
    <col min="2" max="2" width="29" customWidth="1"/>
    <col min="3" max="4" width="7" customWidth="1"/>
    <col min="5" max="5" width="7.42578125" customWidth="1"/>
    <col min="6" max="6" width="6.140625" bestFit="1" customWidth="1"/>
    <col min="7" max="7" width="7.42578125" customWidth="1"/>
    <col min="8" max="8" width="6.140625" bestFit="1" customWidth="1"/>
  </cols>
  <sheetData>
    <row r="1" spans="2:29" ht="15.75" x14ac:dyDescent="0.25">
      <c r="B1" s="2" t="s">
        <v>202</v>
      </c>
    </row>
    <row r="3" spans="2:29" x14ac:dyDescent="0.2">
      <c r="B3" t="s">
        <v>203</v>
      </c>
      <c r="C3" s="165" t="s">
        <v>195</v>
      </c>
      <c r="D3" s="75"/>
      <c r="E3" s="56"/>
      <c r="F3" s="56"/>
      <c r="G3" s="298" t="s">
        <v>565</v>
      </c>
      <c r="H3" s="298"/>
      <c r="I3" s="298"/>
    </row>
    <row r="4" spans="2:29" x14ac:dyDescent="0.2">
      <c r="B4" t="s">
        <v>206</v>
      </c>
      <c r="C4" s="165" t="s">
        <v>7</v>
      </c>
      <c r="D4" s="75"/>
      <c r="E4" s="56"/>
      <c r="F4" s="56"/>
    </row>
    <row r="5" spans="2:29" x14ac:dyDescent="0.2">
      <c r="B5" t="s">
        <v>199</v>
      </c>
      <c r="C5" s="165" t="s">
        <v>198</v>
      </c>
      <c r="D5" s="75"/>
      <c r="E5" s="56"/>
      <c r="F5" s="56"/>
    </row>
    <row r="6" spans="2:29" x14ac:dyDescent="0.2">
      <c r="B6" t="s">
        <v>204</v>
      </c>
      <c r="C6" s="165" t="s">
        <v>195</v>
      </c>
      <c r="D6" s="75"/>
      <c r="E6" s="56"/>
      <c r="F6" s="56"/>
    </row>
    <row r="7" spans="2:29" x14ac:dyDescent="0.2">
      <c r="C7" s="432"/>
      <c r="D7" s="75"/>
      <c r="E7" s="56"/>
    </row>
    <row r="8" spans="2:29" x14ac:dyDescent="0.2">
      <c r="C8" s="317" t="s">
        <v>398</v>
      </c>
      <c r="D8" s="75"/>
      <c r="E8" s="127" t="s">
        <v>399</v>
      </c>
    </row>
    <row r="9" spans="2:29" x14ac:dyDescent="0.2">
      <c r="B9" s="83" t="s">
        <v>395</v>
      </c>
      <c r="C9" s="749" t="str">
        <f>IF(C3="YES",IF(AND(D11="PASS",D12="PASS",D14="PASS",D15="PASS",D24="PASS",D20="PASS",D25="PASS",D26="pass"),"PASS","FAIL"),"N/A")</f>
        <v>N/A</v>
      </c>
      <c r="D9" s="750"/>
      <c r="E9" s="749" t="str">
        <f>IF(C6="YES",IF(AND(F11="PASS",F12="PASS",F14="PASS",F15="PASS",F24="PASS",F20="PASS",F25="PASS"),"PASS","FAIL"),"N/A")</f>
        <v>N/A</v>
      </c>
      <c r="F9" s="750"/>
      <c r="G9" s="757"/>
      <c r="H9" s="757"/>
      <c r="I9" s="25"/>
      <c r="J9" s="25"/>
      <c r="K9" s="25"/>
      <c r="L9" s="25"/>
      <c r="M9" s="25"/>
      <c r="N9" s="25"/>
      <c r="O9" s="25"/>
      <c r="P9" s="25"/>
      <c r="Q9" s="25"/>
      <c r="R9" s="25"/>
      <c r="S9" s="25"/>
      <c r="T9" s="25"/>
      <c r="U9" s="25"/>
      <c r="V9" s="25"/>
      <c r="W9" s="25"/>
      <c r="X9" s="25"/>
      <c r="Y9" s="25"/>
      <c r="Z9" s="25"/>
      <c r="AA9" s="25"/>
      <c r="AB9" s="25"/>
      <c r="AC9" s="26"/>
    </row>
    <row r="10" spans="2:29" x14ac:dyDescent="0.2">
      <c r="B10" s="78"/>
      <c r="C10" s="82"/>
      <c r="D10" s="81"/>
      <c r="E10" s="77"/>
      <c r="F10" s="80"/>
      <c r="G10" s="31"/>
      <c r="H10" s="31"/>
      <c r="I10" s="31"/>
      <c r="J10" s="31"/>
      <c r="K10" s="31"/>
      <c r="L10" s="31"/>
      <c r="M10" s="31"/>
      <c r="N10" s="31"/>
      <c r="O10" s="31"/>
      <c r="P10" s="31"/>
      <c r="Q10" s="31"/>
      <c r="R10" s="31"/>
      <c r="S10" s="31"/>
      <c r="T10" s="31"/>
      <c r="U10" s="31"/>
      <c r="V10" s="31"/>
      <c r="W10" s="31"/>
      <c r="X10" s="31"/>
      <c r="Y10" s="31"/>
      <c r="Z10" s="31"/>
      <c r="AA10" s="31"/>
      <c r="AB10" s="31"/>
      <c r="AC10" s="32"/>
    </row>
    <row r="11" spans="2:29" x14ac:dyDescent="0.2">
      <c r="B11" s="84" t="s">
        <v>176</v>
      </c>
      <c r="C11" s="167">
        <v>0</v>
      </c>
      <c r="D11" s="86" t="str">
        <f>IF(C11&gt;=8,"PASS","FAIL")</f>
        <v>FAIL</v>
      </c>
      <c r="E11" s="168">
        <v>0</v>
      </c>
      <c r="F11" s="86" t="str">
        <f>IF(E11&gt;=8,"PASS","FAIL")</f>
        <v>FAIL</v>
      </c>
      <c r="G11" s="422"/>
      <c r="H11" s="425"/>
      <c r="I11" s="31"/>
      <c r="J11" s="31"/>
      <c r="K11" s="31"/>
      <c r="L11" s="31"/>
      <c r="M11" s="31"/>
      <c r="N11" s="31"/>
      <c r="O11" s="31"/>
      <c r="P11" s="31"/>
      <c r="Q11" s="31"/>
      <c r="R11" s="31"/>
      <c r="S11" s="31"/>
      <c r="T11" s="31"/>
      <c r="U11" s="31"/>
      <c r="V11" s="31"/>
      <c r="W11" s="31"/>
      <c r="X11" s="31"/>
      <c r="Y11" s="31"/>
      <c r="Z11" s="31"/>
      <c r="AA11" s="31"/>
      <c r="AB11" s="31"/>
      <c r="AC11" s="32"/>
    </row>
    <row r="12" spans="2:29" x14ac:dyDescent="0.2">
      <c r="B12" s="87" t="s">
        <v>174</v>
      </c>
      <c r="C12" s="161">
        <v>0</v>
      </c>
      <c r="D12" s="88" t="str">
        <f>IF(OR(AND(C11&gt;=8,C11&lt;10,C12&gt;=2),AND(C11&gt;=10,C12&gt;=1)),"PASS","FAIL")</f>
        <v>FAIL</v>
      </c>
      <c r="E12" s="163">
        <v>0</v>
      </c>
      <c r="F12" s="88" t="str">
        <f>IF(OR(AND(E11&gt;=8,E11&lt;10,E12&gt;=2),AND(E11&gt;=10,E12&gt;=1)),"PASS","FAIL")</f>
        <v>FAIL</v>
      </c>
      <c r="G12" s="427"/>
      <c r="H12" s="425"/>
      <c r="I12" s="31"/>
      <c r="J12" s="31"/>
      <c r="K12" s="31"/>
      <c r="L12" s="31"/>
      <c r="M12" s="31"/>
      <c r="N12" s="31"/>
      <c r="O12" s="31"/>
      <c r="P12" s="31"/>
      <c r="Q12" s="31"/>
      <c r="R12" s="31"/>
      <c r="S12" s="31"/>
      <c r="T12" s="31"/>
      <c r="U12" s="31"/>
      <c r="V12" s="31"/>
      <c r="W12" s="31"/>
      <c r="X12" s="31"/>
      <c r="Y12" s="31"/>
      <c r="Z12" s="31"/>
      <c r="AA12" s="31"/>
      <c r="AB12" s="31"/>
      <c r="AC12" s="32"/>
    </row>
    <row r="13" spans="2:29" x14ac:dyDescent="0.2">
      <c r="B13" s="8"/>
      <c r="C13" s="8"/>
      <c r="D13" s="79"/>
      <c r="E13" s="1"/>
      <c r="F13" s="79"/>
      <c r="G13" s="31"/>
      <c r="H13" s="428"/>
      <c r="I13" s="31"/>
      <c r="J13" s="31"/>
      <c r="K13" s="31"/>
      <c r="L13" s="31"/>
      <c r="M13" s="31"/>
      <c r="N13" s="31"/>
      <c r="O13" s="31"/>
      <c r="P13" s="31"/>
      <c r="Q13" s="31"/>
      <c r="R13" s="31"/>
      <c r="S13" s="31"/>
      <c r="T13" s="31"/>
      <c r="U13" s="31"/>
      <c r="V13" s="31"/>
      <c r="W13" s="31"/>
      <c r="X13" s="31"/>
      <c r="Y13" s="31"/>
      <c r="Z13" s="31"/>
      <c r="AA13" s="31"/>
      <c r="AB13" s="31"/>
      <c r="AC13" s="32"/>
    </row>
    <row r="14" spans="2:29" x14ac:dyDescent="0.2">
      <c r="B14" s="90" t="s">
        <v>205</v>
      </c>
      <c r="C14" s="159">
        <v>0</v>
      </c>
      <c r="D14" s="88" t="str">
        <f>IF(OR(AND($C$4="steel",C14&gt;(PI()*25.4)),AND($C$4="alu.",C14&gt;(PI()*30.5))),"PASS","FAIL")</f>
        <v>FAIL</v>
      </c>
      <c r="E14" s="164">
        <v>0</v>
      </c>
      <c r="F14" s="88" t="str">
        <f>IF(E14&gt;(PI()*25.4),"PASS","FAIL")</f>
        <v>FAIL</v>
      </c>
      <c r="G14" s="422"/>
      <c r="H14" s="425"/>
      <c r="I14" s="31"/>
      <c r="J14" s="31"/>
      <c r="K14" s="31"/>
      <c r="L14" s="31"/>
      <c r="M14" s="31"/>
      <c r="N14" s="31"/>
      <c r="O14" s="31"/>
      <c r="P14" s="31"/>
      <c r="Q14" s="31"/>
      <c r="R14" s="31"/>
      <c r="S14" s="31"/>
      <c r="T14" s="31"/>
      <c r="U14" s="31"/>
      <c r="V14" s="31"/>
      <c r="W14" s="31"/>
      <c r="X14" s="31"/>
      <c r="Y14" s="31"/>
      <c r="Z14" s="31"/>
      <c r="AA14" s="31"/>
      <c r="AB14" s="31"/>
      <c r="AC14" s="32"/>
    </row>
    <row r="15" spans="2:29" x14ac:dyDescent="0.2">
      <c r="B15" s="87" t="s">
        <v>177</v>
      </c>
      <c r="C15" s="159">
        <v>0</v>
      </c>
      <c r="D15" s="88" t="str">
        <f>IF(C15&gt;=2,"PASS","FAIL")</f>
        <v>FAIL</v>
      </c>
      <c r="E15" s="164">
        <v>0</v>
      </c>
      <c r="F15" s="89" t="str">
        <f>IF(E15&gt;=2,"PASS","FAIL")</f>
        <v>FAIL</v>
      </c>
      <c r="G15" s="422"/>
      <c r="H15" s="425"/>
      <c r="I15" s="31"/>
      <c r="J15" s="31"/>
      <c r="K15" s="31"/>
      <c r="L15" s="31"/>
      <c r="M15" s="31"/>
      <c r="N15" s="31"/>
      <c r="O15" s="31"/>
      <c r="P15" s="31"/>
      <c r="Q15" s="31"/>
      <c r="R15" s="31"/>
      <c r="S15" s="31"/>
      <c r="T15" s="31"/>
      <c r="U15" s="31"/>
      <c r="V15" s="31"/>
      <c r="W15" s="31"/>
      <c r="X15" s="31"/>
      <c r="Y15" s="31"/>
      <c r="Z15" s="31"/>
      <c r="AA15" s="31"/>
      <c r="AB15" s="31"/>
      <c r="AC15" s="32"/>
    </row>
    <row r="16" spans="2:29" x14ac:dyDescent="0.2">
      <c r="B16" s="90" t="s">
        <v>178</v>
      </c>
      <c r="C16" s="159">
        <v>0</v>
      </c>
      <c r="D16" s="88"/>
      <c r="E16" s="164">
        <v>0</v>
      </c>
      <c r="F16" s="89"/>
      <c r="G16" s="422"/>
      <c r="H16" s="425"/>
      <c r="I16" s="31"/>
      <c r="J16" s="31"/>
      <c r="K16" s="31"/>
      <c r="L16" s="31"/>
      <c r="M16" s="31"/>
      <c r="N16" s="31"/>
      <c r="O16" s="31"/>
      <c r="P16" s="31"/>
      <c r="Q16" s="31"/>
      <c r="R16" s="31"/>
      <c r="S16" s="31"/>
      <c r="T16" s="31"/>
      <c r="U16" s="31"/>
      <c r="V16" s="31"/>
      <c r="W16" s="31"/>
      <c r="X16" s="31"/>
      <c r="Y16" s="31"/>
      <c r="Z16" s="31"/>
      <c r="AA16" s="31"/>
      <c r="AB16" s="31"/>
      <c r="AC16" s="32"/>
    </row>
    <row r="17" spans="2:29" x14ac:dyDescent="0.2">
      <c r="B17" s="90" t="s">
        <v>190</v>
      </c>
      <c r="C17" s="408">
        <v>0</v>
      </c>
      <c r="D17" s="88"/>
      <c r="E17" s="76">
        <v>0</v>
      </c>
      <c r="F17" s="89"/>
      <c r="G17" s="422"/>
      <c r="H17" s="425"/>
      <c r="I17" s="31"/>
      <c r="J17" s="31"/>
      <c r="K17" s="31"/>
      <c r="L17" s="31"/>
      <c r="M17" s="31"/>
      <c r="N17" s="31"/>
      <c r="O17" s="31"/>
      <c r="P17" s="31"/>
      <c r="Q17" s="31"/>
      <c r="R17" s="31"/>
      <c r="S17" s="31"/>
      <c r="T17" s="31"/>
      <c r="U17" s="31"/>
      <c r="V17" s="31"/>
      <c r="W17" s="31"/>
      <c r="X17" s="31"/>
      <c r="Y17" s="31"/>
      <c r="Z17" s="31"/>
      <c r="AA17" s="31"/>
      <c r="AB17" s="31"/>
      <c r="AC17" s="32"/>
    </row>
    <row r="18" spans="2:29" x14ac:dyDescent="0.2">
      <c r="B18" s="90" t="s">
        <v>394</v>
      </c>
      <c r="C18" s="159">
        <v>0</v>
      </c>
      <c r="D18" s="88"/>
      <c r="E18" s="164">
        <v>0</v>
      </c>
      <c r="F18" s="89"/>
      <c r="G18" s="422"/>
      <c r="H18" s="425"/>
      <c r="I18" s="31"/>
      <c r="J18" s="31"/>
      <c r="K18" s="31"/>
      <c r="L18" s="31"/>
      <c r="M18" s="31"/>
      <c r="N18" s="31"/>
      <c r="O18" s="31"/>
      <c r="P18" s="31"/>
      <c r="Q18" s="31"/>
      <c r="R18" s="31"/>
      <c r="S18" s="31"/>
      <c r="T18" s="31"/>
      <c r="U18" s="31"/>
      <c r="V18" s="31"/>
      <c r="W18" s="31"/>
      <c r="X18" s="31"/>
      <c r="Y18" s="31"/>
      <c r="Z18" s="31"/>
      <c r="AA18" s="31"/>
      <c r="AB18" s="31"/>
      <c r="AC18" s="32"/>
    </row>
    <row r="19" spans="2:29" x14ac:dyDescent="0.2">
      <c r="B19" s="90" t="s">
        <v>190</v>
      </c>
      <c r="C19" s="408">
        <v>0</v>
      </c>
      <c r="D19" s="88"/>
      <c r="E19" s="76">
        <v>0</v>
      </c>
      <c r="F19" s="89"/>
      <c r="G19" s="422"/>
      <c r="H19" s="425"/>
      <c r="I19" s="31"/>
      <c r="J19" s="31"/>
      <c r="K19" s="31"/>
      <c r="L19" s="31"/>
      <c r="M19" s="31"/>
      <c r="N19" s="31"/>
      <c r="O19" s="31"/>
      <c r="P19" s="31"/>
      <c r="Q19" s="31"/>
      <c r="R19" s="31"/>
      <c r="S19" s="31"/>
      <c r="T19" s="31"/>
      <c r="U19" s="31"/>
      <c r="V19" s="31"/>
      <c r="W19" s="31"/>
      <c r="X19" s="31"/>
      <c r="Y19" s="31"/>
      <c r="Z19" s="31"/>
      <c r="AA19" s="31"/>
      <c r="AB19" s="31"/>
      <c r="AC19" s="32"/>
    </row>
    <row r="20" spans="2:29" x14ac:dyDescent="0.2">
      <c r="B20" s="53" t="s">
        <v>180</v>
      </c>
      <c r="C20" s="117">
        <v>0</v>
      </c>
      <c r="D20" s="88" t="str">
        <f>IF(C20&gt;=2,"PASS","FAIL")</f>
        <v>FAIL</v>
      </c>
      <c r="E20" s="22">
        <v>0</v>
      </c>
      <c r="F20" s="89" t="str">
        <f>IF(E20&gt;=2,"PASS","FAIL")</f>
        <v>FAIL</v>
      </c>
      <c r="G20" s="31"/>
      <c r="H20" s="425"/>
      <c r="I20" s="31"/>
      <c r="J20" s="31"/>
      <c r="K20" s="31"/>
      <c r="L20" s="31"/>
      <c r="M20" s="31"/>
      <c r="N20" s="31"/>
      <c r="O20" s="31"/>
      <c r="P20" s="31"/>
      <c r="Q20" s="31"/>
      <c r="R20" s="31"/>
      <c r="S20" s="31"/>
      <c r="T20" s="31"/>
      <c r="U20" s="31"/>
      <c r="V20" s="31"/>
      <c r="W20" s="31"/>
      <c r="X20" s="31"/>
      <c r="Y20" s="31"/>
      <c r="Z20" s="31"/>
      <c r="AA20" s="31"/>
      <c r="AB20" s="31"/>
      <c r="AC20" s="32"/>
    </row>
    <row r="21" spans="2:29" x14ac:dyDescent="0.2">
      <c r="B21" s="53" t="s">
        <v>181</v>
      </c>
      <c r="C21" s="117">
        <v>0</v>
      </c>
      <c r="D21" s="21"/>
      <c r="E21" s="22">
        <v>0</v>
      </c>
      <c r="F21" s="69"/>
      <c r="G21" s="31"/>
      <c r="H21" s="428"/>
      <c r="I21" s="31"/>
      <c r="J21" s="31"/>
      <c r="K21" s="31"/>
      <c r="L21" s="31"/>
      <c r="M21" s="31"/>
      <c r="N21" s="31"/>
      <c r="O21" s="31"/>
      <c r="P21" s="31"/>
      <c r="Q21" s="31"/>
      <c r="R21" s="31"/>
      <c r="S21" s="31"/>
      <c r="T21" s="31"/>
      <c r="U21" s="31"/>
      <c r="V21" s="31"/>
      <c r="W21" s="31"/>
      <c r="X21" s="31"/>
      <c r="Y21" s="31"/>
      <c r="Z21" s="31"/>
      <c r="AA21" s="31"/>
      <c r="AB21" s="31"/>
      <c r="AC21" s="32"/>
    </row>
    <row r="22" spans="2:29" x14ac:dyDescent="0.2">
      <c r="B22" s="90" t="s">
        <v>484</v>
      </c>
      <c r="C22" s="159">
        <v>0</v>
      </c>
      <c r="D22" s="88"/>
      <c r="E22" s="164">
        <v>0</v>
      </c>
      <c r="F22" s="89"/>
      <c r="G22" s="421"/>
      <c r="H22" s="425"/>
      <c r="I22" s="422"/>
      <c r="J22" s="425"/>
      <c r="K22" s="31"/>
      <c r="L22" s="31"/>
      <c r="M22" s="31"/>
      <c r="N22" s="31"/>
      <c r="O22" s="31"/>
      <c r="P22" s="31"/>
      <c r="Q22" s="31"/>
      <c r="R22" s="31"/>
      <c r="S22" s="31"/>
      <c r="T22" s="31"/>
      <c r="U22" s="31"/>
      <c r="V22" s="31"/>
      <c r="W22" s="31"/>
      <c r="X22" s="31"/>
      <c r="Y22" s="31"/>
      <c r="Z22" s="31"/>
      <c r="AA22" s="31"/>
      <c r="AB22" s="31"/>
      <c r="AC22" s="32"/>
    </row>
    <row r="23" spans="2:29" x14ac:dyDescent="0.2">
      <c r="B23" s="90" t="s">
        <v>187</v>
      </c>
      <c r="C23" s="159"/>
      <c r="D23" s="88"/>
      <c r="E23" s="164"/>
      <c r="F23" s="89"/>
      <c r="G23" s="421"/>
      <c r="H23" s="425"/>
      <c r="I23" s="31"/>
      <c r="J23" s="31"/>
      <c r="K23" s="31"/>
      <c r="L23" s="31"/>
      <c r="M23" s="31"/>
      <c r="N23" s="31"/>
      <c r="O23" s="31"/>
      <c r="P23" s="31"/>
      <c r="Q23" s="31"/>
      <c r="R23" s="31"/>
      <c r="S23" s="31"/>
      <c r="T23" s="31"/>
      <c r="U23" s="31"/>
      <c r="V23" s="31"/>
      <c r="W23" s="31"/>
      <c r="X23" s="31"/>
      <c r="Y23" s="31"/>
      <c r="Z23" s="31"/>
      <c r="AA23" s="31"/>
      <c r="AB23" s="31"/>
      <c r="AC23" s="32"/>
    </row>
    <row r="24" spans="2:29" x14ac:dyDescent="0.2">
      <c r="B24" s="90" t="s">
        <v>182</v>
      </c>
      <c r="C24" s="93">
        <f>((C16*C17)+(C18*C19))*C23*0.001</f>
        <v>0</v>
      </c>
      <c r="D24" s="88" t="str">
        <f>IF(C24&gt;=30,"PASS","FAIL")</f>
        <v>FAIL</v>
      </c>
      <c r="E24" s="93">
        <f>((E16*E17)+(E18*E19))*E23*0.001</f>
        <v>0</v>
      </c>
      <c r="F24" s="89" t="str">
        <f>IF(E24&gt;=30,"PASS","FAIL")</f>
        <v>FAIL</v>
      </c>
      <c r="G24" s="421"/>
      <c r="H24" s="425"/>
      <c r="I24" s="31"/>
      <c r="J24" s="31"/>
      <c r="K24" s="31"/>
      <c r="L24" s="31"/>
      <c r="M24" s="31"/>
      <c r="N24" s="31"/>
      <c r="O24" s="31"/>
      <c r="P24" s="31"/>
      <c r="Q24" s="31"/>
      <c r="R24" s="31"/>
      <c r="S24" s="31"/>
      <c r="T24" s="31"/>
      <c r="U24" s="31"/>
      <c r="V24" s="31"/>
      <c r="W24" s="31"/>
      <c r="X24" s="31"/>
      <c r="Y24" s="31"/>
      <c r="Z24" s="31"/>
      <c r="AA24" s="31"/>
      <c r="AB24" s="31"/>
      <c r="AC24" s="32"/>
    </row>
    <row r="25" spans="2:29" x14ac:dyDescent="0.2">
      <c r="B25" s="53" t="s">
        <v>182</v>
      </c>
      <c r="C25" s="93">
        <f>((C17*C18)+(C19*C21))*C23*0.001</f>
        <v>0</v>
      </c>
      <c r="D25" s="88" t="str">
        <f>IF(C25&gt;=30,"PASS","FAIL")</f>
        <v>FAIL</v>
      </c>
      <c r="E25" s="93">
        <f>((E17*E18)+(E19*E21))*E23*0.001</f>
        <v>0</v>
      </c>
      <c r="F25" s="89" t="str">
        <f>IF(E25&gt;=30,"PASS","FAIL")</f>
        <v>FAIL</v>
      </c>
      <c r="G25" s="421"/>
      <c r="H25" s="425"/>
      <c r="I25" s="31"/>
      <c r="J25" s="31"/>
      <c r="K25" s="31"/>
      <c r="L25" s="31"/>
      <c r="M25" s="31"/>
      <c r="N25" s="31"/>
      <c r="O25" s="31"/>
      <c r="P25" s="31"/>
      <c r="Q25" s="31"/>
      <c r="R25" s="31"/>
      <c r="S25" s="31"/>
      <c r="T25" s="31"/>
      <c r="U25" s="31"/>
      <c r="V25" s="31"/>
      <c r="W25" s="31"/>
      <c r="X25" s="31"/>
      <c r="Y25" s="31"/>
      <c r="Z25" s="31"/>
      <c r="AA25" s="31"/>
      <c r="AB25" s="31"/>
      <c r="AC25" s="32"/>
    </row>
    <row r="26" spans="2:29" x14ac:dyDescent="0.2">
      <c r="B26" s="401" t="s">
        <v>483</v>
      </c>
      <c r="C26" s="402">
        <f>C23*2*C22*(C17+C19)*0.001</f>
        <v>0</v>
      </c>
      <c r="D26" s="88" t="str">
        <f>IF(C26&gt;=30,"PASS","FAIL")</f>
        <v>FAIL</v>
      </c>
      <c r="E26" s="402">
        <f>E23*2*E22*(E17+E19)*0.001</f>
        <v>0</v>
      </c>
      <c r="F26" s="89" t="str">
        <f>IF(E26&gt;=30,"PASS","FAIL")</f>
        <v>FAIL</v>
      </c>
      <c r="G26" s="421"/>
      <c r="H26" s="425"/>
      <c r="I26" s="422"/>
      <c r="J26" s="425"/>
      <c r="K26" s="31"/>
      <c r="L26" s="31"/>
      <c r="M26" s="31"/>
      <c r="N26" s="31"/>
      <c r="O26" s="31"/>
      <c r="P26" s="31"/>
      <c r="Q26" s="31"/>
      <c r="R26" s="31"/>
      <c r="S26" s="31"/>
      <c r="T26" s="31"/>
      <c r="U26" s="31"/>
      <c r="V26" s="31"/>
      <c r="W26" s="31"/>
      <c r="X26" s="31"/>
      <c r="Y26" s="31"/>
      <c r="Z26" s="31"/>
      <c r="AA26" s="31"/>
      <c r="AB26" s="31"/>
      <c r="AC26" s="32"/>
    </row>
    <row r="27" spans="2:29" ht="12.75" customHeight="1" x14ac:dyDescent="0.2">
      <c r="B27" s="743" t="s">
        <v>520</v>
      </c>
      <c r="C27" s="744"/>
      <c r="D27" s="744"/>
      <c r="E27" s="744"/>
      <c r="F27" s="744"/>
      <c r="G27" s="30"/>
      <c r="H27" s="31"/>
      <c r="I27" s="31"/>
      <c r="J27" s="31"/>
      <c r="K27" s="31"/>
      <c r="L27" s="31"/>
      <c r="M27" s="31"/>
      <c r="N27" s="31"/>
      <c r="O27" s="31"/>
      <c r="P27" s="31"/>
      <c r="Q27" s="31"/>
      <c r="R27" s="31"/>
      <c r="S27" s="31"/>
      <c r="T27" s="31"/>
      <c r="U27" s="31"/>
      <c r="V27" s="31"/>
      <c r="W27" s="31"/>
      <c r="X27" s="31"/>
      <c r="Y27" s="31"/>
      <c r="Z27" s="31"/>
      <c r="AA27" s="31"/>
      <c r="AB27" s="31"/>
      <c r="AC27" s="32"/>
    </row>
    <row r="28" spans="2:29" x14ac:dyDescent="0.2">
      <c r="B28" s="758"/>
      <c r="C28" s="759"/>
      <c r="D28" s="759"/>
      <c r="E28" s="759"/>
      <c r="F28" s="759"/>
      <c r="G28" s="30"/>
      <c r="H28" s="31"/>
      <c r="I28" s="31"/>
      <c r="J28" s="31"/>
      <c r="K28" s="31"/>
      <c r="L28" s="31"/>
      <c r="M28" s="31"/>
      <c r="N28" s="31"/>
      <c r="O28" s="31"/>
      <c r="P28" s="31"/>
      <c r="Q28" s="31"/>
      <c r="R28" s="31"/>
      <c r="S28" s="31"/>
      <c r="T28" s="31"/>
      <c r="U28" s="31"/>
      <c r="V28" s="31"/>
      <c r="W28" s="31"/>
      <c r="X28" s="31"/>
      <c r="Y28" s="31"/>
      <c r="Z28" s="31"/>
      <c r="AA28" s="31"/>
      <c r="AB28" s="31"/>
      <c r="AC28" s="32"/>
    </row>
    <row r="29" spans="2:29" x14ac:dyDescent="0.2">
      <c r="B29" s="746"/>
      <c r="C29" s="747"/>
      <c r="D29" s="747"/>
      <c r="E29" s="747"/>
      <c r="F29" s="747"/>
      <c r="G29" s="30"/>
      <c r="H29" s="31"/>
      <c r="I29" s="31"/>
      <c r="J29" s="31"/>
      <c r="K29" s="31"/>
      <c r="L29" s="31"/>
      <c r="M29" s="31"/>
      <c r="N29" s="31"/>
      <c r="O29" s="31"/>
      <c r="P29" s="31"/>
      <c r="Q29" s="31"/>
      <c r="R29" s="31"/>
      <c r="S29" s="31"/>
      <c r="T29" s="31"/>
      <c r="U29" s="31"/>
      <c r="V29" s="31"/>
      <c r="W29" s="31"/>
      <c r="X29" s="31"/>
      <c r="Y29" s="31"/>
      <c r="Z29" s="31"/>
      <c r="AA29" s="31"/>
      <c r="AB29" s="31"/>
      <c r="AC29" s="32"/>
    </row>
    <row r="30" spans="2:29" s="166" customFormat="1" x14ac:dyDescent="0.2">
      <c r="B30" s="24"/>
      <c r="C30" s="25"/>
      <c r="D30" s="25"/>
      <c r="E30" s="25"/>
      <c r="F30" s="25"/>
      <c r="G30" s="31"/>
      <c r="H30" s="31"/>
      <c r="I30" s="31"/>
      <c r="J30" s="31"/>
      <c r="K30" s="31"/>
      <c r="L30" s="31"/>
      <c r="M30" s="31"/>
      <c r="N30" s="31"/>
      <c r="O30" s="31"/>
      <c r="P30" s="31"/>
      <c r="Q30" s="31"/>
      <c r="R30" s="31"/>
      <c r="S30" s="31"/>
      <c r="T30" s="31"/>
      <c r="U30" s="31"/>
      <c r="V30" s="31"/>
      <c r="W30" s="31"/>
      <c r="X30" s="31"/>
      <c r="Y30" s="31"/>
      <c r="Z30" s="31"/>
      <c r="AA30" s="31"/>
      <c r="AB30" s="31"/>
      <c r="AC30" s="32"/>
    </row>
    <row r="31" spans="2:29" s="166" customFormat="1" x14ac:dyDescent="0.2">
      <c r="B31" s="513" t="s">
        <v>480</v>
      </c>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2"/>
    </row>
    <row r="32" spans="2:29"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2"/>
    </row>
    <row r="33" spans="2:29" s="166" customFormat="1" x14ac:dyDescent="0.2">
      <c r="B33" s="30"/>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2"/>
    </row>
    <row r="34" spans="2:29"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2"/>
    </row>
    <row r="35" spans="2:29"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2"/>
    </row>
    <row r="36" spans="2:29"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2"/>
    </row>
    <row r="37" spans="2:29"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2"/>
    </row>
    <row r="38" spans="2:29"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2"/>
    </row>
    <row r="39" spans="2:29"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2"/>
    </row>
    <row r="40" spans="2:29"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2"/>
    </row>
    <row r="41" spans="2:29"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2"/>
    </row>
    <row r="42" spans="2:29"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2"/>
    </row>
    <row r="43" spans="2:29"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2"/>
    </row>
    <row r="44" spans="2:29"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2"/>
    </row>
    <row r="45" spans="2:29"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2"/>
    </row>
    <row r="46" spans="2:29"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2"/>
    </row>
    <row r="47" spans="2:29"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2"/>
    </row>
    <row r="48" spans="2:29"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2"/>
    </row>
    <row r="49" spans="2:29"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2"/>
    </row>
    <row r="50" spans="2:29"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2"/>
    </row>
    <row r="51" spans="2:29"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2"/>
    </row>
    <row r="52" spans="2:29"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2"/>
    </row>
    <row r="53" spans="2:29"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2"/>
    </row>
    <row r="54" spans="2:29" s="166" customFormat="1" x14ac:dyDescent="0.2">
      <c r="B54" s="30"/>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2"/>
    </row>
    <row r="55" spans="2:29" s="166" customFormat="1" x14ac:dyDescent="0.2">
      <c r="B55" s="38"/>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9"/>
    </row>
    <row r="56" spans="2:29" s="166" customFormat="1" x14ac:dyDescent="0.2"/>
    <row r="57" spans="2:29" s="166" customFormat="1" x14ac:dyDescent="0.2"/>
    <row r="58" spans="2:29" s="166" customFormat="1" x14ac:dyDescent="0.2"/>
    <row r="59" spans="2:29" s="166" customFormat="1" x14ac:dyDescent="0.2"/>
    <row r="60" spans="2:29" s="166" customFormat="1" x14ac:dyDescent="0.2"/>
    <row r="61" spans="2:29" s="166" customFormat="1" x14ac:dyDescent="0.2"/>
    <row r="62" spans="2:29" s="166" customFormat="1" x14ac:dyDescent="0.2"/>
    <row r="63" spans="2:29" s="166" customFormat="1" x14ac:dyDescent="0.2"/>
    <row r="64" spans="2:29"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row r="10001" s="166" customFormat="1" x14ac:dyDescent="0.2"/>
  </sheetData>
  <sheetProtection password="E10F" sheet="1"/>
  <mergeCells count="4">
    <mergeCell ref="C9:D9"/>
    <mergeCell ref="E9:F9"/>
    <mergeCell ref="G9:H9"/>
    <mergeCell ref="B27:F29"/>
  </mergeCells>
  <phoneticPr fontId="3" type="noConversion"/>
  <conditionalFormatting sqref="D11:D12 D14:D15 D20 F11:F12 F14:F15 F20 D24:D26 F24:F26">
    <cfRule type="expression" dxfId="127" priority="3" stopIfTrue="1">
      <formula>D11="PASS"</formula>
    </cfRule>
    <cfRule type="expression" dxfId="126" priority="4" stopIfTrue="1">
      <formula>D11="FAIL"</formula>
    </cfRule>
  </conditionalFormatting>
  <conditionalFormatting sqref="C9:F9">
    <cfRule type="expression" dxfId="125" priority="5" stopIfTrue="1">
      <formula>C9="PASS"</formula>
    </cfRule>
    <cfRule type="expression" dxfId="124" priority="6" stopIfTrue="1">
      <formula>C9="FAIL"</formula>
    </cfRule>
    <cfRule type="expression" dxfId="123" priority="7" stopIfTrue="1">
      <formula>C9="N/A"</formula>
    </cfRule>
  </conditionalFormatting>
  <dataValidations count="3">
    <dataValidation type="list" allowBlank="1" showInputMessage="1" showErrorMessage="1" sqref="C3 C6" xr:uid="{00000000-0002-0000-1900-000000000000}">
      <formula1>"YES, NO"</formula1>
    </dataValidation>
    <dataValidation type="list" allowBlank="1" showInputMessage="1" showErrorMessage="1" sqref="C5" xr:uid="{00000000-0002-0000-1900-000001000000}">
      <formula1>"SIS, FBHS"</formula1>
    </dataValidation>
    <dataValidation type="list" allowBlank="1" showInputMessage="1" showErrorMessage="1" sqref="C4" xr:uid="{00000000-0002-0000-1900-000002000000}">
      <formula1>"Steel, Alu."</formula1>
    </dataValidation>
  </dataValidations>
  <hyperlinks>
    <hyperlink ref="B31" location="'Monocoque Attachments Guidance'!A1" display="Link to guidance notes" xr:uid="{00000000-0004-0000-1900-000000000000}"/>
    <hyperlink ref="G3" location="'Cover Sheet'!A1" display="BACK to COVER SHEET" xr:uid="{00000000-0004-0000-1900-000001000000}"/>
    <hyperlink ref="G3:I3" location="'Cover Sheet'!A1" display="BACK to COVER SHEET" xr:uid="{00000000-0004-0000-1900-000002000000}"/>
  </hyperlinks>
  <pageMargins left="0.75" right="0.75" top="1" bottom="1" header="0.5" footer="0.5"/>
  <pageSetup paperSize="9"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4"/>
  <dimension ref="B1:AB9998"/>
  <sheetViews>
    <sheetView showGridLines="0" workbookViewId="0">
      <selection activeCell="B1" sqref="B1"/>
    </sheetView>
  </sheetViews>
  <sheetFormatPr baseColWidth="10" defaultColWidth="9.140625" defaultRowHeight="12.75" x14ac:dyDescent="0.2"/>
  <cols>
    <col min="1" max="1" width="4.28515625" customWidth="1"/>
    <col min="2" max="2" width="29.5703125" customWidth="1"/>
    <col min="3" max="4" width="7" customWidth="1"/>
    <col min="5" max="5" width="7.42578125" customWidth="1"/>
    <col min="6" max="6" width="6.140625" bestFit="1" customWidth="1"/>
    <col min="7" max="7" width="7.42578125" customWidth="1"/>
    <col min="8" max="8" width="6.140625" bestFit="1" customWidth="1"/>
  </cols>
  <sheetData>
    <row r="1" spans="2:28" ht="15.75" x14ac:dyDescent="0.25">
      <c r="B1" s="2" t="s">
        <v>405</v>
      </c>
    </row>
    <row r="2" spans="2:28" ht="15.75" x14ac:dyDescent="0.25">
      <c r="B2" s="2"/>
      <c r="G2" s="298" t="s">
        <v>565</v>
      </c>
      <c r="H2" s="298"/>
      <c r="I2" s="298"/>
    </row>
    <row r="4" spans="2:28" x14ac:dyDescent="0.2">
      <c r="B4" s="83" t="s">
        <v>395</v>
      </c>
      <c r="C4" s="749" t="str">
        <f>IF('T2.14 T2.6 Ft Bulkhead'!F2="tubing only","N/A",IF(AND(D6="PASS",D7="PASS",D8="PASS",D18="PASS",D14="PASS",D19="PASS",D20="pass"),"PASS","FAIL"))</f>
        <v>N/A</v>
      </c>
      <c r="D4" s="750"/>
      <c r="E4" s="760"/>
      <c r="F4" s="757"/>
      <c r="G4" s="757"/>
      <c r="H4" s="757"/>
      <c r="I4" s="25"/>
      <c r="J4" s="25"/>
      <c r="K4" s="25"/>
      <c r="L4" s="25"/>
      <c r="M4" s="25"/>
      <c r="N4" s="25"/>
      <c r="O4" s="25"/>
      <c r="P4" s="25"/>
      <c r="Q4" s="25"/>
      <c r="R4" s="25"/>
      <c r="S4" s="25"/>
      <c r="T4" s="25"/>
      <c r="U4" s="25"/>
      <c r="V4" s="25"/>
      <c r="W4" s="25"/>
      <c r="X4" s="25"/>
      <c r="Y4" s="25"/>
      <c r="Z4" s="25"/>
      <c r="AA4" s="25"/>
      <c r="AB4" s="26"/>
    </row>
    <row r="5" spans="2:28" x14ac:dyDescent="0.2">
      <c r="B5" s="78"/>
      <c r="C5" s="82"/>
      <c r="D5" s="81"/>
      <c r="E5" s="423"/>
      <c r="F5" s="31"/>
      <c r="G5" s="31"/>
      <c r="H5" s="31"/>
      <c r="I5" s="31"/>
      <c r="J5" s="31"/>
      <c r="K5" s="31"/>
      <c r="L5" s="31"/>
      <c r="M5" s="31"/>
      <c r="N5" s="31"/>
      <c r="O5" s="31"/>
      <c r="P5" s="31"/>
      <c r="Q5" s="31"/>
      <c r="R5" s="31"/>
      <c r="S5" s="31"/>
      <c r="T5" s="31"/>
      <c r="U5" s="31"/>
      <c r="V5" s="31"/>
      <c r="W5" s="31"/>
      <c r="X5" s="31"/>
      <c r="Y5" s="31"/>
      <c r="Z5" s="31"/>
      <c r="AA5" s="31"/>
      <c r="AB5" s="32"/>
    </row>
    <row r="6" spans="2:28" x14ac:dyDescent="0.2">
      <c r="B6" s="84" t="s">
        <v>176</v>
      </c>
      <c r="C6" s="167">
        <v>0</v>
      </c>
      <c r="D6" s="86" t="str">
        <f>IF(C6&gt;=8,"PASS","FAIL")</f>
        <v>FAIL</v>
      </c>
      <c r="E6" s="424"/>
      <c r="F6" s="425"/>
      <c r="G6" s="422"/>
      <c r="H6" s="425"/>
      <c r="I6" s="31"/>
      <c r="J6" s="31"/>
      <c r="K6" s="31"/>
      <c r="L6" s="31"/>
      <c r="M6" s="31"/>
      <c r="N6" s="31"/>
      <c r="O6" s="31"/>
      <c r="P6" s="31"/>
      <c r="Q6" s="31"/>
      <c r="R6" s="31"/>
      <c r="S6" s="31"/>
      <c r="T6" s="31"/>
      <c r="U6" s="31"/>
      <c r="V6" s="31"/>
      <c r="W6" s="31"/>
      <c r="X6" s="31"/>
      <c r="Y6" s="31"/>
      <c r="Z6" s="31"/>
      <c r="AA6" s="31"/>
      <c r="AB6" s="32"/>
    </row>
    <row r="7" spans="2:28" x14ac:dyDescent="0.2">
      <c r="B7" s="87" t="s">
        <v>174</v>
      </c>
      <c r="C7" s="161">
        <v>0</v>
      </c>
      <c r="D7" s="88" t="str">
        <f>IF(C7&gt;=8,"PASS","FAIL")</f>
        <v>FAIL</v>
      </c>
      <c r="E7" s="426"/>
      <c r="F7" s="425"/>
      <c r="G7" s="427"/>
      <c r="H7" s="425"/>
      <c r="I7" s="31"/>
      <c r="J7" s="31"/>
      <c r="K7" s="31"/>
      <c r="L7" s="31"/>
      <c r="M7" s="31"/>
      <c r="N7" s="31"/>
      <c r="O7" s="31"/>
      <c r="P7" s="31"/>
      <c r="Q7" s="31"/>
      <c r="R7" s="31"/>
      <c r="S7" s="31"/>
      <c r="T7" s="31"/>
      <c r="U7" s="31"/>
      <c r="V7" s="31"/>
      <c r="W7" s="31"/>
      <c r="X7" s="31"/>
      <c r="Y7" s="31"/>
      <c r="Z7" s="31"/>
      <c r="AA7" s="31"/>
      <c r="AB7" s="32"/>
    </row>
    <row r="8" spans="2:28" x14ac:dyDescent="0.2">
      <c r="B8" s="404" t="s">
        <v>521</v>
      </c>
      <c r="C8" s="22">
        <v>0</v>
      </c>
      <c r="D8" s="88" t="str">
        <f>IF(C8&gt;=50,"PASS","FAIL")</f>
        <v>FAIL</v>
      </c>
      <c r="E8" s="31"/>
      <c r="F8" s="428"/>
      <c r="G8" s="31"/>
      <c r="H8" s="428"/>
      <c r="I8" s="31"/>
      <c r="J8" s="31"/>
      <c r="K8" s="31"/>
      <c r="L8" s="31"/>
      <c r="M8" s="31"/>
      <c r="N8" s="31"/>
      <c r="O8" s="31"/>
      <c r="P8" s="31"/>
      <c r="Q8" s="31"/>
      <c r="R8" s="31"/>
      <c r="S8" s="31"/>
      <c r="T8" s="31"/>
      <c r="U8" s="31"/>
      <c r="V8" s="31"/>
      <c r="W8" s="31"/>
      <c r="X8" s="31"/>
      <c r="Y8" s="31"/>
      <c r="Z8" s="31"/>
      <c r="AA8" s="31"/>
      <c r="AB8" s="32"/>
    </row>
    <row r="9" spans="2:28" x14ac:dyDescent="0.2">
      <c r="B9" s="90" t="s">
        <v>406</v>
      </c>
      <c r="C9" s="325">
        <f>'T2.20 IA AI Plate'!D13</f>
        <v>1.5</v>
      </c>
      <c r="D9" s="88"/>
      <c r="E9" s="421"/>
      <c r="F9" s="425"/>
      <c r="G9" s="422"/>
      <c r="H9" s="425"/>
      <c r="I9" s="31"/>
      <c r="J9" s="31"/>
      <c r="K9" s="31"/>
      <c r="L9" s="31"/>
      <c r="M9" s="31"/>
      <c r="N9" s="31"/>
      <c r="O9" s="31"/>
      <c r="P9" s="31"/>
      <c r="Q9" s="31"/>
      <c r="R9" s="31"/>
      <c r="S9" s="31"/>
      <c r="T9" s="31"/>
      <c r="U9" s="31"/>
      <c r="V9" s="31"/>
      <c r="W9" s="31"/>
      <c r="X9" s="31"/>
      <c r="Y9" s="31"/>
      <c r="Z9" s="31"/>
      <c r="AA9" s="31"/>
      <c r="AB9" s="32"/>
    </row>
    <row r="10" spans="2:28" x14ac:dyDescent="0.2">
      <c r="B10" s="90" t="s">
        <v>407</v>
      </c>
      <c r="C10" s="159">
        <v>0</v>
      </c>
      <c r="D10" s="88"/>
      <c r="E10" s="421"/>
      <c r="F10" s="425"/>
      <c r="G10" s="422"/>
      <c r="H10" s="425"/>
      <c r="I10" s="31"/>
      <c r="J10" s="31"/>
      <c r="K10" s="31"/>
      <c r="L10" s="31"/>
      <c r="M10" s="31"/>
      <c r="N10" s="31"/>
      <c r="O10" s="31"/>
      <c r="P10" s="31"/>
      <c r="Q10" s="31"/>
      <c r="R10" s="31"/>
      <c r="S10" s="31"/>
      <c r="T10" s="31"/>
      <c r="U10" s="31"/>
      <c r="V10" s="31"/>
      <c r="W10" s="31"/>
      <c r="X10" s="31"/>
      <c r="Y10" s="31"/>
      <c r="Z10" s="31"/>
      <c r="AA10" s="31"/>
      <c r="AB10" s="32"/>
    </row>
    <row r="11" spans="2:28" x14ac:dyDescent="0.2">
      <c r="B11" s="90" t="s">
        <v>190</v>
      </c>
      <c r="C11" s="324">
        <f>'T2.14 T2.6 Ft Bulkhead'!F21</f>
        <v>2</v>
      </c>
      <c r="D11" s="88"/>
      <c r="E11" s="421"/>
      <c r="F11" s="425"/>
      <c r="G11" s="422"/>
      <c r="H11" s="425"/>
      <c r="I11" s="31"/>
      <c r="J11" s="31"/>
      <c r="K11" s="31"/>
      <c r="L11" s="31"/>
      <c r="M11" s="31"/>
      <c r="N11" s="31"/>
      <c r="O11" s="31"/>
      <c r="P11" s="31"/>
      <c r="Q11" s="31"/>
      <c r="R11" s="31"/>
      <c r="S11" s="31"/>
      <c r="T11" s="31"/>
      <c r="U11" s="31"/>
      <c r="V11" s="31"/>
      <c r="W11" s="31"/>
      <c r="X11" s="31"/>
      <c r="Y11" s="31"/>
      <c r="Z11" s="31"/>
      <c r="AA11" s="31"/>
      <c r="AB11" s="32"/>
    </row>
    <row r="12" spans="2:28" x14ac:dyDescent="0.2">
      <c r="B12" s="90" t="s">
        <v>394</v>
      </c>
      <c r="C12" s="159">
        <v>0</v>
      </c>
      <c r="D12" s="88"/>
      <c r="E12" s="421"/>
      <c r="F12" s="425"/>
      <c r="G12" s="422"/>
      <c r="H12" s="425"/>
      <c r="I12" s="31"/>
      <c r="J12" s="31"/>
      <c r="K12" s="31"/>
      <c r="L12" s="31"/>
      <c r="M12" s="31"/>
      <c r="N12" s="31"/>
      <c r="O12" s="31"/>
      <c r="P12" s="31"/>
      <c r="Q12" s="31"/>
      <c r="R12" s="31"/>
      <c r="S12" s="31"/>
      <c r="T12" s="31"/>
      <c r="U12" s="31"/>
      <c r="V12" s="31"/>
      <c r="W12" s="31"/>
      <c r="X12" s="31"/>
      <c r="Y12" s="31"/>
      <c r="Z12" s="31"/>
      <c r="AA12" s="31"/>
      <c r="AB12" s="32"/>
    </row>
    <row r="13" spans="2:28" x14ac:dyDescent="0.2">
      <c r="B13" s="90" t="s">
        <v>190</v>
      </c>
      <c r="C13" s="324">
        <f>'T2.14 T2.6 Ft Bulkhead'!F20</f>
        <v>2</v>
      </c>
      <c r="D13" s="88"/>
      <c r="E13" s="421"/>
      <c r="F13" s="425"/>
      <c r="G13" s="422"/>
      <c r="H13" s="425"/>
      <c r="I13" s="31"/>
      <c r="J13" s="31"/>
      <c r="K13" s="31"/>
      <c r="L13" s="31"/>
      <c r="M13" s="31"/>
      <c r="N13" s="31"/>
      <c r="O13" s="31"/>
      <c r="P13" s="31"/>
      <c r="Q13" s="31"/>
      <c r="R13" s="31"/>
      <c r="S13" s="31"/>
      <c r="T13" s="31"/>
      <c r="U13" s="31"/>
      <c r="V13" s="31"/>
      <c r="W13" s="31"/>
      <c r="X13" s="31"/>
      <c r="Y13" s="31"/>
      <c r="Z13" s="31"/>
      <c r="AA13" s="31"/>
      <c r="AB13" s="32"/>
    </row>
    <row r="14" spans="2:28" x14ac:dyDescent="0.2">
      <c r="B14" s="53" t="s">
        <v>180</v>
      </c>
      <c r="C14" s="117">
        <v>0</v>
      </c>
      <c r="D14" s="88" t="str">
        <f>IF(C14&gt;=2,"PASS","FAIL")</f>
        <v>FAIL</v>
      </c>
      <c r="E14" s="30"/>
      <c r="F14" s="425"/>
      <c r="G14" s="31"/>
      <c r="H14" s="425"/>
      <c r="I14" s="31"/>
      <c r="J14" s="31"/>
      <c r="K14" s="31"/>
      <c r="L14" s="31"/>
      <c r="M14" s="31"/>
      <c r="N14" s="31"/>
      <c r="O14" s="31"/>
      <c r="P14" s="31"/>
      <c r="Q14" s="31"/>
      <c r="R14" s="31"/>
      <c r="S14" s="31"/>
      <c r="T14" s="31"/>
      <c r="U14" s="31"/>
      <c r="V14" s="31"/>
      <c r="W14" s="31"/>
      <c r="X14" s="31"/>
      <c r="Y14" s="31"/>
      <c r="Z14" s="31"/>
      <c r="AA14" s="31"/>
      <c r="AB14" s="32"/>
    </row>
    <row r="15" spans="2:28" x14ac:dyDescent="0.2">
      <c r="B15" s="53" t="s">
        <v>181</v>
      </c>
      <c r="C15" s="117">
        <v>0</v>
      </c>
      <c r="D15" s="21"/>
      <c r="E15" s="30"/>
      <c r="F15" s="428"/>
      <c r="G15" s="31"/>
      <c r="H15" s="428"/>
      <c r="I15" s="31"/>
      <c r="J15" s="31"/>
      <c r="K15" s="31"/>
      <c r="L15" s="31"/>
      <c r="M15" s="31"/>
      <c r="N15" s="31"/>
      <c r="O15" s="31"/>
      <c r="P15" s="31"/>
      <c r="Q15" s="31"/>
      <c r="R15" s="31"/>
      <c r="S15" s="31"/>
      <c r="T15" s="31"/>
      <c r="U15" s="31"/>
      <c r="V15" s="31"/>
      <c r="W15" s="31"/>
      <c r="X15" s="31"/>
      <c r="Y15" s="31"/>
      <c r="Z15" s="31"/>
      <c r="AA15" s="31"/>
      <c r="AB15" s="32"/>
    </row>
    <row r="16" spans="2:28" x14ac:dyDescent="0.2">
      <c r="B16" s="90" t="s">
        <v>484</v>
      </c>
      <c r="C16" s="159">
        <v>0</v>
      </c>
      <c r="D16" s="88"/>
      <c r="E16" s="421"/>
      <c r="F16" s="425"/>
      <c r="G16" s="422"/>
      <c r="H16" s="425"/>
      <c r="I16" s="422"/>
      <c r="J16" s="425"/>
      <c r="K16" s="31"/>
      <c r="L16" s="31"/>
      <c r="M16" s="31"/>
      <c r="N16" s="31"/>
      <c r="O16" s="31"/>
      <c r="P16" s="31"/>
      <c r="Q16" s="31"/>
      <c r="R16" s="31"/>
      <c r="S16" s="31"/>
      <c r="T16" s="31"/>
      <c r="U16" s="31"/>
      <c r="V16" s="31"/>
      <c r="W16" s="31"/>
      <c r="X16" s="31"/>
      <c r="Y16" s="31"/>
      <c r="Z16" s="31"/>
      <c r="AA16" s="31"/>
      <c r="AB16" s="32"/>
    </row>
    <row r="17" spans="2:28" x14ac:dyDescent="0.2">
      <c r="B17" s="90" t="s">
        <v>187</v>
      </c>
      <c r="C17" s="91">
        <f>'T2.14 T2.6 Ft Bulkhead'!F13/1000000</f>
        <v>219</v>
      </c>
      <c r="D17" s="88"/>
      <c r="E17" s="421"/>
      <c r="F17" s="425"/>
      <c r="G17" s="422"/>
      <c r="H17" s="425"/>
      <c r="I17" s="31"/>
      <c r="J17" s="31"/>
      <c r="K17" s="31"/>
      <c r="L17" s="31"/>
      <c r="M17" s="31"/>
      <c r="N17" s="31"/>
      <c r="O17" s="31"/>
      <c r="P17" s="31"/>
      <c r="Q17" s="31"/>
      <c r="R17" s="31"/>
      <c r="S17" s="31"/>
      <c r="T17" s="31"/>
      <c r="U17" s="31"/>
      <c r="V17" s="31"/>
      <c r="W17" s="31"/>
      <c r="X17" s="31"/>
      <c r="Y17" s="31"/>
      <c r="Z17" s="31"/>
      <c r="AA17" s="31"/>
      <c r="AB17" s="32"/>
    </row>
    <row r="18" spans="2:28" x14ac:dyDescent="0.2">
      <c r="B18" s="90" t="s">
        <v>182</v>
      </c>
      <c r="C18" s="93">
        <f>IF('T2.20 IA AI Plate'!D4="Comp (IAD Test)","N/A",C9*C10*'T2.20 IA AI Plate'!D11/1000000000)</f>
        <v>0</v>
      </c>
      <c r="D18" s="88" t="str">
        <f>IF('T2.20 IA AI Plate'!D4="Comp (IAD Test)","N/A",IF(C18&gt;=23,"PASS","FAIL"))</f>
        <v>FAIL</v>
      </c>
      <c r="E18" s="421"/>
      <c r="F18" s="425"/>
      <c r="G18" s="422"/>
      <c r="H18" s="425"/>
      <c r="I18" s="31"/>
      <c r="J18" s="31"/>
      <c r="K18" s="31"/>
      <c r="L18" s="31"/>
      <c r="M18" s="31"/>
      <c r="N18" s="31"/>
      <c r="O18" s="31"/>
      <c r="P18" s="31"/>
      <c r="Q18" s="31"/>
      <c r="R18" s="31"/>
      <c r="S18" s="31"/>
      <c r="T18" s="31"/>
      <c r="U18" s="31"/>
      <c r="V18" s="31"/>
      <c r="W18" s="31"/>
      <c r="X18" s="31"/>
      <c r="Y18" s="31"/>
      <c r="Z18" s="31"/>
      <c r="AA18" s="31"/>
      <c r="AB18" s="32"/>
    </row>
    <row r="19" spans="2:28" x14ac:dyDescent="0.2">
      <c r="B19" s="53" t="s">
        <v>182</v>
      </c>
      <c r="C19" s="93">
        <f>((C11*C12)+(C13*C15))*C17*0.001</f>
        <v>0</v>
      </c>
      <c r="D19" s="88" t="str">
        <f>IF(C19&gt;=23,"PASS","FAIL")</f>
        <v>FAIL</v>
      </c>
      <c r="E19" s="421"/>
      <c r="F19" s="425"/>
      <c r="G19" s="422"/>
      <c r="H19" s="425"/>
      <c r="I19" s="31"/>
      <c r="J19" s="31"/>
      <c r="K19" s="31"/>
      <c r="L19" s="31"/>
      <c r="M19" s="31"/>
      <c r="N19" s="31"/>
      <c r="O19" s="31"/>
      <c r="P19" s="31"/>
      <c r="Q19" s="31"/>
      <c r="R19" s="31"/>
      <c r="S19" s="31"/>
      <c r="T19" s="31"/>
      <c r="U19" s="31"/>
      <c r="V19" s="31"/>
      <c r="W19" s="31"/>
      <c r="X19" s="31"/>
      <c r="Y19" s="31"/>
      <c r="Z19" s="31"/>
      <c r="AA19" s="31"/>
      <c r="AB19" s="32"/>
    </row>
    <row r="20" spans="2:28" x14ac:dyDescent="0.2">
      <c r="B20" s="401" t="s">
        <v>483</v>
      </c>
      <c r="C20" s="402">
        <f>C17*2*C16*(C11+C13)*0.001</f>
        <v>0</v>
      </c>
      <c r="D20" s="88" t="str">
        <f>IF(C20&gt;=23,"PASS","FAIL")</f>
        <v>FAIL</v>
      </c>
      <c r="E20" s="421"/>
      <c r="F20" s="425"/>
      <c r="G20" s="422"/>
      <c r="H20" s="425"/>
      <c r="I20" s="422"/>
      <c r="J20" s="425"/>
      <c r="K20" s="31"/>
      <c r="L20" s="31"/>
      <c r="M20" s="31"/>
      <c r="N20" s="31"/>
      <c r="O20" s="31"/>
      <c r="P20" s="31"/>
      <c r="Q20" s="31"/>
      <c r="R20" s="31"/>
      <c r="S20" s="31"/>
      <c r="T20" s="31"/>
      <c r="U20" s="31"/>
      <c r="V20" s="31"/>
      <c r="W20" s="31"/>
      <c r="X20" s="31"/>
      <c r="Y20" s="31"/>
      <c r="Z20" s="31"/>
      <c r="AA20" s="31"/>
      <c r="AB20" s="32"/>
    </row>
    <row r="21" spans="2:28" x14ac:dyDescent="0.2">
      <c r="B21" s="743" t="s">
        <v>396</v>
      </c>
      <c r="C21" s="744"/>
      <c r="D21" s="744"/>
      <c r="E21" s="30"/>
      <c r="F21" s="31"/>
      <c r="G21" s="31"/>
      <c r="H21" s="31"/>
      <c r="I21" s="31"/>
      <c r="J21" s="31"/>
      <c r="K21" s="31"/>
      <c r="L21" s="31"/>
      <c r="M21" s="31"/>
      <c r="N21" s="31"/>
      <c r="O21" s="31"/>
      <c r="P21" s="31"/>
      <c r="Q21" s="31"/>
      <c r="R21" s="31"/>
      <c r="S21" s="31"/>
      <c r="T21" s="31"/>
      <c r="U21" s="31"/>
      <c r="V21" s="31"/>
      <c r="W21" s="31"/>
      <c r="X21" s="31"/>
      <c r="Y21" s="31"/>
      <c r="Z21" s="31"/>
      <c r="AA21" s="31"/>
      <c r="AB21" s="32"/>
    </row>
    <row r="22" spans="2:28" x14ac:dyDescent="0.2">
      <c r="B22" s="746"/>
      <c r="C22" s="747"/>
      <c r="D22" s="747"/>
      <c r="E22" s="30"/>
      <c r="F22" s="31"/>
      <c r="G22" s="31"/>
      <c r="H22" s="31"/>
      <c r="I22" s="31"/>
      <c r="J22" s="31"/>
      <c r="K22" s="31"/>
      <c r="L22" s="31"/>
      <c r="M22" s="31"/>
      <c r="N22" s="31"/>
      <c r="O22" s="31"/>
      <c r="P22" s="31"/>
      <c r="Q22" s="31"/>
      <c r="R22" s="31"/>
      <c r="S22" s="31"/>
      <c r="T22" s="31"/>
      <c r="U22" s="31"/>
      <c r="V22" s="31"/>
      <c r="W22" s="31"/>
      <c r="X22" s="31"/>
      <c r="Y22" s="31"/>
      <c r="Z22" s="31"/>
      <c r="AA22" s="31"/>
      <c r="AB22" s="32"/>
    </row>
    <row r="23" spans="2:28" s="166" customFormat="1" x14ac:dyDescent="0.2">
      <c r="B23" s="24"/>
      <c r="C23" s="25"/>
      <c r="D23" s="25"/>
      <c r="E23" s="31"/>
      <c r="F23" s="31"/>
      <c r="G23" s="31"/>
      <c r="H23" s="31"/>
      <c r="I23" s="31"/>
      <c r="J23" s="31"/>
      <c r="K23" s="31"/>
      <c r="L23" s="31"/>
      <c r="M23" s="31"/>
      <c r="N23" s="31"/>
      <c r="O23" s="31"/>
      <c r="P23" s="31"/>
      <c r="Q23" s="31"/>
      <c r="R23" s="31"/>
      <c r="S23" s="31"/>
      <c r="T23" s="31"/>
      <c r="U23" s="31"/>
      <c r="V23" s="31"/>
      <c r="W23" s="31"/>
      <c r="X23" s="31"/>
      <c r="Y23" s="31"/>
      <c r="Z23" s="31"/>
      <c r="AA23" s="31"/>
      <c r="AB23" s="32"/>
    </row>
    <row r="24" spans="2:28" s="166" customFormat="1" x14ac:dyDescent="0.2">
      <c r="B24" s="30"/>
      <c r="C24" s="31"/>
      <c r="D24" s="31"/>
      <c r="E24" s="31"/>
      <c r="F24" s="31"/>
      <c r="G24" s="31"/>
      <c r="H24" s="31"/>
      <c r="I24" s="31"/>
      <c r="J24" s="31"/>
      <c r="K24" s="31"/>
      <c r="L24" s="31"/>
      <c r="M24" s="31"/>
      <c r="N24" s="31"/>
      <c r="O24" s="31"/>
      <c r="P24" s="31"/>
      <c r="Q24" s="31"/>
      <c r="R24" s="31"/>
      <c r="S24" s="31"/>
      <c r="T24" s="31"/>
      <c r="U24" s="31"/>
      <c r="V24" s="31"/>
      <c r="W24" s="31"/>
      <c r="X24" s="31"/>
      <c r="Y24" s="31"/>
      <c r="Z24" s="31"/>
      <c r="AA24" s="31"/>
      <c r="AB24" s="32"/>
    </row>
    <row r="25" spans="2:28" s="166" customFormat="1" x14ac:dyDescent="0.2">
      <c r="B25" s="30"/>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2"/>
    </row>
    <row r="26" spans="2:28" s="166" customFormat="1" x14ac:dyDescent="0.2">
      <c r="B26" s="30"/>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2"/>
    </row>
    <row r="27" spans="2:28" s="166" customFormat="1" x14ac:dyDescent="0.2">
      <c r="B27" s="30"/>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2"/>
    </row>
    <row r="28" spans="2:28" s="166" customFormat="1" x14ac:dyDescent="0.2">
      <c r="B28" s="30"/>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2"/>
    </row>
    <row r="29" spans="2:28" s="166" customFormat="1" x14ac:dyDescent="0.2">
      <c r="B29" s="30"/>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2"/>
    </row>
    <row r="30" spans="2:28" s="166" customFormat="1" x14ac:dyDescent="0.2">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2"/>
    </row>
    <row r="31" spans="2:28" s="166" customFormat="1" x14ac:dyDescent="0.2">
      <c r="B31" s="30"/>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2"/>
    </row>
    <row r="32" spans="2:28"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2"/>
    </row>
    <row r="33" spans="2:28" s="166" customFormat="1" x14ac:dyDescent="0.2">
      <c r="B33" s="30"/>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2"/>
    </row>
    <row r="34" spans="2:28"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2"/>
    </row>
    <row r="35" spans="2:28"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2"/>
    </row>
    <row r="36" spans="2:28"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2"/>
    </row>
    <row r="37" spans="2:28"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2"/>
    </row>
    <row r="38" spans="2:28"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2"/>
    </row>
    <row r="39" spans="2:28"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2"/>
    </row>
    <row r="40" spans="2:28"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2"/>
    </row>
    <row r="41" spans="2:28"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2"/>
    </row>
    <row r="42" spans="2:28"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2"/>
    </row>
    <row r="43" spans="2:28"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2"/>
    </row>
    <row r="44" spans="2:28"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2"/>
    </row>
    <row r="45" spans="2:28"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2"/>
    </row>
    <row r="46" spans="2:28"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2"/>
    </row>
    <row r="47" spans="2:28"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2"/>
    </row>
    <row r="48" spans="2:28"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2"/>
    </row>
    <row r="49" spans="2:28"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2"/>
    </row>
    <row r="50" spans="2:28"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2"/>
    </row>
    <row r="51" spans="2:28"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2"/>
    </row>
    <row r="52" spans="2:28"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2"/>
    </row>
    <row r="53" spans="2:28"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2"/>
    </row>
    <row r="54" spans="2:28" s="166" customFormat="1" x14ac:dyDescent="0.2">
      <c r="B54" s="30"/>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2"/>
    </row>
    <row r="55" spans="2:28" s="166" customFormat="1" x14ac:dyDescent="0.2">
      <c r="B55" s="38"/>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9"/>
    </row>
    <row r="56" spans="2:28" s="166" customFormat="1" x14ac:dyDescent="0.2"/>
    <row r="57" spans="2:28" s="166" customFormat="1" x14ac:dyDescent="0.2"/>
    <row r="58" spans="2:28" s="166" customFormat="1" x14ac:dyDescent="0.2"/>
    <row r="59" spans="2:28" s="166" customFormat="1" x14ac:dyDescent="0.2"/>
    <row r="60" spans="2:28" s="166" customFormat="1" x14ac:dyDescent="0.2"/>
    <row r="61" spans="2:28" s="166" customFormat="1" x14ac:dyDescent="0.2"/>
    <row r="62" spans="2:28" s="166" customFormat="1" x14ac:dyDescent="0.2"/>
    <row r="63" spans="2:28" s="166" customFormat="1" x14ac:dyDescent="0.2"/>
    <row r="64" spans="2:28"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sheetData>
  <sheetProtection password="E10F" sheet="1"/>
  <mergeCells count="4">
    <mergeCell ref="C4:D4"/>
    <mergeCell ref="E4:F4"/>
    <mergeCell ref="G4:H4"/>
    <mergeCell ref="B21:D22"/>
  </mergeCells>
  <phoneticPr fontId="0" type="noConversion"/>
  <conditionalFormatting sqref="D14 D18:D19 F6:F7 F18:F19 F14 F9 D6:D9">
    <cfRule type="expression" dxfId="122" priority="5" stopIfTrue="1">
      <formula>D6="PASS"</formula>
    </cfRule>
    <cfRule type="expression" dxfId="121" priority="6" stopIfTrue="1">
      <formula>D6="FAIL"</formula>
    </cfRule>
  </conditionalFormatting>
  <conditionalFormatting sqref="C4:F4">
    <cfRule type="expression" dxfId="120" priority="7" stopIfTrue="1">
      <formula>C4="PASS"</formula>
    </cfRule>
    <cfRule type="expression" dxfId="119" priority="8" stopIfTrue="1">
      <formula>C4="FAIL"</formula>
    </cfRule>
    <cfRule type="expression" dxfId="118" priority="9" stopIfTrue="1">
      <formula>C4="N/A"</formula>
    </cfRule>
  </conditionalFormatting>
  <conditionalFormatting sqref="D20">
    <cfRule type="expression" dxfId="117" priority="1" stopIfTrue="1">
      <formula>D20="PASS"</formula>
    </cfRule>
    <cfRule type="expression" dxfId="116" priority="2" stopIfTrue="1">
      <formula>D20="FAIL"</formula>
    </cfRule>
  </conditionalFormatting>
  <hyperlinks>
    <hyperlink ref="G2" location="'Cover Sheet'!A1" display="BACK to COVER SHEET" xr:uid="{00000000-0004-0000-1A00-000000000000}"/>
    <hyperlink ref="G2:I2" location="'Cover Sheet'!A1" display="BACK to COVER SHEET" xr:uid="{00000000-0004-0000-1A00-000001000000}"/>
  </hyperlinks>
  <pageMargins left="0.75" right="0.75" top="1" bottom="1" header="0.5" footer="0.5"/>
  <headerFooter alignWithMargins="0"/>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9"/>
  <dimension ref="A1:AO53"/>
  <sheetViews>
    <sheetView showGridLines="0" zoomScaleNormal="100" zoomScaleSheetLayoutView="100" workbookViewId="0">
      <selection activeCell="AO2" sqref="AM2:AO2"/>
    </sheetView>
  </sheetViews>
  <sheetFormatPr baseColWidth="10" defaultColWidth="9.140625" defaultRowHeight="12.75" x14ac:dyDescent="0.2"/>
  <cols>
    <col min="1" max="38" width="5" customWidth="1"/>
  </cols>
  <sheetData>
    <row r="1" spans="1:41" x14ac:dyDescent="0.2">
      <c r="A1" s="698" t="s">
        <v>552</v>
      </c>
      <c r="B1" s="699"/>
      <c r="C1" s="699"/>
      <c r="D1" s="699"/>
      <c r="E1" s="699"/>
      <c r="F1" s="699"/>
      <c r="G1" s="699"/>
      <c r="H1" s="699"/>
      <c r="I1" s="699"/>
      <c r="J1" s="699"/>
      <c r="K1" s="699"/>
      <c r="L1" s="699"/>
      <c r="M1" s="699"/>
      <c r="N1" s="699"/>
      <c r="O1" s="699"/>
      <c r="P1" s="699"/>
      <c r="Q1" s="699"/>
      <c r="R1" s="699"/>
      <c r="S1" s="700"/>
      <c r="T1" s="24"/>
      <c r="U1" s="25"/>
      <c r="V1" s="25"/>
      <c r="W1" s="25"/>
      <c r="X1" s="25"/>
      <c r="Y1" s="25"/>
      <c r="Z1" s="25"/>
      <c r="AA1" s="25"/>
      <c r="AB1" s="25"/>
      <c r="AC1" s="25"/>
      <c r="AD1" s="25"/>
      <c r="AE1" s="25"/>
      <c r="AF1" s="25"/>
      <c r="AG1" s="25"/>
      <c r="AH1" s="25"/>
      <c r="AI1" s="25"/>
      <c r="AJ1" s="25"/>
      <c r="AK1" s="25"/>
      <c r="AL1" s="26"/>
    </row>
    <row r="2" spans="1:41" x14ac:dyDescent="0.2">
      <c r="A2" s="8"/>
      <c r="B2" s="1"/>
      <c r="C2" s="1"/>
      <c r="D2" s="1"/>
      <c r="E2" s="1"/>
      <c r="F2" s="1"/>
      <c r="G2" s="1"/>
      <c r="H2" s="1"/>
      <c r="I2" s="1"/>
      <c r="J2" s="1"/>
      <c r="K2" s="1"/>
      <c r="L2" s="1"/>
      <c r="M2" s="1"/>
      <c r="N2" s="1"/>
      <c r="O2" s="1"/>
      <c r="P2" s="1"/>
      <c r="Q2" s="1"/>
      <c r="R2" s="1"/>
      <c r="S2" s="20"/>
      <c r="T2" s="30"/>
      <c r="U2" s="31"/>
      <c r="V2" s="31"/>
      <c r="W2" s="31"/>
      <c r="X2" s="31"/>
      <c r="Y2" s="31"/>
      <c r="Z2" s="31"/>
      <c r="AA2" s="31"/>
      <c r="AB2" s="31"/>
      <c r="AC2" s="31"/>
      <c r="AD2" s="31"/>
      <c r="AE2" s="31"/>
      <c r="AF2" s="31"/>
      <c r="AG2" s="31"/>
      <c r="AH2" s="31"/>
      <c r="AI2" s="31"/>
      <c r="AJ2" s="31"/>
      <c r="AK2" s="31"/>
      <c r="AL2" s="32"/>
      <c r="AM2" s="298" t="s">
        <v>565</v>
      </c>
      <c r="AN2" s="298"/>
      <c r="AO2" s="298"/>
    </row>
    <row r="3" spans="1:41" x14ac:dyDescent="0.2">
      <c r="A3" s="8" t="s">
        <v>47</v>
      </c>
      <c r="B3" s="1"/>
      <c r="C3" s="1"/>
      <c r="D3" s="701" t="str">
        <f>IF('Cover Sheet'!D14:J14&gt;0,'Cover Sheet'!D14:J14,"")</f>
        <v>EPSA</v>
      </c>
      <c r="E3" s="701"/>
      <c r="F3" s="701"/>
      <c r="G3" s="701"/>
      <c r="H3" s="701"/>
      <c r="I3" s="701"/>
      <c r="J3" s="701"/>
      <c r="K3" s="1" t="s">
        <v>48</v>
      </c>
      <c r="L3" s="1"/>
      <c r="M3" s="1"/>
      <c r="N3" s="1"/>
      <c r="O3" s="701" t="str">
        <f>IF('Cover Sheet'!O14:S14&gt;0,'Cover Sheet'!O14:S14,"")</f>
        <v/>
      </c>
      <c r="P3" s="701"/>
      <c r="Q3" s="701"/>
      <c r="R3" s="701"/>
      <c r="S3" s="702"/>
      <c r="T3" s="30"/>
      <c r="U3" s="31"/>
      <c r="V3" s="31"/>
      <c r="W3" s="31"/>
      <c r="X3" s="31"/>
      <c r="Y3" s="31"/>
      <c r="Z3" s="31"/>
      <c r="AA3" s="31"/>
      <c r="AB3" s="31"/>
      <c r="AC3" s="31"/>
      <c r="AD3" s="31"/>
      <c r="AE3" s="31"/>
      <c r="AF3" s="31"/>
      <c r="AG3" s="31"/>
      <c r="AH3" s="31"/>
      <c r="AI3" s="31"/>
      <c r="AJ3" s="31"/>
      <c r="AK3" s="31"/>
      <c r="AL3" s="32"/>
    </row>
    <row r="4" spans="1:41" x14ac:dyDescent="0.2">
      <c r="A4" s="8"/>
      <c r="B4" s="1"/>
      <c r="C4" s="1"/>
      <c r="D4" s="1"/>
      <c r="E4" s="1"/>
      <c r="F4" s="1"/>
      <c r="G4" s="1"/>
      <c r="H4" s="1"/>
      <c r="I4" s="1"/>
      <c r="J4" s="1"/>
      <c r="K4" s="1"/>
      <c r="L4" s="1"/>
      <c r="M4" s="1"/>
      <c r="N4" s="1"/>
      <c r="O4" s="1"/>
      <c r="P4" s="1"/>
      <c r="Q4" s="1"/>
      <c r="R4" s="1"/>
      <c r="S4" s="20"/>
      <c r="T4" s="30"/>
      <c r="U4" s="31"/>
      <c r="V4" s="31"/>
      <c r="W4" s="31"/>
      <c r="X4" s="31"/>
      <c r="Y4" s="31"/>
      <c r="Z4" s="31"/>
      <c r="AA4" s="31"/>
      <c r="AB4" s="31"/>
      <c r="AC4" s="31"/>
      <c r="AD4" s="31"/>
      <c r="AE4" s="31"/>
      <c r="AF4" s="31"/>
      <c r="AG4" s="31"/>
      <c r="AH4" s="31"/>
      <c r="AI4" s="31"/>
      <c r="AJ4" s="31"/>
      <c r="AK4" s="31"/>
      <c r="AL4" s="32"/>
    </row>
    <row r="5" spans="1:41" ht="12.75" customHeight="1" x14ac:dyDescent="0.2">
      <c r="A5" s="719"/>
      <c r="B5" s="720"/>
      <c r="C5" s="720"/>
      <c r="D5" s="720"/>
      <c r="E5" s="720"/>
      <c r="F5" s="720"/>
      <c r="G5" s="720"/>
      <c r="H5" s="720"/>
      <c r="I5" s="720"/>
      <c r="J5" s="720"/>
      <c r="K5" s="720"/>
      <c r="L5" s="720"/>
      <c r="M5" s="720"/>
      <c r="N5" s="720"/>
      <c r="O5" s="720"/>
      <c r="P5" s="720"/>
      <c r="Q5" s="720"/>
      <c r="R5" s="720"/>
      <c r="S5" s="721"/>
      <c r="T5" s="30"/>
      <c r="U5" s="31"/>
      <c r="V5" s="31"/>
      <c r="W5" s="31"/>
      <c r="X5" s="31"/>
      <c r="Y5" s="31"/>
      <c r="Z5" s="31"/>
      <c r="AA5" s="31"/>
      <c r="AB5" s="31"/>
      <c r="AC5" s="31"/>
      <c r="AD5" s="31"/>
      <c r="AE5" s="31"/>
      <c r="AF5" s="31"/>
      <c r="AG5" s="31"/>
      <c r="AH5" s="31"/>
      <c r="AI5" s="31"/>
      <c r="AJ5" s="31"/>
      <c r="AK5" s="31"/>
      <c r="AL5" s="32"/>
    </row>
    <row r="6" spans="1:41" x14ac:dyDescent="0.2">
      <c r="A6" s="48"/>
      <c r="B6" s="261"/>
      <c r="C6" s="68"/>
      <c r="D6" s="68"/>
      <c r="E6" s="68"/>
      <c r="F6" s="68"/>
      <c r="G6" s="68"/>
      <c r="H6" s="68"/>
      <c r="I6" s="68"/>
      <c r="J6" s="68"/>
      <c r="K6" s="68"/>
      <c r="L6" s="68"/>
      <c r="M6" s="68"/>
      <c r="N6" s="68"/>
      <c r="O6" s="68"/>
      <c r="P6" s="68"/>
      <c r="Q6" s="68"/>
      <c r="R6" s="68"/>
      <c r="S6" s="310"/>
      <c r="T6" s="30"/>
      <c r="U6" s="31"/>
      <c r="V6" s="261"/>
      <c r="W6" s="28"/>
      <c r="X6" s="28"/>
      <c r="Y6" s="28"/>
      <c r="Z6" s="28"/>
      <c r="AA6" s="28"/>
      <c r="AB6" s="31"/>
      <c r="AC6" s="31"/>
      <c r="AD6" s="31"/>
      <c r="AE6" s="31"/>
      <c r="AF6" s="31"/>
      <c r="AG6" s="31"/>
      <c r="AH6" s="31"/>
      <c r="AI6" s="31"/>
      <c r="AJ6" s="31"/>
      <c r="AK6" s="31"/>
      <c r="AL6" s="32"/>
    </row>
    <row r="7" spans="1:41" x14ac:dyDescent="0.2">
      <c r="A7" s="48"/>
      <c r="B7" s="261"/>
      <c r="C7" s="68"/>
      <c r="D7" s="68"/>
      <c r="E7" s="68"/>
      <c r="F7" s="68"/>
      <c r="G7" s="68"/>
      <c r="H7" s="68"/>
      <c r="I7" s="68"/>
      <c r="J7" s="68"/>
      <c r="K7" s="68"/>
      <c r="L7" s="68"/>
      <c r="M7" s="68"/>
      <c r="N7" s="68"/>
      <c r="O7" s="68"/>
      <c r="P7" s="68"/>
      <c r="Q7" s="68"/>
      <c r="R7" s="68"/>
      <c r="S7" s="310"/>
      <c r="T7" s="30"/>
      <c r="U7" s="31"/>
      <c r="V7" s="261"/>
      <c r="W7" s="28"/>
      <c r="X7" s="28"/>
      <c r="Y7" s="28"/>
      <c r="Z7" s="28"/>
      <c r="AA7" s="28"/>
      <c r="AB7" s="31"/>
      <c r="AC7" s="31"/>
      <c r="AD7" s="31"/>
      <c r="AE7" s="31"/>
      <c r="AF7" s="31"/>
      <c r="AG7" s="31"/>
      <c r="AH7" s="31"/>
      <c r="AI7" s="31"/>
      <c r="AJ7" s="31"/>
      <c r="AK7" s="31"/>
      <c r="AL7" s="32"/>
    </row>
    <row r="8" spans="1:41" x14ac:dyDescent="0.2">
      <c r="A8" s="48"/>
      <c r="B8" s="68"/>
      <c r="C8" s="68"/>
      <c r="D8" s="68"/>
      <c r="E8" s="68"/>
      <c r="F8" s="68"/>
      <c r="G8" s="68"/>
      <c r="H8" s="68"/>
      <c r="I8" s="68"/>
      <c r="J8" s="68"/>
      <c r="K8" s="68"/>
      <c r="L8" s="68"/>
      <c r="M8" s="68"/>
      <c r="N8" s="68"/>
      <c r="O8" s="68"/>
      <c r="P8" s="68"/>
      <c r="Q8" s="68"/>
      <c r="R8" s="68"/>
      <c r="S8" s="310"/>
      <c r="T8" s="30"/>
      <c r="U8" s="31"/>
      <c r="V8" s="28"/>
      <c r="W8" s="28"/>
      <c r="X8" s="28"/>
      <c r="Y8" s="28"/>
      <c r="Z8" s="28"/>
      <c r="AA8" s="28"/>
      <c r="AB8" s="31"/>
      <c r="AC8" s="31"/>
      <c r="AD8" s="31"/>
      <c r="AE8" s="31"/>
      <c r="AF8" s="31"/>
      <c r="AG8" s="31"/>
      <c r="AH8" s="31"/>
      <c r="AI8" s="31"/>
      <c r="AJ8" s="31"/>
      <c r="AK8" s="31"/>
      <c r="AL8" s="32"/>
    </row>
    <row r="9" spans="1:41" x14ac:dyDescent="0.2">
      <c r="A9" s="48"/>
      <c r="B9" s="261"/>
      <c r="C9" s="68"/>
      <c r="D9" s="68"/>
      <c r="E9" s="68"/>
      <c r="F9" s="68"/>
      <c r="G9" s="68"/>
      <c r="H9" s="68"/>
      <c r="I9" s="68"/>
      <c r="J9" s="68"/>
      <c r="K9" s="68"/>
      <c r="L9" s="68"/>
      <c r="M9" s="68"/>
      <c r="N9" s="68"/>
      <c r="O9" s="68"/>
      <c r="P9" s="68"/>
      <c r="Q9" s="68"/>
      <c r="R9" s="68"/>
      <c r="S9" s="310"/>
      <c r="T9" s="30"/>
      <c r="U9" s="31"/>
      <c r="V9" s="261"/>
      <c r="W9" s="28"/>
      <c r="X9" s="28"/>
      <c r="Y9" s="28"/>
      <c r="Z9" s="31"/>
      <c r="AA9" s="31"/>
      <c r="AB9" s="31"/>
      <c r="AC9" s="31"/>
      <c r="AD9" s="31"/>
      <c r="AE9" s="31"/>
      <c r="AF9" s="31"/>
      <c r="AG9" s="31"/>
      <c r="AH9" s="31"/>
      <c r="AI9" s="31"/>
      <c r="AJ9" s="31"/>
      <c r="AK9" s="31"/>
      <c r="AL9" s="32"/>
    </row>
    <row r="10" spans="1:41" x14ac:dyDescent="0.2">
      <c r="A10" s="48"/>
      <c r="B10" s="68"/>
      <c r="C10" s="68"/>
      <c r="D10" s="68"/>
      <c r="E10" s="68"/>
      <c r="F10" s="68"/>
      <c r="G10" s="68"/>
      <c r="H10" s="68"/>
      <c r="I10" s="68"/>
      <c r="J10" s="68"/>
      <c r="K10" s="68"/>
      <c r="L10" s="68"/>
      <c r="M10" s="68"/>
      <c r="N10" s="68"/>
      <c r="O10" s="68"/>
      <c r="P10" s="68"/>
      <c r="Q10" s="68"/>
      <c r="R10" s="68"/>
      <c r="S10" s="310"/>
      <c r="T10" s="30"/>
      <c r="U10" s="31"/>
      <c r="V10" s="28"/>
      <c r="W10" s="28"/>
      <c r="X10" s="28"/>
      <c r="Y10" s="28"/>
      <c r="Z10" s="28"/>
      <c r="AA10" s="28"/>
      <c r="AB10" s="31"/>
      <c r="AC10" s="31"/>
      <c r="AD10" s="31"/>
      <c r="AE10" s="31"/>
      <c r="AF10" s="31"/>
      <c r="AG10" s="31"/>
      <c r="AH10" s="31"/>
      <c r="AI10" s="31"/>
      <c r="AJ10" s="31"/>
      <c r="AK10" s="31"/>
      <c r="AL10" s="32"/>
    </row>
    <row r="11" spans="1:41" x14ac:dyDescent="0.2">
      <c r="A11" s="48"/>
      <c r="B11" s="68"/>
      <c r="C11" s="68"/>
      <c r="D11" s="68"/>
      <c r="E11" s="68"/>
      <c r="F11" s="68"/>
      <c r="G11" s="33"/>
      <c r="H11" s="68"/>
      <c r="I11" s="68"/>
      <c r="J11" s="68"/>
      <c r="K11" s="68"/>
      <c r="L11" s="68"/>
      <c r="M11" s="68"/>
      <c r="N11" s="68"/>
      <c r="O11" s="68"/>
      <c r="P11" s="68"/>
      <c r="Q11" s="68"/>
      <c r="R11" s="68"/>
      <c r="S11" s="310"/>
      <c r="T11" s="30"/>
      <c r="U11" s="31"/>
      <c r="V11" s="28"/>
      <c r="W11" s="28"/>
      <c r="X11" s="33"/>
      <c r="Y11" s="28"/>
      <c r="Z11" s="28"/>
      <c r="AA11" s="33"/>
      <c r="AB11" s="31"/>
      <c r="AC11" s="31"/>
      <c r="AD11" s="31"/>
      <c r="AE11" s="31"/>
      <c r="AF11" s="31"/>
      <c r="AG11" s="31"/>
      <c r="AH11" s="31"/>
      <c r="AI11" s="31"/>
      <c r="AJ11" s="31"/>
      <c r="AK11" s="31"/>
      <c r="AL11" s="32"/>
    </row>
    <row r="12" spans="1:41" x14ac:dyDescent="0.2">
      <c r="A12" s="48"/>
      <c r="B12" s="68"/>
      <c r="C12" s="68"/>
      <c r="D12" s="68"/>
      <c r="E12" s="68"/>
      <c r="F12" s="68"/>
      <c r="G12" s="68"/>
      <c r="H12" s="68"/>
      <c r="I12" s="68"/>
      <c r="J12" s="68"/>
      <c r="K12" s="68"/>
      <c r="L12" s="68"/>
      <c r="M12" s="68"/>
      <c r="N12" s="68"/>
      <c r="O12" s="68"/>
      <c r="P12" s="68"/>
      <c r="Q12" s="68"/>
      <c r="R12" s="68"/>
      <c r="S12" s="310"/>
      <c r="T12" s="30"/>
      <c r="U12" s="31"/>
      <c r="V12" s="28"/>
      <c r="W12" s="28"/>
      <c r="X12" s="28"/>
      <c r="Y12" s="28"/>
      <c r="Z12" s="28"/>
      <c r="AA12" s="28"/>
      <c r="AB12" s="31"/>
      <c r="AC12" s="31"/>
      <c r="AD12" s="31"/>
      <c r="AE12" s="31"/>
      <c r="AF12" s="31"/>
      <c r="AG12" s="31"/>
      <c r="AH12" s="31"/>
      <c r="AI12" s="31"/>
      <c r="AJ12" s="31"/>
      <c r="AK12" s="31"/>
      <c r="AL12" s="32"/>
    </row>
    <row r="13" spans="1:41" x14ac:dyDescent="0.2">
      <c r="A13" s="48"/>
      <c r="B13" s="68"/>
      <c r="C13" s="68"/>
      <c r="D13" s="68"/>
      <c r="E13" s="68"/>
      <c r="F13" s="68"/>
      <c r="G13" s="33"/>
      <c r="H13" s="68"/>
      <c r="I13" s="68"/>
      <c r="J13" s="68"/>
      <c r="K13" s="68"/>
      <c r="L13" s="68"/>
      <c r="M13" s="68"/>
      <c r="N13" s="68"/>
      <c r="O13" s="68"/>
      <c r="P13" s="68"/>
      <c r="Q13" s="68"/>
      <c r="R13" s="68"/>
      <c r="S13" s="310"/>
      <c r="T13" s="30"/>
      <c r="U13" s="31"/>
      <c r="V13" s="28"/>
      <c r="W13" s="28"/>
      <c r="X13" s="33"/>
      <c r="Y13" s="28"/>
      <c r="Z13" s="28"/>
      <c r="AA13" s="33"/>
      <c r="AB13" s="31"/>
      <c r="AC13" s="31"/>
      <c r="AD13" s="31"/>
      <c r="AE13" s="31"/>
      <c r="AF13" s="31"/>
      <c r="AG13" s="31"/>
      <c r="AH13" s="31"/>
      <c r="AI13" s="31"/>
      <c r="AJ13" s="31"/>
      <c r="AK13" s="31"/>
      <c r="AL13" s="32"/>
    </row>
    <row r="14" spans="1:41" x14ac:dyDescent="0.2">
      <c r="A14" s="48"/>
      <c r="B14" s="68"/>
      <c r="C14" s="68"/>
      <c r="D14" s="68"/>
      <c r="E14" s="68"/>
      <c r="F14" s="68"/>
      <c r="G14" s="68"/>
      <c r="H14" s="68"/>
      <c r="I14" s="68"/>
      <c r="J14" s="68"/>
      <c r="K14" s="68"/>
      <c r="L14" s="68"/>
      <c r="M14" s="68"/>
      <c r="N14" s="68"/>
      <c r="O14" s="68"/>
      <c r="P14" s="68"/>
      <c r="Q14" s="68"/>
      <c r="R14" s="68"/>
      <c r="S14" s="310"/>
      <c r="T14" s="30"/>
      <c r="U14" s="31"/>
      <c r="V14" s="31"/>
      <c r="W14" s="31"/>
      <c r="X14" s="31"/>
      <c r="Y14" s="31"/>
      <c r="Z14" s="31"/>
      <c r="AA14" s="31"/>
      <c r="AB14" s="31"/>
      <c r="AC14" s="31"/>
      <c r="AD14" s="31"/>
      <c r="AE14" s="31"/>
      <c r="AF14" s="31"/>
      <c r="AG14" s="31"/>
      <c r="AH14" s="31"/>
      <c r="AI14" s="31"/>
      <c r="AJ14" s="31"/>
      <c r="AK14" s="31"/>
      <c r="AL14" s="32"/>
    </row>
    <row r="15" spans="1:41" x14ac:dyDescent="0.2">
      <c r="A15" s="48"/>
      <c r="B15" s="68"/>
      <c r="C15" s="68"/>
      <c r="D15" s="68"/>
      <c r="E15" s="68"/>
      <c r="F15" s="68"/>
      <c r="G15" s="517" t="s">
        <v>609</v>
      </c>
      <c r="H15" s="519"/>
      <c r="I15" s="519"/>
      <c r="J15" s="519"/>
      <c r="K15" s="519"/>
      <c r="L15" s="519"/>
      <c r="M15" s="519"/>
      <c r="N15" s="519"/>
      <c r="O15" s="519"/>
      <c r="P15" s="519"/>
      <c r="Q15" s="519"/>
      <c r="R15" s="519"/>
      <c r="S15" s="310"/>
      <c r="T15" s="30"/>
      <c r="U15" s="31"/>
      <c r="V15" s="31"/>
      <c r="W15" s="31"/>
      <c r="X15" s="33" t="s">
        <v>400</v>
      </c>
      <c r="Y15" s="31"/>
      <c r="Z15" s="31"/>
      <c r="AA15" s="31"/>
      <c r="AB15" s="31"/>
      <c r="AC15" s="31"/>
      <c r="AD15" s="31"/>
      <c r="AE15" s="31"/>
      <c r="AF15" s="31"/>
      <c r="AG15" s="31"/>
      <c r="AH15" s="31"/>
      <c r="AI15" s="31"/>
      <c r="AJ15" s="31"/>
      <c r="AK15" s="31"/>
      <c r="AL15" s="32"/>
    </row>
    <row r="16" spans="1:41" x14ac:dyDescent="0.2">
      <c r="A16" s="48"/>
      <c r="B16" s="68"/>
      <c r="C16" s="68"/>
      <c r="D16" s="68"/>
      <c r="E16" s="68"/>
      <c r="F16" s="68"/>
      <c r="G16" s="33"/>
      <c r="H16" s="68"/>
      <c r="I16" s="68"/>
      <c r="J16" s="68"/>
      <c r="K16" s="68"/>
      <c r="L16" s="68"/>
      <c r="M16" s="68"/>
      <c r="N16" s="68"/>
      <c r="O16" s="68"/>
      <c r="P16" s="68"/>
      <c r="Q16" s="68"/>
      <c r="R16" s="68"/>
      <c r="S16" s="310"/>
      <c r="T16" s="30"/>
      <c r="U16" s="31"/>
      <c r="V16" s="31"/>
      <c r="W16" s="31"/>
      <c r="X16" s="33" t="s">
        <v>401</v>
      </c>
      <c r="Y16" s="31"/>
      <c r="Z16" s="31"/>
      <c r="AA16" s="31"/>
      <c r="AB16" s="31"/>
      <c r="AC16" s="31"/>
      <c r="AD16" s="31"/>
      <c r="AE16" s="31"/>
      <c r="AF16" s="31"/>
      <c r="AG16" s="31"/>
      <c r="AH16" s="31"/>
      <c r="AI16" s="31"/>
      <c r="AJ16" s="31"/>
      <c r="AK16" s="31"/>
      <c r="AL16" s="32"/>
    </row>
    <row r="17" spans="1:38" x14ac:dyDescent="0.2">
      <c r="A17" s="48"/>
      <c r="B17" s="68"/>
      <c r="C17" s="68"/>
      <c r="D17" s="68"/>
      <c r="E17" s="68"/>
      <c r="F17" s="68"/>
      <c r="G17" s="68"/>
      <c r="H17" s="68"/>
      <c r="I17" s="68"/>
      <c r="J17" s="68"/>
      <c r="K17" s="68"/>
      <c r="L17" s="68"/>
      <c r="M17" s="68"/>
      <c r="N17" s="68"/>
      <c r="O17" s="68"/>
      <c r="P17" s="68"/>
      <c r="Q17" s="68"/>
      <c r="R17" s="68"/>
      <c r="S17" s="310"/>
      <c r="T17" s="30"/>
      <c r="U17" s="31"/>
      <c r="V17" s="31"/>
      <c r="W17" s="31"/>
      <c r="X17" s="33"/>
      <c r="Y17" s="31"/>
      <c r="Z17" s="31"/>
      <c r="AA17" s="31"/>
      <c r="AB17" s="31"/>
      <c r="AC17" s="31"/>
      <c r="AD17" s="31"/>
      <c r="AE17" s="31"/>
      <c r="AF17" s="31"/>
      <c r="AG17" s="31"/>
      <c r="AH17" s="31"/>
      <c r="AI17" s="31"/>
      <c r="AJ17" s="31"/>
      <c r="AK17" s="31"/>
      <c r="AL17" s="32"/>
    </row>
    <row r="18" spans="1:38" x14ac:dyDescent="0.2">
      <c r="A18" s="48"/>
      <c r="B18" s="68"/>
      <c r="C18" s="68"/>
      <c r="D18" s="68"/>
      <c r="E18" s="68"/>
      <c r="F18" s="68"/>
      <c r="G18" s="33" t="s">
        <v>124</v>
      </c>
      <c r="H18" s="68"/>
      <c r="I18" s="68"/>
      <c r="J18" s="68"/>
      <c r="K18" s="68"/>
      <c r="L18" s="68"/>
      <c r="M18" s="68"/>
      <c r="N18" s="68"/>
      <c r="O18" s="68"/>
      <c r="P18" s="68"/>
      <c r="Q18" s="68"/>
      <c r="R18" s="68"/>
      <c r="S18" s="310"/>
      <c r="T18" s="30"/>
      <c r="U18" s="31"/>
      <c r="V18" s="31"/>
      <c r="W18" s="31"/>
      <c r="X18" s="319" t="s">
        <v>402</v>
      </c>
      <c r="Y18" s="31"/>
      <c r="Z18" s="31"/>
      <c r="AA18" s="31"/>
      <c r="AB18" s="31"/>
      <c r="AC18" s="31"/>
      <c r="AD18" s="31"/>
      <c r="AE18" s="31"/>
      <c r="AF18" s="31"/>
      <c r="AG18" s="31"/>
      <c r="AH18" s="31"/>
      <c r="AI18" s="31"/>
      <c r="AJ18" s="31"/>
      <c r="AK18" s="31"/>
      <c r="AL18" s="32"/>
    </row>
    <row r="19" spans="1:38" x14ac:dyDescent="0.2">
      <c r="A19" s="48"/>
      <c r="B19" s="68"/>
      <c r="C19" s="68"/>
      <c r="D19" s="68"/>
      <c r="E19" s="68"/>
      <c r="F19" s="68"/>
      <c r="G19" s="33"/>
      <c r="H19" s="68"/>
      <c r="I19" s="68"/>
      <c r="J19" s="68"/>
      <c r="K19" s="68"/>
      <c r="L19" s="68"/>
      <c r="M19" s="68"/>
      <c r="N19" s="68"/>
      <c r="O19" s="68"/>
      <c r="P19" s="68"/>
      <c r="Q19" s="68"/>
      <c r="R19" s="68"/>
      <c r="S19" s="310"/>
      <c r="T19" s="30"/>
      <c r="U19" s="31"/>
      <c r="V19" s="31"/>
      <c r="W19" s="31"/>
      <c r="X19" s="320" t="s">
        <v>522</v>
      </c>
      <c r="Y19" s="31"/>
      <c r="Z19" s="31"/>
      <c r="AA19" s="31"/>
      <c r="AB19" s="31"/>
      <c r="AC19" s="31"/>
      <c r="AD19" s="31"/>
      <c r="AE19" s="31"/>
      <c r="AF19" s="31"/>
      <c r="AG19" s="31"/>
      <c r="AH19" s="31"/>
      <c r="AI19" s="31"/>
      <c r="AJ19" s="31"/>
      <c r="AK19" s="31"/>
      <c r="AL19" s="32"/>
    </row>
    <row r="20" spans="1:38" x14ac:dyDescent="0.2">
      <c r="A20" s="48"/>
      <c r="B20" s="68"/>
      <c r="C20" s="68"/>
      <c r="D20" s="68"/>
      <c r="E20" s="68"/>
      <c r="F20" s="68"/>
      <c r="G20" s="68"/>
      <c r="H20" s="68"/>
      <c r="I20" s="68"/>
      <c r="J20" s="68"/>
      <c r="K20" s="68"/>
      <c r="L20" s="68"/>
      <c r="M20" s="68"/>
      <c r="N20" s="68"/>
      <c r="O20" s="68"/>
      <c r="P20" s="68"/>
      <c r="Q20" s="68"/>
      <c r="R20" s="68"/>
      <c r="S20" s="310"/>
      <c r="T20" s="30"/>
      <c r="U20" s="31"/>
      <c r="V20" s="31"/>
      <c r="W20" s="31"/>
      <c r="X20" s="318"/>
      <c r="Y20" s="31"/>
      <c r="Z20" s="31"/>
      <c r="AA20" s="31"/>
      <c r="AB20" s="31"/>
      <c r="AC20" s="31"/>
      <c r="AD20" s="31"/>
      <c r="AE20" s="31"/>
      <c r="AF20" s="31"/>
      <c r="AG20" s="31"/>
      <c r="AH20" s="31"/>
      <c r="AI20" s="31"/>
      <c r="AJ20" s="31"/>
      <c r="AK20" s="31"/>
      <c r="AL20" s="32"/>
    </row>
    <row r="21" spans="1:38" x14ac:dyDescent="0.2">
      <c r="A21" s="48"/>
      <c r="B21" s="68"/>
      <c r="C21" s="68"/>
      <c r="D21" s="68"/>
      <c r="E21" s="68"/>
      <c r="F21" s="68"/>
      <c r="G21" s="33"/>
      <c r="H21" s="68"/>
      <c r="I21" s="68"/>
      <c r="J21" s="68"/>
      <c r="K21" s="68"/>
      <c r="L21" s="68"/>
      <c r="M21" s="68"/>
      <c r="N21" s="68"/>
      <c r="O21" s="68"/>
      <c r="P21" s="68"/>
      <c r="Q21" s="68"/>
      <c r="R21" s="68"/>
      <c r="S21" s="310"/>
      <c r="T21" s="30"/>
      <c r="U21" s="31"/>
      <c r="V21" s="31"/>
      <c r="W21" s="31"/>
      <c r="X21" s="33" t="s">
        <v>282</v>
      </c>
      <c r="Y21" s="31"/>
      <c r="Z21" s="31"/>
      <c r="AA21" s="31"/>
      <c r="AB21" s="31"/>
      <c r="AC21" s="31"/>
      <c r="AD21" s="31"/>
      <c r="AE21" s="31"/>
      <c r="AF21" s="31"/>
      <c r="AG21" s="31"/>
      <c r="AH21" s="31"/>
      <c r="AI21" s="31"/>
      <c r="AJ21" s="31"/>
      <c r="AK21" s="31"/>
      <c r="AL21" s="32"/>
    </row>
    <row r="22" spans="1:38" x14ac:dyDescent="0.2">
      <c r="A22" s="48"/>
      <c r="B22" s="68"/>
      <c r="C22" s="68"/>
      <c r="D22" s="33"/>
      <c r="E22" s="68"/>
      <c r="F22" s="68"/>
      <c r="G22" s="68"/>
      <c r="H22" s="68"/>
      <c r="I22" s="68"/>
      <c r="J22" s="68"/>
      <c r="K22" s="68"/>
      <c r="L22" s="68"/>
      <c r="M22" s="68"/>
      <c r="N22" s="68"/>
      <c r="O22" s="68"/>
      <c r="P22" s="68"/>
      <c r="Q22" s="68"/>
      <c r="R22" s="68"/>
      <c r="S22" s="310"/>
      <c r="T22" s="30"/>
      <c r="U22" s="31"/>
      <c r="V22" s="31"/>
      <c r="W22" s="31"/>
      <c r="X22" s="33"/>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x14ac:dyDescent="0.2">
      <c r="A25" s="48"/>
      <c r="B25" s="68"/>
      <c r="C25" s="68"/>
      <c r="D25" s="68"/>
      <c r="E25" s="68"/>
      <c r="F25" s="68"/>
      <c r="G25" s="68"/>
      <c r="H25" s="68"/>
      <c r="I25" s="68"/>
      <c r="J25" s="68"/>
      <c r="K25" s="68"/>
      <c r="L25" s="68"/>
      <c r="M25" s="68"/>
      <c r="N25" s="68"/>
      <c r="O25" s="68"/>
      <c r="P25" s="68"/>
      <c r="Q25" s="68"/>
      <c r="R25" s="68"/>
      <c r="S25" s="310"/>
      <c r="T25" s="30"/>
      <c r="U25" s="31"/>
      <c r="V25" s="31"/>
      <c r="W25" s="31"/>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31"/>
      <c r="X26" s="31"/>
      <c r="Y26" s="31"/>
      <c r="Z26" s="31"/>
      <c r="AA26" s="31"/>
      <c r="AB26" s="31"/>
      <c r="AC26" s="31"/>
      <c r="AD26" s="31"/>
      <c r="AE26" s="31"/>
      <c r="AF26" s="31"/>
      <c r="AG26" s="31"/>
      <c r="AH26" s="31"/>
      <c r="AI26" s="31"/>
      <c r="AJ26" s="31"/>
      <c r="AK26" s="31"/>
      <c r="AL26" s="32"/>
    </row>
    <row r="27" spans="1:38" x14ac:dyDescent="0.2">
      <c r="A27" s="48"/>
      <c r="B27" s="68"/>
      <c r="C27" s="68"/>
      <c r="D27" s="68"/>
      <c r="E27" s="68"/>
      <c r="F27" s="68"/>
      <c r="G27" s="68"/>
      <c r="H27" s="68"/>
      <c r="I27" s="68"/>
      <c r="J27" s="68"/>
      <c r="K27" s="68"/>
      <c r="L27" s="68"/>
      <c r="M27" s="68"/>
      <c r="N27" s="68"/>
      <c r="O27" s="68"/>
      <c r="P27" s="68"/>
      <c r="Q27" s="68"/>
      <c r="R27" s="68"/>
      <c r="S27" s="310"/>
      <c r="T27" s="30"/>
      <c r="U27" s="31"/>
      <c r="V27" s="31"/>
      <c r="W27" s="31"/>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68"/>
      <c r="H32" s="68"/>
      <c r="I32" s="68"/>
      <c r="J32" s="68"/>
      <c r="K32" s="68"/>
      <c r="L32" s="68"/>
      <c r="M32" s="68"/>
      <c r="N32" s="68"/>
      <c r="O32" s="68"/>
      <c r="P32" s="68"/>
      <c r="Q32" s="68"/>
      <c r="R32" s="68"/>
      <c r="S32" s="310"/>
      <c r="T32" s="30"/>
      <c r="U32" s="31"/>
      <c r="V32" s="31"/>
      <c r="W32" s="31"/>
      <c r="X32" s="31"/>
      <c r="Y32" s="31"/>
      <c r="Z32" s="31"/>
      <c r="AA32" s="31"/>
      <c r="AB32" s="31"/>
      <c r="AC32" s="31"/>
      <c r="AD32" s="31"/>
      <c r="AE32" s="31"/>
      <c r="AF32" s="31"/>
      <c r="AG32" s="31"/>
      <c r="AH32" s="31"/>
      <c r="AI32" s="31"/>
      <c r="AJ32" s="31"/>
      <c r="AK32" s="31"/>
      <c r="AL32" s="32"/>
    </row>
    <row r="33" spans="1:38" x14ac:dyDescent="0.2">
      <c r="A33" s="50"/>
      <c r="B33" s="51"/>
      <c r="C33" s="51"/>
      <c r="D33" s="51"/>
      <c r="E33" s="51"/>
      <c r="F33" s="51"/>
      <c r="G33" s="51"/>
      <c r="H33" s="51"/>
      <c r="I33" s="51"/>
      <c r="J33" s="51"/>
      <c r="K33" s="51"/>
      <c r="L33" s="51"/>
      <c r="M33" s="51"/>
      <c r="N33" s="51"/>
      <c r="O33" s="51"/>
      <c r="P33" s="51"/>
      <c r="Q33" s="51"/>
      <c r="R33" s="51"/>
      <c r="S33" s="311"/>
      <c r="T33" s="30"/>
      <c r="U33" s="31"/>
      <c r="V33" s="31"/>
      <c r="W33" s="31"/>
      <c r="X33" s="31"/>
      <c r="Y33" s="31"/>
      <c r="Z33" s="31"/>
      <c r="AA33" s="31"/>
      <c r="AB33" s="31"/>
      <c r="AC33" s="31"/>
      <c r="AD33" s="31"/>
      <c r="AE33" s="31"/>
      <c r="AF33" s="31"/>
      <c r="AG33" s="31"/>
      <c r="AH33" s="31"/>
      <c r="AI33" s="31"/>
      <c r="AJ33" s="31"/>
      <c r="AK33" s="31"/>
      <c r="AL33" s="32"/>
    </row>
    <row r="34" spans="1:38" x14ac:dyDescent="0.2">
      <c r="A34" s="14" t="s">
        <v>397</v>
      </c>
      <c r="B34" s="10"/>
      <c r="C34" s="10"/>
      <c r="D34" s="10"/>
      <c r="E34" s="10"/>
      <c r="F34" s="10"/>
      <c r="G34" s="10"/>
      <c r="H34" s="10"/>
      <c r="I34" s="10"/>
      <c r="J34" s="10"/>
      <c r="K34" s="10"/>
      <c r="L34" s="10"/>
      <c r="M34" s="10"/>
      <c r="N34" s="10"/>
      <c r="O34" s="4"/>
      <c r="P34" s="18" t="s">
        <v>192</v>
      </c>
      <c r="Q34" s="691" t="s">
        <v>195</v>
      </c>
      <c r="R34" s="693"/>
      <c r="S34" s="11"/>
      <c r="T34" s="30"/>
      <c r="U34" s="31"/>
      <c r="V34" s="31"/>
      <c r="W34" s="31"/>
      <c r="X34" s="31"/>
      <c r="Y34" s="31"/>
      <c r="Z34" s="31"/>
      <c r="AA34" s="31"/>
      <c r="AB34" s="31"/>
      <c r="AC34" s="31"/>
      <c r="AD34" s="31"/>
      <c r="AE34" s="31"/>
      <c r="AF34" s="31"/>
      <c r="AG34" s="31"/>
      <c r="AH34" s="31"/>
      <c r="AI34" s="31"/>
      <c r="AJ34" s="31"/>
      <c r="AK34" s="31"/>
      <c r="AL34" s="32"/>
    </row>
    <row r="35" spans="1:38" x14ac:dyDescent="0.2">
      <c r="A35" s="94" t="str">
        <f>IF(OR(F40="FAIL",F44="FAIL",F48="FAIL",F52="FAIL"),"FAIL","PASS")</f>
        <v>PASS</v>
      </c>
      <c r="B35" s="10"/>
      <c r="C35" s="10"/>
      <c r="D35" s="10"/>
      <c r="E35" s="10"/>
      <c r="F35" s="10"/>
      <c r="G35" s="10"/>
      <c r="H35" s="10"/>
      <c r="I35" s="10"/>
      <c r="J35" s="10"/>
      <c r="K35" s="10"/>
      <c r="L35" s="10"/>
      <c r="M35" s="10"/>
      <c r="N35" s="10"/>
      <c r="O35" s="1"/>
      <c r="P35" s="18" t="s">
        <v>193</v>
      </c>
      <c r="Q35" s="691" t="s">
        <v>195</v>
      </c>
      <c r="R35" s="693"/>
      <c r="S35" s="11"/>
      <c r="T35" s="30"/>
      <c r="U35" s="31"/>
      <c r="V35" s="31"/>
      <c r="W35" s="31"/>
      <c r="X35" s="31"/>
      <c r="Y35" s="31"/>
      <c r="Z35" s="31"/>
      <c r="AA35" s="31"/>
      <c r="AB35" s="31"/>
      <c r="AC35" s="31"/>
      <c r="AD35" s="31"/>
      <c r="AE35" s="31"/>
      <c r="AF35" s="31"/>
      <c r="AG35" s="31"/>
      <c r="AH35" s="31"/>
      <c r="AI35" s="31"/>
      <c r="AJ35" s="31"/>
      <c r="AK35" s="31"/>
      <c r="AL35" s="32"/>
    </row>
    <row r="36" spans="1:38" x14ac:dyDescent="0.2">
      <c r="A36" s="8"/>
      <c r="B36" s="10"/>
      <c r="C36" s="10"/>
      <c r="D36" s="10"/>
      <c r="E36" s="10"/>
      <c r="F36" s="10"/>
      <c r="G36" s="10"/>
      <c r="H36" s="10"/>
      <c r="I36" s="10"/>
      <c r="J36" s="10"/>
      <c r="K36" s="10"/>
      <c r="L36" s="10"/>
      <c r="M36" s="10"/>
      <c r="N36" s="10"/>
      <c r="O36" s="10"/>
      <c r="P36" s="18" t="s">
        <v>194</v>
      </c>
      <c r="Q36" s="691" t="s">
        <v>195</v>
      </c>
      <c r="R36" s="693"/>
      <c r="S36" s="11"/>
      <c r="T36" s="30"/>
      <c r="U36" s="31"/>
      <c r="V36" s="31"/>
      <c r="W36" s="31"/>
      <c r="X36" s="31"/>
      <c r="Y36" s="31"/>
      <c r="Z36" s="31"/>
      <c r="AA36" s="31"/>
      <c r="AB36" s="31"/>
      <c r="AC36" s="31"/>
      <c r="AD36" s="31"/>
      <c r="AE36" s="31"/>
      <c r="AF36" s="31"/>
      <c r="AG36" s="31"/>
      <c r="AH36" s="31"/>
      <c r="AI36" s="31"/>
      <c r="AJ36" s="31"/>
      <c r="AK36" s="31"/>
      <c r="AL36" s="32"/>
    </row>
    <row r="37" spans="1:38" x14ac:dyDescent="0.2">
      <c r="A37" s="9"/>
      <c r="B37" s="10"/>
      <c r="C37" s="10"/>
      <c r="D37" s="10"/>
      <c r="E37" s="10"/>
      <c r="F37" s="10"/>
      <c r="G37" s="10"/>
      <c r="H37" s="10"/>
      <c r="I37" s="10"/>
      <c r="J37" s="10"/>
      <c r="K37" s="10"/>
      <c r="L37" s="10"/>
      <c r="M37" s="10"/>
      <c r="N37" s="10"/>
      <c r="O37" s="10"/>
      <c r="P37" s="18" t="s">
        <v>191</v>
      </c>
      <c r="Q37" s="761" t="s">
        <v>195</v>
      </c>
      <c r="R37" s="762"/>
      <c r="S37" s="11"/>
      <c r="T37" s="30"/>
      <c r="U37" s="31"/>
      <c r="V37" s="31"/>
      <c r="W37" s="31"/>
      <c r="X37" s="31"/>
      <c r="Y37" s="31"/>
      <c r="Z37" s="31"/>
      <c r="AA37" s="31"/>
      <c r="AB37" s="31"/>
      <c r="AC37" s="31"/>
      <c r="AD37" s="31"/>
      <c r="AE37" s="31"/>
      <c r="AF37" s="31"/>
      <c r="AG37" s="31"/>
      <c r="AH37" s="31"/>
      <c r="AI37" s="31"/>
      <c r="AJ37" s="31"/>
      <c r="AK37" s="31"/>
      <c r="AL37" s="32"/>
    </row>
    <row r="38" spans="1:38" x14ac:dyDescent="0.2">
      <c r="A38" s="19" t="s">
        <v>125</v>
      </c>
      <c r="B38" s="10"/>
      <c r="C38" s="10"/>
      <c r="D38" s="10"/>
      <c r="E38" s="10"/>
      <c r="F38" s="10"/>
      <c r="G38" s="10"/>
      <c r="H38" s="10"/>
      <c r="I38" s="10"/>
      <c r="J38" s="10"/>
      <c r="K38" s="10"/>
      <c r="L38" s="10"/>
      <c r="M38" s="10"/>
      <c r="N38" s="10"/>
      <c r="O38" s="10"/>
      <c r="P38" s="1"/>
      <c r="Q38" s="1"/>
      <c r="R38" s="10"/>
      <c r="S38" s="11"/>
      <c r="T38" s="30"/>
      <c r="U38" s="31"/>
      <c r="V38" s="31"/>
      <c r="W38" s="31"/>
      <c r="X38" s="31"/>
      <c r="Y38" s="31"/>
      <c r="Z38" s="31"/>
      <c r="AA38" s="31"/>
      <c r="AB38" s="31"/>
      <c r="AC38" s="31"/>
      <c r="AD38" s="31"/>
      <c r="AE38" s="31"/>
      <c r="AF38" s="31"/>
      <c r="AG38" s="31"/>
      <c r="AH38" s="31"/>
      <c r="AI38" s="31"/>
      <c r="AJ38" s="31"/>
      <c r="AK38" s="31"/>
      <c r="AL38" s="32"/>
    </row>
    <row r="39" spans="1:38" x14ac:dyDescent="0.2">
      <c r="A39" s="14" t="s">
        <v>123</v>
      </c>
      <c r="B39" s="15"/>
      <c r="C39" s="15"/>
      <c r="D39" s="15"/>
      <c r="E39" s="15"/>
      <c r="F39" s="15"/>
      <c r="G39" s="15"/>
      <c r="H39" s="15"/>
      <c r="I39" s="15"/>
      <c r="J39" s="15"/>
      <c r="K39" s="15"/>
      <c r="L39" s="12" t="s">
        <v>129</v>
      </c>
      <c r="M39" s="15"/>
      <c r="N39" s="15"/>
      <c r="O39" s="15"/>
      <c r="P39" s="15"/>
      <c r="Q39" s="15"/>
      <c r="R39" s="15"/>
      <c r="S39" s="16"/>
      <c r="T39" s="30"/>
      <c r="U39" s="31"/>
      <c r="V39" s="31"/>
      <c r="W39" s="31"/>
      <c r="X39" s="31"/>
      <c r="Y39" s="31"/>
      <c r="Z39" s="31"/>
      <c r="AA39" s="31"/>
      <c r="AB39" s="31"/>
      <c r="AC39" s="31"/>
      <c r="AD39" s="31"/>
      <c r="AE39" s="31"/>
      <c r="AF39" s="31"/>
      <c r="AG39" s="31"/>
      <c r="AH39" s="31"/>
      <c r="AI39" s="31"/>
      <c r="AJ39" s="31"/>
      <c r="AK39" s="31"/>
      <c r="AL39" s="32"/>
    </row>
    <row r="40" spans="1:38" ht="12.75" customHeight="1" x14ac:dyDescent="0.2">
      <c r="A40" s="768" t="s">
        <v>115</v>
      </c>
      <c r="B40" s="769"/>
      <c r="C40" s="770"/>
      <c r="D40" s="766">
        <v>0</v>
      </c>
      <c r="E40" s="767"/>
      <c r="F40" s="749" t="str">
        <f>IF(AND(Q34="YES",D40&gt;=13000),"PASS",IF(AND(Q34="YES",D40&lt;13000),"FAIL","N/A"))</f>
        <v>N/A</v>
      </c>
      <c r="G40" s="750"/>
      <c r="H40" s="15"/>
      <c r="I40" s="15"/>
      <c r="J40" s="15"/>
      <c r="K40" s="15"/>
      <c r="L40" s="15"/>
      <c r="M40" s="15"/>
      <c r="N40" s="15"/>
      <c r="O40" s="15"/>
      <c r="P40" s="15"/>
      <c r="Q40" s="15"/>
      <c r="R40" s="15"/>
      <c r="S40" s="16"/>
      <c r="T40" s="30"/>
      <c r="U40" s="31"/>
      <c r="V40" s="31"/>
      <c r="W40" s="31"/>
      <c r="X40" s="31"/>
      <c r="Y40" s="31"/>
      <c r="Z40" s="31"/>
      <c r="AA40" s="31"/>
      <c r="AB40" s="31"/>
      <c r="AC40" s="31"/>
      <c r="AD40" s="31"/>
      <c r="AE40" s="31"/>
      <c r="AF40" s="31"/>
      <c r="AG40" s="31"/>
      <c r="AH40" s="31"/>
      <c r="AI40" s="31"/>
      <c r="AJ40" s="31"/>
      <c r="AK40" s="31"/>
      <c r="AL40" s="32"/>
    </row>
    <row r="41" spans="1:38" x14ac:dyDescent="0.2">
      <c r="A41" s="17"/>
      <c r="B41" s="15"/>
      <c r="C41" s="15"/>
      <c r="D41" s="15"/>
      <c r="E41" s="15"/>
      <c r="F41" s="15"/>
      <c r="G41" s="15"/>
      <c r="H41" s="15"/>
      <c r="I41" s="15"/>
      <c r="J41" s="15"/>
      <c r="K41" s="15"/>
      <c r="L41" s="15"/>
      <c r="M41" s="15"/>
      <c r="N41" s="15"/>
      <c r="O41" s="15"/>
      <c r="P41" s="15"/>
      <c r="Q41" s="15"/>
      <c r="R41" s="15"/>
      <c r="S41" s="16"/>
      <c r="T41" s="30"/>
      <c r="U41" s="31"/>
      <c r="V41" s="31"/>
      <c r="W41" s="31"/>
      <c r="X41" s="31"/>
      <c r="Y41" s="31"/>
      <c r="Z41" s="31"/>
      <c r="AA41" s="31"/>
      <c r="AB41" s="31"/>
      <c r="AC41" s="31"/>
      <c r="AD41" s="31"/>
      <c r="AE41" s="31"/>
      <c r="AF41" s="31"/>
      <c r="AG41" s="31"/>
      <c r="AH41" s="31"/>
      <c r="AI41" s="31"/>
      <c r="AJ41" s="31"/>
      <c r="AK41" s="31"/>
      <c r="AL41" s="32"/>
    </row>
    <row r="42" spans="1:38" x14ac:dyDescent="0.2">
      <c r="A42" s="19" t="s">
        <v>126</v>
      </c>
      <c r="B42" s="10"/>
      <c r="C42" s="10"/>
      <c r="D42" s="10"/>
      <c r="E42" s="10"/>
      <c r="F42" s="10"/>
      <c r="G42" s="10"/>
      <c r="H42" s="10"/>
      <c r="I42" s="10"/>
      <c r="J42" s="10"/>
      <c r="K42" s="10"/>
      <c r="L42" s="10"/>
      <c r="M42" s="10"/>
      <c r="N42" s="10"/>
      <c r="O42" s="10"/>
      <c r="P42" s="10"/>
      <c r="Q42" s="10"/>
      <c r="R42" s="10"/>
      <c r="S42" s="11"/>
      <c r="T42" s="30"/>
      <c r="U42" s="31"/>
      <c r="V42" s="31"/>
      <c r="W42" s="31"/>
      <c r="X42" s="31"/>
      <c r="Y42" s="31"/>
      <c r="Z42" s="31"/>
      <c r="AA42" s="31"/>
      <c r="AB42" s="31"/>
      <c r="AC42" s="31"/>
      <c r="AD42" s="31"/>
      <c r="AE42" s="31"/>
      <c r="AF42" s="31"/>
      <c r="AG42" s="31"/>
      <c r="AH42" s="31"/>
      <c r="AI42" s="31"/>
      <c r="AJ42" s="31"/>
      <c r="AK42" s="31"/>
      <c r="AL42" s="32"/>
    </row>
    <row r="43" spans="1:38" x14ac:dyDescent="0.2">
      <c r="A43" s="14" t="s">
        <v>123</v>
      </c>
      <c r="B43" s="15"/>
      <c r="C43" s="15"/>
      <c r="D43" s="15"/>
      <c r="E43" s="15"/>
      <c r="F43" s="15"/>
      <c r="G43" s="15"/>
      <c r="H43" s="15"/>
      <c r="I43" s="15"/>
      <c r="J43" s="15"/>
      <c r="K43" s="15"/>
      <c r="L43" s="12" t="s">
        <v>129</v>
      </c>
      <c r="M43" s="15"/>
      <c r="N43" s="15"/>
      <c r="O43" s="15"/>
      <c r="P43" s="15"/>
      <c r="Q43" s="15"/>
      <c r="R43" s="15"/>
      <c r="S43" s="16"/>
      <c r="T43" s="30"/>
      <c r="U43" s="31"/>
      <c r="V43" s="31"/>
      <c r="W43" s="31"/>
      <c r="X43" s="31"/>
      <c r="Y43" s="31"/>
      <c r="Z43" s="31"/>
      <c r="AA43" s="31"/>
      <c r="AB43" s="31"/>
      <c r="AC43" s="31"/>
      <c r="AD43" s="31"/>
      <c r="AE43" s="31"/>
      <c r="AF43" s="31"/>
      <c r="AG43" s="31"/>
      <c r="AH43" s="31"/>
      <c r="AI43" s="31"/>
      <c r="AJ43" s="31"/>
      <c r="AK43" s="31"/>
      <c r="AL43" s="32"/>
    </row>
    <row r="44" spans="1:38" ht="12.75" customHeight="1" x14ac:dyDescent="0.2">
      <c r="A44" s="768" t="s">
        <v>115</v>
      </c>
      <c r="B44" s="769"/>
      <c r="C44" s="770"/>
      <c r="D44" s="766">
        <v>0</v>
      </c>
      <c r="E44" s="767"/>
      <c r="F44" s="749" t="str">
        <f>IF(AND(Q35="YES",D44&gt;=13000),"PASS",IF(AND(Q35="YES",D44&lt;13000),"FAIL","N/A"))</f>
        <v>N/A</v>
      </c>
      <c r="G44" s="750"/>
      <c r="H44" s="15"/>
      <c r="I44" s="15"/>
      <c r="J44" s="15"/>
      <c r="K44" s="15"/>
      <c r="L44" s="15"/>
      <c r="M44" s="15"/>
      <c r="N44" s="15"/>
      <c r="O44" s="15"/>
      <c r="P44" s="15"/>
      <c r="Q44" s="15"/>
      <c r="R44" s="15"/>
      <c r="S44" s="16"/>
      <c r="T44" s="30"/>
      <c r="U44" s="31"/>
      <c r="V44" s="31"/>
      <c r="W44" s="31"/>
      <c r="X44" s="31"/>
      <c r="Y44" s="31"/>
      <c r="Z44" s="31"/>
      <c r="AA44" s="31"/>
      <c r="AB44" s="31"/>
      <c r="AC44" s="31"/>
      <c r="AD44" s="31"/>
      <c r="AE44" s="31"/>
      <c r="AF44" s="31"/>
      <c r="AG44" s="31"/>
      <c r="AH44" s="31"/>
      <c r="AI44" s="31"/>
      <c r="AJ44" s="31"/>
      <c r="AK44" s="31"/>
      <c r="AL44" s="32"/>
    </row>
    <row r="45" spans="1:38" x14ac:dyDescent="0.2">
      <c r="A45" s="9"/>
      <c r="B45" s="10"/>
      <c r="C45" s="10"/>
      <c r="D45" s="10"/>
      <c r="E45" s="10"/>
      <c r="F45" s="10"/>
      <c r="G45" s="10"/>
      <c r="H45" s="10"/>
      <c r="I45" s="10"/>
      <c r="J45" s="10"/>
      <c r="K45" s="10"/>
      <c r="L45" s="10"/>
      <c r="M45" s="10"/>
      <c r="N45" s="10"/>
      <c r="O45" s="10"/>
      <c r="P45" s="10"/>
      <c r="Q45" s="10"/>
      <c r="R45" s="10"/>
      <c r="S45" s="11"/>
      <c r="T45" s="30"/>
      <c r="U45" s="31"/>
      <c r="V45" s="31"/>
      <c r="W45" s="31"/>
      <c r="X45" s="31"/>
      <c r="Y45" s="31"/>
      <c r="Z45" s="31"/>
      <c r="AA45" s="31"/>
      <c r="AB45" s="31"/>
      <c r="AC45" s="31"/>
      <c r="AD45" s="31"/>
      <c r="AE45" s="31"/>
      <c r="AF45" s="31"/>
      <c r="AG45" s="31"/>
      <c r="AH45" s="31"/>
      <c r="AI45" s="31"/>
      <c r="AJ45" s="31"/>
      <c r="AK45" s="31"/>
      <c r="AL45" s="32"/>
    </row>
    <row r="46" spans="1:38" x14ac:dyDescent="0.2">
      <c r="A46" s="19" t="s">
        <v>127</v>
      </c>
      <c r="B46" s="10"/>
      <c r="C46" s="10"/>
      <c r="D46" s="10"/>
      <c r="E46" s="10"/>
      <c r="F46" s="10"/>
      <c r="G46" s="10"/>
      <c r="H46" s="10"/>
      <c r="I46" s="10"/>
      <c r="J46" s="10"/>
      <c r="K46" s="10"/>
      <c r="L46" s="10"/>
      <c r="M46" s="10"/>
      <c r="N46" s="10"/>
      <c r="O46" s="10"/>
      <c r="P46" s="10"/>
      <c r="Q46" s="10"/>
      <c r="R46" s="10"/>
      <c r="S46" s="11"/>
      <c r="T46" s="30"/>
      <c r="U46" s="31"/>
      <c r="V46" s="31"/>
      <c r="W46" s="31"/>
      <c r="X46" s="31"/>
      <c r="Y46" s="31"/>
      <c r="Z46" s="31"/>
      <c r="AA46" s="31"/>
      <c r="AB46" s="31"/>
      <c r="AC46" s="31"/>
      <c r="AD46" s="31"/>
      <c r="AE46" s="31"/>
      <c r="AF46" s="31"/>
      <c r="AG46" s="31"/>
      <c r="AH46" s="31"/>
      <c r="AI46" s="31"/>
      <c r="AJ46" s="31"/>
      <c r="AK46" s="31"/>
      <c r="AL46" s="32"/>
    </row>
    <row r="47" spans="1:38" x14ac:dyDescent="0.2">
      <c r="A47" s="14" t="s">
        <v>123</v>
      </c>
      <c r="B47" s="15"/>
      <c r="C47" s="15"/>
      <c r="D47" s="15"/>
      <c r="E47" s="15"/>
      <c r="F47" s="15"/>
      <c r="G47" s="15"/>
      <c r="H47" s="15"/>
      <c r="I47" s="15"/>
      <c r="J47" s="15"/>
      <c r="K47" s="15"/>
      <c r="L47" s="12" t="s">
        <v>130</v>
      </c>
      <c r="M47" s="15"/>
      <c r="N47" s="15"/>
      <c r="O47" s="15"/>
      <c r="P47" s="15"/>
      <c r="Q47" s="15"/>
      <c r="R47" s="15"/>
      <c r="S47" s="16"/>
      <c r="T47" s="30"/>
      <c r="U47" s="31"/>
      <c r="V47" s="31"/>
      <c r="W47" s="31"/>
      <c r="X47" s="31"/>
      <c r="Y47" s="31"/>
      <c r="Z47" s="31"/>
      <c r="AA47" s="31"/>
      <c r="AB47" s="31"/>
      <c r="AC47" s="31"/>
      <c r="AD47" s="31"/>
      <c r="AE47" s="31"/>
      <c r="AF47" s="31"/>
      <c r="AG47" s="31"/>
      <c r="AH47" s="31"/>
      <c r="AI47" s="31"/>
      <c r="AJ47" s="31"/>
      <c r="AK47" s="31"/>
      <c r="AL47" s="32"/>
    </row>
    <row r="48" spans="1:38" ht="12.75" customHeight="1" x14ac:dyDescent="0.2">
      <c r="A48" s="768" t="s">
        <v>115</v>
      </c>
      <c r="B48" s="769"/>
      <c r="C48" s="770"/>
      <c r="D48" s="766">
        <v>0</v>
      </c>
      <c r="E48" s="767"/>
      <c r="F48" s="749" t="str">
        <f>IF(AND(Q36="YES",D48&gt;=6500),"PASS",IF(AND(Q36="YES",D48&lt;6500),"FAIL","N/A"))</f>
        <v>N/A</v>
      </c>
      <c r="G48" s="750"/>
      <c r="H48" s="15"/>
      <c r="I48" s="15"/>
      <c r="J48" s="15"/>
      <c r="K48" s="15"/>
      <c r="L48" s="15"/>
      <c r="M48" s="15"/>
      <c r="N48" s="15"/>
      <c r="O48" s="15"/>
      <c r="P48" s="15"/>
      <c r="Q48" s="15"/>
      <c r="R48" s="15"/>
      <c r="S48" s="16"/>
      <c r="T48" s="30"/>
      <c r="U48" s="31"/>
      <c r="V48" s="31"/>
      <c r="W48" s="31"/>
      <c r="X48" s="31"/>
      <c r="Y48" s="31"/>
      <c r="Z48" s="31"/>
      <c r="AA48" s="31"/>
      <c r="AB48" s="31"/>
      <c r="AC48" s="31"/>
      <c r="AD48" s="31"/>
      <c r="AE48" s="31"/>
      <c r="AF48" s="31"/>
      <c r="AG48" s="31"/>
      <c r="AH48" s="31"/>
      <c r="AI48" s="31"/>
      <c r="AJ48" s="31"/>
      <c r="AK48" s="31"/>
      <c r="AL48" s="32"/>
    </row>
    <row r="49" spans="1:38" x14ac:dyDescent="0.2">
      <c r="A49" s="9"/>
      <c r="B49" s="10"/>
      <c r="C49" s="10"/>
      <c r="D49" s="10"/>
      <c r="E49" s="10"/>
      <c r="F49" s="10"/>
      <c r="G49" s="10"/>
      <c r="H49" s="10"/>
      <c r="I49" s="10"/>
      <c r="J49" s="10"/>
      <c r="K49" s="10"/>
      <c r="L49" s="10"/>
      <c r="M49" s="10"/>
      <c r="N49" s="10"/>
      <c r="O49" s="10"/>
      <c r="P49" s="10"/>
      <c r="Q49" s="10"/>
      <c r="R49" s="10"/>
      <c r="S49" s="11"/>
      <c r="T49" s="30"/>
      <c r="U49" s="31"/>
      <c r="V49" s="31"/>
      <c r="W49" s="31"/>
      <c r="X49" s="31"/>
      <c r="Y49" s="31"/>
      <c r="Z49" s="31"/>
      <c r="AA49" s="31"/>
      <c r="AB49" s="31"/>
      <c r="AC49" s="31"/>
      <c r="AD49" s="31"/>
      <c r="AE49" s="31"/>
      <c r="AF49" s="31"/>
      <c r="AG49" s="31"/>
      <c r="AH49" s="31"/>
      <c r="AI49" s="31"/>
      <c r="AJ49" s="31"/>
      <c r="AK49" s="31"/>
      <c r="AL49" s="32"/>
    </row>
    <row r="50" spans="1:38" x14ac:dyDescent="0.2">
      <c r="A50" s="19" t="s">
        <v>128</v>
      </c>
      <c r="B50" s="10"/>
      <c r="C50" s="10"/>
      <c r="D50" s="10"/>
      <c r="E50" s="10"/>
      <c r="F50" s="10"/>
      <c r="G50" s="10"/>
      <c r="H50" s="10"/>
      <c r="I50" s="10"/>
      <c r="J50" s="10"/>
      <c r="K50" s="10"/>
      <c r="L50" s="10"/>
      <c r="M50" s="10"/>
      <c r="N50" s="10"/>
      <c r="O50" s="10"/>
      <c r="P50" s="10"/>
      <c r="Q50" s="10"/>
      <c r="R50" s="10"/>
      <c r="S50" s="11"/>
      <c r="T50" s="30"/>
      <c r="U50" s="31"/>
      <c r="V50" s="31"/>
      <c r="W50" s="31"/>
      <c r="X50" s="31"/>
      <c r="Y50" s="31"/>
      <c r="Z50" s="31"/>
      <c r="AA50" s="31"/>
      <c r="AB50" s="31"/>
      <c r="AC50" s="31"/>
      <c r="AD50" s="31"/>
      <c r="AE50" s="31"/>
      <c r="AF50" s="31"/>
      <c r="AG50" s="31"/>
      <c r="AH50" s="31"/>
      <c r="AI50" s="31"/>
      <c r="AJ50" s="31"/>
      <c r="AK50" s="31"/>
      <c r="AL50" s="32"/>
    </row>
    <row r="51" spans="1:38" x14ac:dyDescent="0.2">
      <c r="A51" s="14" t="s">
        <v>123</v>
      </c>
      <c r="B51" s="15"/>
      <c r="C51" s="15"/>
      <c r="D51" s="15"/>
      <c r="E51" s="15"/>
      <c r="F51" s="15"/>
      <c r="G51" s="15"/>
      <c r="H51" s="15"/>
      <c r="I51" s="15"/>
      <c r="J51" s="15"/>
      <c r="K51" s="15"/>
      <c r="L51" s="12" t="s">
        <v>131</v>
      </c>
      <c r="M51" s="15"/>
      <c r="N51" s="15"/>
      <c r="O51" s="15"/>
      <c r="P51" s="15"/>
      <c r="Q51" s="15"/>
      <c r="R51" s="15"/>
      <c r="S51" s="16"/>
      <c r="T51" s="30"/>
      <c r="U51" s="31"/>
      <c r="V51" s="31"/>
      <c r="W51" s="31"/>
      <c r="X51" s="31"/>
      <c r="Y51" s="31"/>
      <c r="Z51" s="31"/>
      <c r="AA51" s="31"/>
      <c r="AB51" s="31"/>
      <c r="AC51" s="31"/>
      <c r="AD51" s="31"/>
      <c r="AE51" s="31"/>
      <c r="AF51" s="31"/>
      <c r="AG51" s="31"/>
      <c r="AH51" s="31"/>
      <c r="AI51" s="31"/>
      <c r="AJ51" s="31"/>
      <c r="AK51" s="31"/>
      <c r="AL51" s="32"/>
    </row>
    <row r="52" spans="1:38" ht="12.75" customHeight="1" x14ac:dyDescent="0.2">
      <c r="A52" s="763" t="s">
        <v>115</v>
      </c>
      <c r="B52" s="764"/>
      <c r="C52" s="765"/>
      <c r="D52" s="766">
        <v>0</v>
      </c>
      <c r="E52" s="767"/>
      <c r="F52" s="749" t="str">
        <f>IF(AND(Q37="YES",D52&gt;=19500),"PASS",IF(AND(Q37="YES",D52&lt;19500),"FAIL","N/A"))</f>
        <v>N/A</v>
      </c>
      <c r="G52" s="750"/>
      <c r="H52" s="187"/>
      <c r="I52" s="187"/>
      <c r="J52" s="187"/>
      <c r="K52" s="187"/>
      <c r="L52" s="187"/>
      <c r="M52" s="187"/>
      <c r="N52" s="187"/>
      <c r="O52" s="187"/>
      <c r="P52" s="187"/>
      <c r="Q52" s="187"/>
      <c r="R52" s="187"/>
      <c r="S52" s="188"/>
      <c r="T52" s="38"/>
      <c r="U52" s="36"/>
      <c r="V52" s="36"/>
      <c r="W52" s="36"/>
      <c r="X52" s="36"/>
      <c r="Y52" s="36"/>
      <c r="Z52" s="36"/>
      <c r="AA52" s="36"/>
      <c r="AB52" s="36"/>
      <c r="AC52" s="36"/>
      <c r="AD52" s="36"/>
      <c r="AE52" s="36"/>
      <c r="AF52" s="36"/>
      <c r="AG52" s="36"/>
      <c r="AH52" s="36"/>
      <c r="AI52" s="36"/>
      <c r="AJ52" s="36"/>
      <c r="AK52" s="36"/>
      <c r="AL52" s="39"/>
    </row>
    <row r="53" spans="1:38" x14ac:dyDescent="0.2">
      <c r="A53" s="1"/>
      <c r="B53" s="1"/>
      <c r="C53" s="1"/>
      <c r="D53" s="1"/>
      <c r="E53" s="1"/>
      <c r="F53" s="1"/>
      <c r="G53" s="1"/>
      <c r="H53" s="1"/>
      <c r="I53" s="1"/>
      <c r="J53" s="1"/>
      <c r="K53" s="1"/>
      <c r="L53" s="1"/>
      <c r="M53" s="1"/>
      <c r="N53" s="1"/>
      <c r="O53" s="1"/>
      <c r="P53" s="1"/>
      <c r="Q53" s="1"/>
      <c r="R53" s="1"/>
      <c r="S53" s="1"/>
    </row>
  </sheetData>
  <sheetProtection password="E10F" sheet="1"/>
  <mergeCells count="20">
    <mergeCell ref="Q36:R36"/>
    <mergeCell ref="Q37:R37"/>
    <mergeCell ref="A52:C52"/>
    <mergeCell ref="D52:E52"/>
    <mergeCell ref="F48:G48"/>
    <mergeCell ref="F52:G52"/>
    <mergeCell ref="F40:G40"/>
    <mergeCell ref="F44:G44"/>
    <mergeCell ref="A48:C48"/>
    <mergeCell ref="D48:E48"/>
    <mergeCell ref="A44:C44"/>
    <mergeCell ref="D44:E44"/>
    <mergeCell ref="D40:E40"/>
    <mergeCell ref="A40:C40"/>
    <mergeCell ref="Q35:R35"/>
    <mergeCell ref="A1:S1"/>
    <mergeCell ref="D3:J3"/>
    <mergeCell ref="O3:S3"/>
    <mergeCell ref="A5:S5"/>
    <mergeCell ref="Q34:R34"/>
  </mergeCells>
  <phoneticPr fontId="2" type="noConversion"/>
  <conditionalFormatting sqref="D52:E52">
    <cfRule type="expression" dxfId="115" priority="1" stopIfTrue="1">
      <formula>Q37="YES"</formula>
    </cfRule>
    <cfRule type="expression" dxfId="114" priority="2" stopIfTrue="1">
      <formula>Q37="NO"</formula>
    </cfRule>
  </conditionalFormatting>
  <conditionalFormatting sqref="D40:E40">
    <cfRule type="expression" dxfId="113" priority="3" stopIfTrue="1">
      <formula>Q34="YES"</formula>
    </cfRule>
    <cfRule type="expression" dxfId="112" priority="4" stopIfTrue="1">
      <formula>Q34="NO"</formula>
    </cfRule>
  </conditionalFormatting>
  <conditionalFormatting sqref="D44:E44">
    <cfRule type="expression" dxfId="111" priority="5" stopIfTrue="1">
      <formula>Q35="YES"</formula>
    </cfRule>
    <cfRule type="expression" dxfId="110" priority="6" stopIfTrue="1">
      <formula>Q35="NO"</formula>
    </cfRule>
  </conditionalFormatting>
  <conditionalFormatting sqref="D48:E48">
    <cfRule type="expression" dxfId="109" priority="7" stopIfTrue="1">
      <formula>Q36="YES"</formula>
    </cfRule>
    <cfRule type="expression" dxfId="108" priority="8" stopIfTrue="1">
      <formula>Q36="NO"</formula>
    </cfRule>
  </conditionalFormatting>
  <conditionalFormatting sqref="F40:G40 F44:G44 F48:G48 F52:G52">
    <cfRule type="expression" dxfId="107" priority="9" stopIfTrue="1">
      <formula>F40="PASS"</formula>
    </cfRule>
    <cfRule type="expression" dxfId="106" priority="10" stopIfTrue="1">
      <formula>F40="FAIL"</formula>
    </cfRule>
    <cfRule type="expression" dxfId="105" priority="11" stopIfTrue="1">
      <formula>F40="N/A"</formula>
    </cfRule>
  </conditionalFormatting>
  <dataValidations count="1">
    <dataValidation type="list" allowBlank="1" showInputMessage="1" showErrorMessage="1" sqref="Q34:R37" xr:uid="{00000000-0002-0000-1B00-000000000000}">
      <formula1>"YES, NO"</formula1>
    </dataValidation>
  </dataValidations>
  <hyperlinks>
    <hyperlink ref="AM2" location="'Cover Sheet'!A1" display="BACK to COVER SHEET" xr:uid="{00000000-0004-0000-1B00-000000000000}"/>
    <hyperlink ref="AM2:AO2" location="'Cover Sheet'!A1" display="BACK to COVER SHEET" xr:uid="{00000000-0004-0000-1B00-000001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5"/>
  <dimension ref="A1:AL63"/>
  <sheetViews>
    <sheetView showGridLines="0" view="pageBreakPreview" zoomScaleNormal="100" zoomScaleSheetLayoutView="100" workbookViewId="0">
      <selection sqref="A1:S1"/>
    </sheetView>
  </sheetViews>
  <sheetFormatPr baseColWidth="10" defaultColWidth="9.140625" defaultRowHeight="12.75" x14ac:dyDescent="0.2"/>
  <cols>
    <col min="1" max="38" width="5" customWidth="1"/>
  </cols>
  <sheetData>
    <row r="1" spans="1:38" ht="14.25" customHeight="1" x14ac:dyDescent="0.2">
      <c r="A1" s="773" t="s">
        <v>572</v>
      </c>
      <c r="B1" s="773"/>
      <c r="C1" s="773"/>
      <c r="D1" s="773"/>
      <c r="E1" s="773"/>
      <c r="F1" s="773"/>
      <c r="G1" s="773"/>
      <c r="H1" s="773"/>
      <c r="I1" s="773"/>
      <c r="J1" s="773"/>
      <c r="K1" s="773"/>
      <c r="L1" s="773"/>
      <c r="M1" s="773"/>
      <c r="N1" s="773"/>
      <c r="O1" s="773"/>
      <c r="P1" s="773"/>
      <c r="Q1" s="773"/>
      <c r="R1" s="773"/>
      <c r="S1" s="773"/>
      <c r="T1" s="24"/>
      <c r="U1" s="25"/>
      <c r="V1" s="25"/>
      <c r="W1" s="25"/>
      <c r="X1" s="25"/>
      <c r="Y1" s="25"/>
      <c r="Z1" s="25"/>
      <c r="AA1" s="25"/>
      <c r="AB1" s="25"/>
      <c r="AC1" s="25"/>
      <c r="AD1" s="25"/>
      <c r="AE1" s="25"/>
      <c r="AF1" s="25"/>
      <c r="AG1" s="25"/>
      <c r="AH1" s="470"/>
      <c r="AI1" s="470"/>
      <c r="AJ1" s="470"/>
      <c r="AK1" s="470"/>
      <c r="AL1" s="471"/>
    </row>
    <row r="2" spans="1:38" x14ac:dyDescent="0.2">
      <c r="A2" s="56"/>
      <c r="B2" s="56"/>
      <c r="C2" s="56"/>
      <c r="D2" s="56"/>
      <c r="E2" s="56"/>
      <c r="F2" s="56"/>
      <c r="G2" s="56"/>
      <c r="H2" s="56"/>
      <c r="I2" s="56"/>
      <c r="J2" s="56"/>
      <c r="K2" s="56"/>
      <c r="L2" s="56"/>
      <c r="M2" s="56"/>
      <c r="N2" s="56"/>
      <c r="O2" s="56"/>
      <c r="P2" s="56"/>
      <c r="Q2" s="56"/>
      <c r="R2" s="56"/>
      <c r="S2" s="56"/>
      <c r="T2" s="30"/>
      <c r="U2" s="268" t="s">
        <v>571</v>
      </c>
      <c r="V2" s="31"/>
      <c r="W2" s="31"/>
      <c r="X2" s="31"/>
      <c r="Y2" s="31"/>
      <c r="Z2" s="31"/>
      <c r="AA2" s="31"/>
      <c r="AB2" s="31"/>
      <c r="AC2" s="31"/>
      <c r="AD2" s="31"/>
      <c r="AE2" s="31"/>
      <c r="AF2" s="31"/>
      <c r="AG2" s="31"/>
      <c r="AH2" s="31"/>
      <c r="AI2" s="31"/>
      <c r="AJ2" s="31"/>
      <c r="AK2" s="31"/>
      <c r="AL2" s="32"/>
    </row>
    <row r="3" spans="1:38" x14ac:dyDescent="0.2">
      <c r="A3" s="56" t="s">
        <v>47</v>
      </c>
      <c r="B3" s="56"/>
      <c r="C3" s="56"/>
      <c r="D3" s="637" t="str">
        <f>IF('Cover Sheet'!D14:J14&gt;0,'Cover Sheet'!D14:J14,"")</f>
        <v>EPSA</v>
      </c>
      <c r="E3" s="637"/>
      <c r="F3" s="637"/>
      <c r="G3" s="637"/>
      <c r="H3" s="637"/>
      <c r="I3" s="637"/>
      <c r="J3" s="637"/>
      <c r="K3" s="56" t="s">
        <v>48</v>
      </c>
      <c r="L3" s="56"/>
      <c r="M3" s="56"/>
      <c r="N3" s="56"/>
      <c r="O3" s="637" t="str">
        <f>IF('Cover Sheet'!O14:S14&gt;0,'Cover Sheet'!O14:S14,"")</f>
        <v/>
      </c>
      <c r="P3" s="637"/>
      <c r="Q3" s="637"/>
      <c r="R3" s="637"/>
      <c r="S3" s="637"/>
      <c r="T3" s="30"/>
      <c r="U3" s="31"/>
      <c r="V3" s="31"/>
      <c r="W3" s="31"/>
      <c r="X3" s="31"/>
      <c r="Y3" s="31"/>
      <c r="Z3" s="31"/>
      <c r="AA3" s="31"/>
      <c r="AB3" s="31"/>
      <c r="AC3" s="31"/>
      <c r="AD3" s="31"/>
      <c r="AE3" s="31"/>
      <c r="AF3" s="31"/>
      <c r="AG3" s="31"/>
      <c r="AH3" s="31"/>
      <c r="AI3" s="31"/>
      <c r="AJ3" s="31"/>
      <c r="AK3" s="31"/>
      <c r="AL3" s="32"/>
    </row>
    <row r="4" spans="1:38" x14ac:dyDescent="0.2">
      <c r="A4" s="56"/>
      <c r="B4" s="56"/>
      <c r="C4" s="56"/>
      <c r="D4" s="56"/>
      <c r="E4" s="56"/>
      <c r="F4" s="56"/>
      <c r="G4" s="56"/>
      <c r="H4" s="56"/>
      <c r="I4" s="56"/>
      <c r="J4" s="56"/>
      <c r="K4" s="56"/>
      <c r="L4" s="56"/>
      <c r="M4" s="56"/>
      <c r="N4" s="56"/>
      <c r="O4" s="56"/>
      <c r="P4" s="56"/>
      <c r="Q4" s="56"/>
      <c r="R4" s="56"/>
      <c r="S4" s="56"/>
      <c r="T4" s="30"/>
      <c r="U4" s="31"/>
      <c r="V4" s="31"/>
      <c r="W4" s="31"/>
      <c r="X4" s="31"/>
      <c r="Y4" s="31"/>
      <c r="Z4" s="31"/>
      <c r="AA4" s="31"/>
      <c r="AB4" s="31"/>
      <c r="AC4" s="31"/>
      <c r="AD4" s="31"/>
      <c r="AE4" s="31"/>
      <c r="AF4" s="31"/>
      <c r="AG4" s="31"/>
      <c r="AH4" s="31"/>
      <c r="AI4" s="31"/>
      <c r="AJ4" s="31"/>
      <c r="AK4" s="31"/>
      <c r="AL4" s="32"/>
    </row>
    <row r="5" spans="1:38" ht="12.75" customHeight="1" x14ac:dyDescent="0.2">
      <c r="A5" s="774" t="s">
        <v>569</v>
      </c>
      <c r="B5" s="775"/>
      <c r="C5" s="775"/>
      <c r="D5" s="775"/>
      <c r="E5" s="775"/>
      <c r="F5" s="775"/>
      <c r="G5" s="775"/>
      <c r="H5" s="775"/>
      <c r="I5" s="775"/>
      <c r="J5" s="775"/>
      <c r="K5" s="775"/>
      <c r="L5" s="775"/>
      <c r="M5" s="775"/>
      <c r="N5" s="775"/>
      <c r="O5" s="775"/>
      <c r="P5" s="775"/>
      <c r="Q5" s="775"/>
      <c r="R5" s="775"/>
      <c r="S5" s="776"/>
      <c r="T5" s="30"/>
      <c r="U5" s="31"/>
      <c r="V5" s="31"/>
      <c r="W5" s="31"/>
      <c r="X5" s="31"/>
      <c r="Y5" s="31"/>
      <c r="Z5" s="31"/>
      <c r="AA5" s="31"/>
      <c r="AB5" s="31"/>
      <c r="AC5" s="31"/>
      <c r="AD5" s="31"/>
      <c r="AE5" s="31"/>
      <c r="AF5" s="31"/>
      <c r="AG5" s="31"/>
      <c r="AH5" s="31"/>
      <c r="AI5" s="31"/>
      <c r="AJ5" s="31"/>
      <c r="AK5" s="31"/>
      <c r="AL5" s="32"/>
    </row>
    <row r="6" spans="1:38" x14ac:dyDescent="0.2">
      <c r="A6" s="777"/>
      <c r="B6" s="778"/>
      <c r="C6" s="778"/>
      <c r="D6" s="778"/>
      <c r="E6" s="778"/>
      <c r="F6" s="778"/>
      <c r="G6" s="778"/>
      <c r="H6" s="778"/>
      <c r="I6" s="778"/>
      <c r="J6" s="778"/>
      <c r="K6" s="778"/>
      <c r="L6" s="778"/>
      <c r="M6" s="778"/>
      <c r="N6" s="778"/>
      <c r="O6" s="778"/>
      <c r="P6" s="778"/>
      <c r="Q6" s="778"/>
      <c r="R6" s="778"/>
      <c r="S6" s="779"/>
      <c r="T6" s="30"/>
      <c r="U6" s="31"/>
      <c r="V6" s="31"/>
      <c r="W6" s="31"/>
      <c r="X6" s="31"/>
      <c r="Y6" s="31"/>
      <c r="Z6" s="31"/>
      <c r="AA6" s="31"/>
      <c r="AB6" s="31"/>
      <c r="AC6" s="31"/>
      <c r="AD6" s="31"/>
      <c r="AE6" s="31"/>
      <c r="AF6" s="31"/>
      <c r="AG6" s="31"/>
      <c r="AH6" s="31"/>
      <c r="AI6" s="31"/>
      <c r="AJ6" s="31"/>
      <c r="AK6" s="31"/>
      <c r="AL6" s="32"/>
    </row>
    <row r="7" spans="1:38" ht="12.75" customHeight="1" x14ac:dyDescent="0.2">
      <c r="A7" s="242" t="s">
        <v>436</v>
      </c>
      <c r="B7" s="243"/>
      <c r="C7" s="243"/>
      <c r="D7" s="243"/>
      <c r="E7" s="255"/>
      <c r="F7" s="255"/>
      <c r="G7" s="253"/>
      <c r="H7" s="771" t="s">
        <v>7</v>
      </c>
      <c r="I7" s="772"/>
      <c r="J7" s="243"/>
      <c r="K7" s="243"/>
      <c r="L7" s="243"/>
      <c r="M7" s="243"/>
      <c r="N7" s="243"/>
      <c r="O7" s="243"/>
      <c r="P7" s="243"/>
      <c r="Q7" s="243"/>
      <c r="R7" s="243"/>
      <c r="S7" s="248"/>
      <c r="T7" s="30"/>
      <c r="U7" s="31"/>
      <c r="V7" s="31"/>
      <c r="W7" s="31"/>
      <c r="X7" s="31"/>
      <c r="Y7" s="31"/>
      <c r="Z7" s="31"/>
      <c r="AA7" s="31"/>
      <c r="AB7" s="31"/>
      <c r="AC7" s="31"/>
      <c r="AD7" s="31"/>
      <c r="AE7" s="31"/>
      <c r="AF7" s="31"/>
      <c r="AG7" s="31"/>
      <c r="AH7" s="31"/>
      <c r="AI7" s="31"/>
      <c r="AJ7" s="31"/>
      <c r="AK7" s="31"/>
      <c r="AL7" s="32"/>
    </row>
    <row r="8" spans="1:38" ht="12.75" customHeight="1" x14ac:dyDescent="0.2">
      <c r="A8" s="244" t="s">
        <v>437</v>
      </c>
      <c r="B8" s="245"/>
      <c r="C8" s="245"/>
      <c r="D8" s="245"/>
      <c r="E8" s="105"/>
      <c r="F8" s="105"/>
      <c r="G8" s="80"/>
      <c r="H8" s="771">
        <v>1.25</v>
      </c>
      <c r="I8" s="772"/>
      <c r="J8" s="334" t="str">
        <f>IF(H7="other","Proof of Equivalency Required","")</f>
        <v/>
      </c>
      <c r="K8" s="245"/>
      <c r="L8" s="245"/>
      <c r="M8" s="245"/>
      <c r="N8" s="245"/>
      <c r="O8" s="245"/>
      <c r="P8" s="245"/>
      <c r="Q8" s="245"/>
      <c r="R8" s="245"/>
      <c r="S8" s="249"/>
      <c r="T8" s="30"/>
      <c r="U8" s="31"/>
      <c r="V8" s="31"/>
      <c r="W8" s="31"/>
      <c r="X8" s="31"/>
      <c r="Y8" s="31"/>
      <c r="Z8" s="31"/>
      <c r="AA8" s="31"/>
      <c r="AB8" s="31"/>
      <c r="AC8" s="31"/>
      <c r="AD8" s="31"/>
      <c r="AE8" s="31"/>
      <c r="AF8" s="31"/>
      <c r="AG8" s="31"/>
      <c r="AH8" s="31"/>
      <c r="AI8" s="31"/>
      <c r="AJ8" s="31"/>
      <c r="AK8" s="31"/>
      <c r="AL8" s="32"/>
    </row>
    <row r="9" spans="1:38" x14ac:dyDescent="0.2">
      <c r="A9" s="244" t="s">
        <v>459</v>
      </c>
      <c r="B9" s="245"/>
      <c r="C9" s="245"/>
      <c r="D9" s="245"/>
      <c r="E9" s="105"/>
      <c r="F9" s="105"/>
      <c r="G9" s="80"/>
      <c r="H9" s="771">
        <v>150</v>
      </c>
      <c r="I9" s="772"/>
      <c r="J9" s="333"/>
      <c r="K9" s="245"/>
      <c r="L9" s="245"/>
      <c r="M9" s="245"/>
      <c r="N9" s="245"/>
      <c r="O9" s="245"/>
      <c r="P9" s="245"/>
      <c r="Q9" s="245"/>
      <c r="R9" s="245"/>
      <c r="S9" s="249"/>
      <c r="T9" s="30"/>
      <c r="U9" s="31"/>
      <c r="V9" s="31"/>
      <c r="W9" s="31"/>
      <c r="X9" s="31"/>
      <c r="Y9" s="31"/>
      <c r="Z9" s="31"/>
      <c r="AA9" s="31"/>
      <c r="AB9" s="31"/>
      <c r="AC9" s="31"/>
      <c r="AD9" s="31"/>
      <c r="AE9" s="31"/>
      <c r="AF9" s="31"/>
      <c r="AG9" s="31"/>
      <c r="AH9" s="31"/>
      <c r="AI9" s="31"/>
      <c r="AJ9" s="31"/>
      <c r="AK9" s="31"/>
      <c r="AL9" s="32"/>
    </row>
    <row r="10" spans="1:38" ht="12.75" customHeight="1" x14ac:dyDescent="0.2">
      <c r="A10" s="242" t="s">
        <v>440</v>
      </c>
      <c r="B10" s="243"/>
      <c r="C10" s="243"/>
      <c r="D10" s="243"/>
      <c r="E10" s="255"/>
      <c r="F10" s="255"/>
      <c r="G10" s="253"/>
      <c r="H10" s="771" t="s">
        <v>7</v>
      </c>
      <c r="I10" s="772"/>
      <c r="J10" s="245"/>
      <c r="K10" s="245"/>
      <c r="L10" s="245"/>
      <c r="M10" s="245"/>
      <c r="N10" s="245"/>
      <c r="O10" s="245"/>
      <c r="P10" s="245"/>
      <c r="Q10" s="245"/>
      <c r="R10" s="245"/>
      <c r="S10" s="249"/>
      <c r="T10" s="30"/>
      <c r="U10" s="31"/>
      <c r="V10" s="31"/>
      <c r="W10" s="31"/>
      <c r="X10" s="31"/>
      <c r="Y10" s="31"/>
      <c r="Z10" s="31"/>
      <c r="AA10" s="31"/>
      <c r="AB10" s="31"/>
      <c r="AC10" s="31"/>
      <c r="AD10" s="31"/>
      <c r="AE10" s="31"/>
      <c r="AF10" s="31"/>
      <c r="AG10" s="31"/>
      <c r="AH10" s="31"/>
      <c r="AI10" s="31"/>
      <c r="AJ10" s="31"/>
      <c r="AK10" s="31"/>
      <c r="AL10" s="32"/>
    </row>
    <row r="11" spans="1:38" x14ac:dyDescent="0.2">
      <c r="A11" s="244" t="s">
        <v>437</v>
      </c>
      <c r="B11" s="245"/>
      <c r="C11" s="245"/>
      <c r="D11" s="245"/>
      <c r="E11" s="105"/>
      <c r="F11" s="105"/>
      <c r="G11" s="80"/>
      <c r="H11" s="771">
        <v>0.9</v>
      </c>
      <c r="I11" s="772"/>
      <c r="J11" s="333" t="str">
        <f>IF(H10="other","Proof of Equivalency Required","")</f>
        <v/>
      </c>
      <c r="K11" s="245"/>
      <c r="L11" s="245"/>
      <c r="M11" s="245"/>
      <c r="N11" s="245"/>
      <c r="O11" s="245"/>
      <c r="P11" s="245"/>
      <c r="Q11" s="245"/>
      <c r="R11" s="245"/>
      <c r="S11" s="249"/>
      <c r="T11" s="30"/>
      <c r="U11" s="31"/>
      <c r="V11" s="31"/>
      <c r="W11" s="31"/>
      <c r="X11" s="31"/>
      <c r="Y11" s="31"/>
      <c r="Z11" s="31"/>
      <c r="AA11" s="31"/>
      <c r="AB11" s="31"/>
      <c r="AC11" s="31"/>
      <c r="AD11" s="31"/>
      <c r="AE11" s="31"/>
      <c r="AF11" s="31"/>
      <c r="AG11" s="31"/>
      <c r="AH11" s="31"/>
      <c r="AI11" s="31"/>
      <c r="AJ11" s="31"/>
      <c r="AK11" s="31"/>
      <c r="AL11" s="32"/>
    </row>
    <row r="12" spans="1:38" x14ac:dyDescent="0.2">
      <c r="A12" s="246" t="s">
        <v>438</v>
      </c>
      <c r="B12" s="247"/>
      <c r="C12" s="247"/>
      <c r="D12" s="247"/>
      <c r="E12" s="124"/>
      <c r="F12" s="124"/>
      <c r="G12" s="125"/>
      <c r="H12" s="771">
        <v>300</v>
      </c>
      <c r="I12" s="772"/>
      <c r="J12" s="333"/>
      <c r="K12" s="245"/>
      <c r="L12" s="245"/>
      <c r="M12" s="245"/>
      <c r="N12" s="245"/>
      <c r="O12" s="245"/>
      <c r="P12" s="245"/>
      <c r="Q12" s="245"/>
      <c r="R12" s="245"/>
      <c r="S12" s="249"/>
      <c r="T12" s="30"/>
      <c r="U12" s="31"/>
      <c r="V12" s="31"/>
      <c r="W12" s="31"/>
      <c r="X12" s="31"/>
      <c r="Y12" s="31"/>
      <c r="Z12" s="31"/>
      <c r="AA12" s="31"/>
      <c r="AB12" s="31"/>
      <c r="AC12" s="31"/>
      <c r="AD12" s="31"/>
      <c r="AE12" s="31"/>
      <c r="AF12" s="31"/>
      <c r="AG12" s="31"/>
      <c r="AH12" s="31"/>
      <c r="AI12" s="31"/>
      <c r="AJ12" s="31"/>
      <c r="AK12" s="31"/>
      <c r="AL12" s="32"/>
    </row>
    <row r="13" spans="1:38" ht="12.75" customHeight="1" x14ac:dyDescent="0.2">
      <c r="A13" s="242" t="s">
        <v>441</v>
      </c>
      <c r="B13" s="243"/>
      <c r="C13" s="243"/>
      <c r="D13" s="243"/>
      <c r="E13" s="255"/>
      <c r="F13" s="255"/>
      <c r="G13" s="253"/>
      <c r="H13" s="771" t="s">
        <v>7</v>
      </c>
      <c r="I13" s="772"/>
      <c r="J13" s="245"/>
      <c r="K13" s="245"/>
      <c r="L13" s="245"/>
      <c r="M13" s="245"/>
      <c r="N13" s="245"/>
      <c r="O13" s="245"/>
      <c r="P13" s="245"/>
      <c r="Q13" s="245"/>
      <c r="R13" s="245"/>
      <c r="S13" s="249"/>
      <c r="T13" s="30"/>
      <c r="U13" s="31"/>
      <c r="V13" s="31"/>
      <c r="W13" s="31"/>
      <c r="X13" s="31"/>
      <c r="Y13" s="31"/>
      <c r="Z13" s="31"/>
      <c r="AA13" s="31"/>
      <c r="AB13" s="31"/>
      <c r="AC13" s="31"/>
      <c r="AD13" s="31"/>
      <c r="AE13" s="31"/>
      <c r="AF13" s="31"/>
      <c r="AG13" s="31"/>
      <c r="AH13" s="31"/>
      <c r="AI13" s="31"/>
      <c r="AJ13" s="31"/>
      <c r="AK13" s="31"/>
      <c r="AL13" s="32"/>
    </row>
    <row r="14" spans="1:38" x14ac:dyDescent="0.2">
      <c r="A14" s="244" t="s">
        <v>437</v>
      </c>
      <c r="B14" s="245"/>
      <c r="C14" s="245"/>
      <c r="D14" s="245"/>
      <c r="E14" s="105"/>
      <c r="F14" s="105"/>
      <c r="G14" s="80"/>
      <c r="H14" s="771">
        <v>0.9</v>
      </c>
      <c r="I14" s="772"/>
      <c r="J14" s="333" t="str">
        <f>IF(H13="other","Proof of Equivalency Required","")</f>
        <v/>
      </c>
      <c r="K14" s="245"/>
      <c r="L14" s="298" t="s">
        <v>565</v>
      </c>
      <c r="M14" s="298"/>
      <c r="N14" s="298"/>
      <c r="O14" s="520"/>
      <c r="P14" s="520"/>
      <c r="Q14" s="245"/>
      <c r="R14" s="245"/>
      <c r="S14" s="249"/>
      <c r="T14" s="30"/>
      <c r="U14" s="31"/>
      <c r="V14" s="31"/>
      <c r="W14" s="31"/>
      <c r="X14" s="31"/>
      <c r="Y14" s="31"/>
      <c r="Z14" s="31"/>
      <c r="AA14" s="31"/>
      <c r="AB14" s="31"/>
      <c r="AC14" s="31"/>
      <c r="AD14" s="31"/>
      <c r="AE14" s="31"/>
      <c r="AF14" s="31"/>
      <c r="AG14" s="31"/>
      <c r="AH14" s="31"/>
      <c r="AI14" s="31"/>
      <c r="AJ14" s="31"/>
      <c r="AK14" s="31"/>
      <c r="AL14" s="32"/>
    </row>
    <row r="15" spans="1:38" x14ac:dyDescent="0.2">
      <c r="A15" s="246" t="s">
        <v>438</v>
      </c>
      <c r="B15" s="247"/>
      <c r="C15" s="247"/>
      <c r="D15" s="247"/>
      <c r="E15" s="124"/>
      <c r="F15" s="124"/>
      <c r="G15" s="125"/>
      <c r="H15" s="771">
        <v>250</v>
      </c>
      <c r="I15" s="772"/>
      <c r="J15" s="333"/>
      <c r="K15" s="245"/>
      <c r="L15" s="245"/>
      <c r="M15" s="245"/>
      <c r="N15" s="245"/>
      <c r="O15" s="245"/>
      <c r="P15" s="245"/>
      <c r="Q15" s="245"/>
      <c r="R15" s="245"/>
      <c r="S15" s="249"/>
      <c r="T15" s="30"/>
      <c r="U15" s="31"/>
      <c r="V15" s="31"/>
      <c r="W15" s="31"/>
      <c r="X15" s="31"/>
      <c r="Y15" s="31"/>
      <c r="Z15" s="31"/>
      <c r="AA15" s="31"/>
      <c r="AB15" s="31"/>
      <c r="AC15" s="31"/>
      <c r="AD15" s="31"/>
      <c r="AE15" s="31"/>
      <c r="AF15" s="31"/>
      <c r="AG15" s="31"/>
      <c r="AH15" s="31"/>
      <c r="AI15" s="31"/>
      <c r="AJ15" s="31"/>
      <c r="AK15" s="31"/>
      <c r="AL15" s="32"/>
    </row>
    <row r="16" spans="1:38" ht="12.75" customHeight="1" x14ac:dyDescent="0.2">
      <c r="A16" s="242" t="s">
        <v>439</v>
      </c>
      <c r="B16" s="243"/>
      <c r="C16" s="243"/>
      <c r="D16" s="243"/>
      <c r="E16" s="255"/>
      <c r="F16" s="255"/>
      <c r="G16" s="253"/>
      <c r="H16" s="771" t="s">
        <v>7</v>
      </c>
      <c r="I16" s="772"/>
      <c r="J16" s="245"/>
      <c r="K16" s="245"/>
      <c r="L16" s="245"/>
      <c r="M16" s="245"/>
      <c r="N16" s="245"/>
      <c r="O16" s="245"/>
      <c r="P16" s="245"/>
      <c r="Q16" s="245"/>
      <c r="R16" s="245"/>
      <c r="S16" s="249"/>
      <c r="T16" s="30"/>
      <c r="U16" s="31"/>
      <c r="V16" s="31"/>
      <c r="W16" s="31"/>
      <c r="X16" s="31"/>
      <c r="Y16" s="31"/>
      <c r="Z16" s="31"/>
      <c r="AA16" s="31"/>
      <c r="AB16" s="31"/>
      <c r="AC16" s="31"/>
      <c r="AD16" s="31"/>
      <c r="AE16" s="31"/>
      <c r="AF16" s="31"/>
      <c r="AG16" s="31"/>
      <c r="AH16" s="31"/>
      <c r="AI16" s="31"/>
      <c r="AJ16" s="31"/>
      <c r="AK16" s="31"/>
      <c r="AL16" s="32"/>
    </row>
    <row r="17" spans="1:38" x14ac:dyDescent="0.2">
      <c r="A17" s="244" t="s">
        <v>437</v>
      </c>
      <c r="B17" s="245"/>
      <c r="C17" s="245"/>
      <c r="D17" s="245"/>
      <c r="E17" s="105"/>
      <c r="F17" s="105"/>
      <c r="G17" s="80"/>
      <c r="H17" s="771">
        <v>0.9</v>
      </c>
      <c r="I17" s="772"/>
      <c r="J17" s="333" t="str">
        <f>IF(H16="other","Proof of Equivalency Required","")</f>
        <v/>
      </c>
      <c r="K17" s="245"/>
      <c r="L17" s="245"/>
      <c r="M17" s="245"/>
      <c r="N17" s="245"/>
      <c r="O17" s="245"/>
      <c r="P17" s="245"/>
      <c r="Q17" s="245"/>
      <c r="R17" s="245"/>
      <c r="S17" s="249"/>
      <c r="T17" s="30"/>
      <c r="U17" s="31"/>
      <c r="V17" s="31"/>
      <c r="W17" s="31"/>
      <c r="X17" s="31"/>
      <c r="Y17" s="31"/>
      <c r="Z17" s="31"/>
      <c r="AA17" s="31"/>
      <c r="AB17" s="31"/>
      <c r="AC17" s="31"/>
      <c r="AD17" s="31"/>
      <c r="AE17" s="31"/>
      <c r="AF17" s="31"/>
      <c r="AG17" s="31"/>
      <c r="AH17" s="31"/>
      <c r="AI17" s="31"/>
      <c r="AJ17" s="31"/>
      <c r="AK17" s="31"/>
      <c r="AL17" s="32"/>
    </row>
    <row r="18" spans="1:38" x14ac:dyDescent="0.2">
      <c r="A18" s="246" t="s">
        <v>459</v>
      </c>
      <c r="B18" s="247"/>
      <c r="C18" s="247"/>
      <c r="D18" s="247"/>
      <c r="E18" s="124"/>
      <c r="F18" s="124"/>
      <c r="G18" s="125"/>
      <c r="H18" s="771">
        <v>150</v>
      </c>
      <c r="I18" s="772"/>
      <c r="J18" s="333"/>
      <c r="K18" s="245"/>
      <c r="L18" s="245"/>
      <c r="M18" s="245"/>
      <c r="N18" s="245"/>
      <c r="O18" s="245"/>
      <c r="P18" s="245"/>
      <c r="Q18" s="245"/>
      <c r="R18" s="245"/>
      <c r="S18" s="249"/>
      <c r="T18" s="30"/>
      <c r="U18" s="31"/>
      <c r="V18" s="31"/>
      <c r="W18" s="31"/>
      <c r="X18" s="31"/>
      <c r="Y18" s="31"/>
      <c r="Z18" s="31"/>
      <c r="AA18" s="31"/>
      <c r="AB18" s="31"/>
      <c r="AC18" s="31"/>
      <c r="AD18" s="31"/>
      <c r="AE18" s="31"/>
      <c r="AF18" s="31"/>
      <c r="AG18" s="31"/>
      <c r="AH18" s="31"/>
      <c r="AI18" s="31"/>
      <c r="AJ18" s="31"/>
      <c r="AK18" s="31"/>
      <c r="AL18" s="32"/>
    </row>
    <row r="19" spans="1:38" x14ac:dyDescent="0.2">
      <c r="A19" s="244" t="s">
        <v>442</v>
      </c>
      <c r="B19" s="333"/>
      <c r="C19" s="333"/>
      <c r="D19" s="333"/>
      <c r="E19" s="333"/>
      <c r="F19" s="333"/>
      <c r="G19" s="333"/>
      <c r="H19" s="780" t="s">
        <v>523</v>
      </c>
      <c r="I19" s="781"/>
      <c r="J19" s="335" t="str">
        <f>IF(H19="N/A","",IF(H19="0-8","2","3"))</f>
        <v>2</v>
      </c>
      <c r="K19" s="336" t="str">
        <f>IF(NOT(H19="N/A"),"M6 fasteners required between vert. walls","")</f>
        <v>M6 fasteners required between vert. walls</v>
      </c>
      <c r="L19" s="333"/>
      <c r="M19" s="333"/>
      <c r="N19" s="333"/>
      <c r="O19" s="333"/>
      <c r="P19" s="333"/>
      <c r="Q19" s="333"/>
      <c r="R19" s="333"/>
      <c r="S19" s="337"/>
      <c r="T19" s="48"/>
      <c r="U19" s="68"/>
      <c r="V19" s="68"/>
      <c r="W19" s="68"/>
      <c r="X19" s="68"/>
      <c r="Y19" s="68"/>
      <c r="Z19" s="68"/>
      <c r="AA19" s="68"/>
      <c r="AB19" s="68"/>
      <c r="AC19" s="68"/>
      <c r="AD19" s="68"/>
      <c r="AE19" s="68"/>
      <c r="AF19" s="68"/>
      <c r="AG19" s="68"/>
      <c r="AH19" s="68"/>
      <c r="AI19" s="68"/>
      <c r="AJ19" s="68"/>
      <c r="AK19" s="68"/>
      <c r="AL19" s="310"/>
    </row>
    <row r="20" spans="1:38" x14ac:dyDescent="0.2">
      <c r="A20" s="244" t="s">
        <v>443</v>
      </c>
      <c r="B20" s="333"/>
      <c r="C20" s="333"/>
      <c r="D20" s="333"/>
      <c r="E20" s="333"/>
      <c r="F20" s="333"/>
      <c r="G20" s="333"/>
      <c r="H20" s="780" t="s">
        <v>523</v>
      </c>
      <c r="I20" s="781"/>
      <c r="J20" s="335" t="str">
        <f>IF(H20="N/A","",IF(H20="0-8","2","3"))</f>
        <v>2</v>
      </c>
      <c r="K20" s="336" t="str">
        <f>IF(NOT(H20="N/A"),"M6 fasteners required between vert. walls","")</f>
        <v>M6 fasteners required between vert. walls</v>
      </c>
      <c r="L20" s="333"/>
      <c r="M20" s="333"/>
      <c r="N20" s="333"/>
      <c r="O20" s="333"/>
      <c r="P20" s="333"/>
      <c r="Q20" s="333"/>
      <c r="R20" s="333"/>
      <c r="S20" s="337"/>
      <c r="T20" s="48"/>
      <c r="U20" s="68"/>
      <c r="V20" s="68"/>
      <c r="W20" s="68"/>
      <c r="X20" s="68"/>
      <c r="Y20" s="68"/>
      <c r="Z20" s="68"/>
      <c r="AA20" s="68"/>
      <c r="AB20" s="68"/>
      <c r="AC20" s="68"/>
      <c r="AD20" s="68"/>
      <c r="AE20" s="68"/>
      <c r="AF20" s="68"/>
      <c r="AG20" s="68"/>
      <c r="AH20" s="68"/>
      <c r="AI20" s="68"/>
      <c r="AJ20" s="68"/>
      <c r="AK20" s="68"/>
      <c r="AL20" s="310"/>
    </row>
    <row r="21" spans="1:38" x14ac:dyDescent="0.2">
      <c r="A21" s="244" t="s">
        <v>444</v>
      </c>
      <c r="B21" s="338"/>
      <c r="C21" s="333"/>
      <c r="D21" s="333"/>
      <c r="E21" s="333"/>
      <c r="F21" s="333"/>
      <c r="G21" s="333"/>
      <c r="H21" s="780" t="s">
        <v>523</v>
      </c>
      <c r="I21" s="781"/>
      <c r="J21" s="335" t="str">
        <f>IF(H21="N/A","",IF(H21="0-8","2","3"))</f>
        <v>2</v>
      </c>
      <c r="K21" s="336" t="str">
        <f>IF(NOT(H21="N/A"),"M6 fasteners required between vert. walls","")</f>
        <v>M6 fasteners required between vert. walls</v>
      </c>
      <c r="L21" s="333"/>
      <c r="M21" s="333"/>
      <c r="N21" s="333"/>
      <c r="O21" s="333"/>
      <c r="P21" s="333"/>
      <c r="Q21" s="333"/>
      <c r="R21" s="333"/>
      <c r="S21" s="337"/>
      <c r="T21" s="48"/>
      <c r="U21" s="68"/>
      <c r="V21" s="68"/>
      <c r="W21" s="68"/>
      <c r="X21" s="68"/>
      <c r="Y21" s="68"/>
      <c r="Z21" s="68"/>
      <c r="AA21" s="68"/>
      <c r="AB21" s="68"/>
      <c r="AC21" s="68"/>
      <c r="AD21" s="68"/>
      <c r="AE21" s="68"/>
      <c r="AF21" s="68"/>
      <c r="AG21" s="68"/>
      <c r="AH21" s="68"/>
      <c r="AI21" s="68"/>
      <c r="AJ21" s="68"/>
      <c r="AK21" s="68"/>
      <c r="AL21" s="310"/>
    </row>
    <row r="22" spans="1:38" x14ac:dyDescent="0.2">
      <c r="A22" s="244" t="s">
        <v>445</v>
      </c>
      <c r="B22" s="333"/>
      <c r="C22" s="333"/>
      <c r="D22" s="333"/>
      <c r="E22" s="333"/>
      <c r="F22" s="333"/>
      <c r="G22" s="333"/>
      <c r="H22" s="780" t="s">
        <v>523</v>
      </c>
      <c r="I22" s="781"/>
      <c r="J22" s="335" t="str">
        <f>IF(H22="N/A","",IF(H22="0-8","2","3"))</f>
        <v>2</v>
      </c>
      <c r="K22" s="336" t="str">
        <f>IF(NOT(H22="N/A"),"M6 fasteners required between vert. walls","")</f>
        <v>M6 fasteners required between vert. walls</v>
      </c>
      <c r="L22" s="333"/>
      <c r="M22" s="333"/>
      <c r="N22" s="333"/>
      <c r="O22" s="333"/>
      <c r="P22" s="333"/>
      <c r="Q22" s="333"/>
      <c r="R22" s="333"/>
      <c r="S22" s="337"/>
      <c r="T22" s="48"/>
      <c r="U22" s="68"/>
      <c r="V22" s="68"/>
      <c r="W22" s="68"/>
      <c r="X22" s="68"/>
      <c r="Y22" s="68"/>
      <c r="Z22" s="68"/>
      <c r="AA22" s="68"/>
      <c r="AB22" s="68"/>
      <c r="AC22" s="68"/>
      <c r="AD22" s="68"/>
      <c r="AE22" s="68"/>
      <c r="AF22" s="68"/>
      <c r="AG22" s="68"/>
      <c r="AH22" s="68"/>
      <c r="AI22" s="68"/>
      <c r="AJ22" s="68"/>
      <c r="AK22" s="68"/>
      <c r="AL22" s="310"/>
    </row>
    <row r="23" spans="1:38" x14ac:dyDescent="0.2">
      <c r="A23" s="246" t="s">
        <v>446</v>
      </c>
      <c r="B23" s="339"/>
      <c r="C23" s="339"/>
      <c r="D23" s="339"/>
      <c r="E23" s="339"/>
      <c r="F23" s="339"/>
      <c r="G23" s="339"/>
      <c r="H23" s="780" t="s">
        <v>523</v>
      </c>
      <c r="I23" s="781"/>
      <c r="J23" s="430" t="str">
        <f>IF(H23="N/A","",IF(H23="0-8","2","3"))</f>
        <v>2</v>
      </c>
      <c r="K23" s="340" t="str">
        <f>IF(NOT(H23="N/A"),"M6 fasteners required between vert. walls","")</f>
        <v>M6 fasteners required between vert. walls</v>
      </c>
      <c r="L23" s="340"/>
      <c r="M23" s="339"/>
      <c r="N23" s="339"/>
      <c r="O23" s="339"/>
      <c r="P23" s="339"/>
      <c r="Q23" s="339"/>
      <c r="R23" s="339"/>
      <c r="S23" s="341"/>
      <c r="T23" s="48"/>
      <c r="U23" s="68"/>
      <c r="V23" s="68"/>
      <c r="W23" s="68"/>
      <c r="X23" s="68"/>
      <c r="Y23" s="68"/>
      <c r="Z23" s="68"/>
      <c r="AA23" s="68"/>
      <c r="AB23" s="68"/>
      <c r="AC23" s="68"/>
      <c r="AD23" s="68"/>
      <c r="AE23" s="68"/>
      <c r="AF23" s="68"/>
      <c r="AG23" s="68"/>
      <c r="AH23" s="68"/>
      <c r="AI23" s="68"/>
      <c r="AJ23" s="68"/>
      <c r="AK23" s="68"/>
      <c r="AL23" s="310"/>
    </row>
    <row r="24" spans="1:38" x14ac:dyDescent="0.2">
      <c r="A24" s="326"/>
      <c r="B24" s="327"/>
      <c r="C24" s="327"/>
      <c r="D24" s="327"/>
      <c r="E24" s="327"/>
      <c r="F24" s="327"/>
      <c r="G24" s="327"/>
      <c r="H24" s="327"/>
      <c r="I24" s="327"/>
      <c r="J24" s="327"/>
      <c r="K24" s="327"/>
      <c r="L24" s="327"/>
      <c r="M24" s="327"/>
      <c r="N24" s="327"/>
      <c r="O24" s="327"/>
      <c r="P24" s="327"/>
      <c r="Q24" s="327"/>
      <c r="R24" s="327"/>
      <c r="S24" s="328"/>
      <c r="T24" s="48"/>
      <c r="U24" s="68"/>
      <c r="V24" s="68"/>
      <c r="W24" s="68"/>
      <c r="X24" s="68"/>
      <c r="Y24" s="68"/>
      <c r="Z24" s="68"/>
      <c r="AA24" s="68"/>
      <c r="AB24" s="68"/>
      <c r="AC24" s="68"/>
      <c r="AD24" s="68"/>
      <c r="AE24" s="68"/>
      <c r="AF24" s="68"/>
      <c r="AG24" s="68"/>
      <c r="AH24" s="68"/>
      <c r="AI24" s="68"/>
      <c r="AJ24" s="68"/>
      <c r="AK24" s="68"/>
      <c r="AL24" s="310"/>
    </row>
    <row r="25" spans="1:38" x14ac:dyDescent="0.2">
      <c r="A25" s="326"/>
      <c r="B25" s="329" t="s">
        <v>570</v>
      </c>
      <c r="C25" s="327"/>
      <c r="D25" s="327"/>
      <c r="E25" s="327"/>
      <c r="F25" s="327"/>
      <c r="G25" s="327"/>
      <c r="H25" s="327"/>
      <c r="I25" s="327"/>
      <c r="J25" s="327"/>
      <c r="K25" s="327"/>
      <c r="L25" s="327"/>
      <c r="M25" s="327"/>
      <c r="N25" s="327"/>
      <c r="O25" s="327"/>
      <c r="P25" s="327"/>
      <c r="Q25" s="327"/>
      <c r="R25" s="327"/>
      <c r="S25" s="328"/>
      <c r="T25" s="48"/>
      <c r="U25" s="68"/>
      <c r="V25" s="68"/>
      <c r="W25" s="68"/>
      <c r="X25" s="68"/>
      <c r="Y25" s="68"/>
      <c r="Z25" s="68"/>
      <c r="AA25" s="68"/>
      <c r="AB25" s="68"/>
      <c r="AC25" s="68"/>
      <c r="AD25" s="68"/>
      <c r="AE25" s="68"/>
      <c r="AF25" s="68"/>
      <c r="AG25" s="68"/>
      <c r="AH25" s="68"/>
      <c r="AI25" s="68"/>
      <c r="AJ25" s="68"/>
      <c r="AK25" s="68"/>
      <c r="AL25" s="310"/>
    </row>
    <row r="26" spans="1:38" x14ac:dyDescent="0.2">
      <c r="A26" s="326"/>
      <c r="B26" s="327"/>
      <c r="C26" s="327"/>
      <c r="D26" s="327"/>
      <c r="E26" s="327"/>
      <c r="F26" s="327"/>
      <c r="G26" s="327"/>
      <c r="H26" s="327"/>
      <c r="I26" s="327"/>
      <c r="J26" s="327"/>
      <c r="K26" s="327"/>
      <c r="L26" s="327"/>
      <c r="M26" s="327"/>
      <c r="N26" s="327"/>
      <c r="O26" s="327"/>
      <c r="P26" s="327"/>
      <c r="Q26" s="327"/>
      <c r="R26" s="327"/>
      <c r="S26" s="328"/>
      <c r="T26" s="48"/>
      <c r="U26" s="68"/>
      <c r="V26" s="68"/>
      <c r="W26" s="68"/>
      <c r="X26" s="68"/>
      <c r="Y26" s="68"/>
      <c r="Z26" s="68"/>
      <c r="AA26" s="68"/>
      <c r="AB26" s="68"/>
      <c r="AC26" s="68"/>
      <c r="AD26" s="68"/>
      <c r="AE26" s="68"/>
      <c r="AF26" s="68"/>
      <c r="AG26" s="68"/>
      <c r="AH26" s="68"/>
      <c r="AI26" s="68"/>
      <c r="AJ26" s="68"/>
      <c r="AK26" s="68"/>
      <c r="AL26" s="310"/>
    </row>
    <row r="27" spans="1:38" x14ac:dyDescent="0.2">
      <c r="A27" s="326"/>
      <c r="B27" s="327"/>
      <c r="C27" s="327"/>
      <c r="D27" s="327"/>
      <c r="E27" s="327"/>
      <c r="F27" s="327"/>
      <c r="G27" s="327"/>
      <c r="H27" s="327"/>
      <c r="I27" s="327"/>
      <c r="J27" s="327"/>
      <c r="K27" s="327"/>
      <c r="L27" s="327"/>
      <c r="M27" s="327"/>
      <c r="N27" s="327"/>
      <c r="O27" s="327"/>
      <c r="P27" s="327"/>
      <c r="Q27" s="327"/>
      <c r="R27" s="327"/>
      <c r="S27" s="328"/>
      <c r="T27" s="48"/>
      <c r="U27" s="68"/>
      <c r="V27" s="68"/>
      <c r="W27" s="68"/>
      <c r="X27" s="68"/>
      <c r="Y27" s="68"/>
      <c r="Z27" s="68"/>
      <c r="AA27" s="68"/>
      <c r="AB27" s="68"/>
      <c r="AC27" s="68"/>
      <c r="AD27" s="68"/>
      <c r="AE27" s="68"/>
      <c r="AF27" s="68"/>
      <c r="AG27" s="68"/>
      <c r="AH27" s="68"/>
      <c r="AI27" s="68"/>
      <c r="AJ27" s="68"/>
      <c r="AK27" s="68"/>
      <c r="AL27" s="310"/>
    </row>
    <row r="28" spans="1:38" x14ac:dyDescent="0.2">
      <c r="A28" s="326"/>
      <c r="B28" s="327"/>
      <c r="C28" s="327"/>
      <c r="D28" s="327"/>
      <c r="E28" s="327"/>
      <c r="F28" s="327"/>
      <c r="G28" s="327"/>
      <c r="H28" s="327"/>
      <c r="I28" s="327"/>
      <c r="J28" s="327"/>
      <c r="K28" s="327"/>
      <c r="L28" s="327"/>
      <c r="M28" s="327"/>
      <c r="N28" s="327"/>
      <c r="O28" s="327"/>
      <c r="P28" s="327"/>
      <c r="Q28" s="327"/>
      <c r="R28" s="327"/>
      <c r="S28" s="328"/>
      <c r="T28" s="48"/>
      <c r="U28" s="68"/>
      <c r="V28" s="68"/>
      <c r="W28" s="68"/>
      <c r="X28" s="68"/>
      <c r="Y28" s="68"/>
      <c r="Z28" s="68"/>
      <c r="AA28" s="68"/>
      <c r="AB28" s="68"/>
      <c r="AC28" s="68"/>
      <c r="AD28" s="68"/>
      <c r="AE28" s="68"/>
      <c r="AF28" s="68"/>
      <c r="AG28" s="68"/>
      <c r="AH28" s="68"/>
      <c r="AI28" s="68"/>
      <c r="AJ28" s="68"/>
      <c r="AK28" s="68"/>
      <c r="AL28" s="310"/>
    </row>
    <row r="29" spans="1:38" x14ac:dyDescent="0.2">
      <c r="A29" s="326"/>
      <c r="B29" s="327"/>
      <c r="C29" s="327"/>
      <c r="D29" s="327"/>
      <c r="E29" s="327"/>
      <c r="F29" s="327"/>
      <c r="G29" s="327"/>
      <c r="H29" s="327"/>
      <c r="I29" s="327"/>
      <c r="J29" s="327"/>
      <c r="K29" s="327"/>
      <c r="L29" s="327"/>
      <c r="M29" s="327"/>
      <c r="N29" s="327"/>
      <c r="O29" s="327"/>
      <c r="P29" s="327"/>
      <c r="Q29" s="327"/>
      <c r="R29" s="327"/>
      <c r="S29" s="328"/>
      <c r="T29" s="48"/>
      <c r="U29" s="68"/>
      <c r="V29" s="68"/>
      <c r="W29" s="68"/>
      <c r="X29" s="68"/>
      <c r="Y29" s="68"/>
      <c r="Z29" s="68"/>
      <c r="AA29" s="68"/>
      <c r="AB29" s="68"/>
      <c r="AC29" s="68"/>
      <c r="AD29" s="68"/>
      <c r="AE29" s="68"/>
      <c r="AF29" s="68"/>
      <c r="AG29" s="68"/>
      <c r="AH29" s="68"/>
      <c r="AI29" s="68"/>
      <c r="AJ29" s="68"/>
      <c r="AK29" s="68"/>
      <c r="AL29" s="310"/>
    </row>
    <row r="30" spans="1:38" x14ac:dyDescent="0.2">
      <c r="A30" s="326"/>
      <c r="B30" s="327"/>
      <c r="C30" s="327"/>
      <c r="D30" s="327"/>
      <c r="E30" s="327"/>
      <c r="F30" s="327"/>
      <c r="G30" s="327"/>
      <c r="H30" s="327"/>
      <c r="I30" s="327"/>
      <c r="J30" s="327"/>
      <c r="K30" s="327"/>
      <c r="L30" s="327"/>
      <c r="M30" s="327"/>
      <c r="N30" s="327"/>
      <c r="O30" s="327"/>
      <c r="P30" s="327"/>
      <c r="Q30" s="327"/>
      <c r="R30" s="327"/>
      <c r="S30" s="328"/>
      <c r="T30" s="48"/>
      <c r="U30" s="68"/>
      <c r="V30" s="68"/>
      <c r="W30" s="68"/>
      <c r="X30" s="68"/>
      <c r="Y30" s="68"/>
      <c r="Z30" s="68"/>
      <c r="AA30" s="68"/>
      <c r="AB30" s="68"/>
      <c r="AC30" s="68"/>
      <c r="AD30" s="68"/>
      <c r="AE30" s="68"/>
      <c r="AF30" s="68"/>
      <c r="AG30" s="68"/>
      <c r="AH30" s="68"/>
      <c r="AI30" s="68"/>
      <c r="AJ30" s="68"/>
      <c r="AK30" s="68"/>
      <c r="AL30" s="310"/>
    </row>
    <row r="31" spans="1:38" x14ac:dyDescent="0.2">
      <c r="A31" s="326"/>
      <c r="B31" s="327"/>
      <c r="C31" s="327"/>
      <c r="D31" s="327"/>
      <c r="E31" s="327"/>
      <c r="F31" s="327"/>
      <c r="G31" s="327"/>
      <c r="H31" s="327"/>
      <c r="I31" s="327"/>
      <c r="J31" s="327"/>
      <c r="K31" s="327"/>
      <c r="L31" s="327"/>
      <c r="M31" s="327"/>
      <c r="N31" s="327"/>
      <c r="O31" s="327"/>
      <c r="P31" s="327"/>
      <c r="Q31" s="327"/>
      <c r="R31" s="327"/>
      <c r="S31" s="328"/>
      <c r="T31" s="48"/>
      <c r="U31" s="68"/>
      <c r="V31" s="68"/>
      <c r="W31" s="68"/>
      <c r="X31" s="68"/>
      <c r="Y31" s="68"/>
      <c r="Z31" s="68"/>
      <c r="AA31" s="68"/>
      <c r="AB31" s="68"/>
      <c r="AC31" s="68"/>
      <c r="AD31" s="68"/>
      <c r="AE31" s="68"/>
      <c r="AF31" s="68"/>
      <c r="AG31" s="68"/>
      <c r="AH31" s="68"/>
      <c r="AI31" s="68"/>
      <c r="AJ31" s="68"/>
      <c r="AK31" s="68"/>
      <c r="AL31" s="310"/>
    </row>
    <row r="32" spans="1:38" x14ac:dyDescent="0.2">
      <c r="A32" s="326"/>
      <c r="B32" s="327"/>
      <c r="C32" s="327"/>
      <c r="D32" s="327"/>
      <c r="E32" s="327"/>
      <c r="F32" s="327"/>
      <c r="G32" s="327"/>
      <c r="H32" s="327"/>
      <c r="I32" s="327"/>
      <c r="J32" s="327"/>
      <c r="K32" s="327"/>
      <c r="L32" s="327"/>
      <c r="M32" s="327"/>
      <c r="N32" s="327"/>
      <c r="O32" s="327"/>
      <c r="P32" s="327"/>
      <c r="Q32" s="327"/>
      <c r="R32" s="327"/>
      <c r="S32" s="328"/>
      <c r="T32" s="48"/>
      <c r="U32" s="68"/>
      <c r="V32" s="68"/>
      <c r="W32" s="68"/>
      <c r="X32" s="68"/>
      <c r="Y32" s="68"/>
      <c r="Z32" s="68"/>
      <c r="AA32" s="68"/>
      <c r="AB32" s="68"/>
      <c r="AC32" s="68"/>
      <c r="AD32" s="68"/>
      <c r="AE32" s="68"/>
      <c r="AF32" s="68"/>
      <c r="AG32" s="68"/>
      <c r="AH32" s="68"/>
      <c r="AI32" s="68"/>
      <c r="AJ32" s="68"/>
      <c r="AK32" s="68"/>
      <c r="AL32" s="310"/>
    </row>
    <row r="33" spans="1:38" x14ac:dyDescent="0.2">
      <c r="A33" s="326"/>
      <c r="B33" s="327"/>
      <c r="C33" s="327"/>
      <c r="D33" s="327"/>
      <c r="E33" s="327"/>
      <c r="F33" s="327"/>
      <c r="G33" s="327"/>
      <c r="H33" s="327"/>
      <c r="I33" s="327"/>
      <c r="J33" s="327"/>
      <c r="K33" s="327"/>
      <c r="L33" s="327"/>
      <c r="M33" s="327"/>
      <c r="N33" s="327"/>
      <c r="O33" s="327"/>
      <c r="P33" s="327"/>
      <c r="Q33" s="327"/>
      <c r="R33" s="327"/>
      <c r="S33" s="328"/>
      <c r="T33" s="48"/>
      <c r="U33" s="68"/>
      <c r="V33" s="68"/>
      <c r="W33" s="68"/>
      <c r="X33" s="68"/>
      <c r="Y33" s="68"/>
      <c r="Z33" s="68"/>
      <c r="AA33" s="68"/>
      <c r="AB33" s="68"/>
      <c r="AC33" s="68"/>
      <c r="AD33" s="68"/>
      <c r="AE33" s="68"/>
      <c r="AF33" s="68"/>
      <c r="AG33" s="68"/>
      <c r="AH33" s="68"/>
      <c r="AI33" s="68"/>
      <c r="AJ33" s="68"/>
      <c r="AK33" s="68"/>
      <c r="AL33" s="310"/>
    </row>
    <row r="34" spans="1:38" x14ac:dyDescent="0.2">
      <c r="A34" s="326"/>
      <c r="B34" s="327"/>
      <c r="C34" s="327"/>
      <c r="D34" s="327"/>
      <c r="E34" s="327"/>
      <c r="F34" s="327"/>
      <c r="G34" s="327"/>
      <c r="H34" s="327"/>
      <c r="I34" s="327"/>
      <c r="J34" s="327"/>
      <c r="K34" s="327"/>
      <c r="L34" s="327"/>
      <c r="M34" s="327"/>
      <c r="N34" s="327"/>
      <c r="O34" s="327"/>
      <c r="P34" s="327"/>
      <c r="Q34" s="327"/>
      <c r="R34" s="327"/>
      <c r="S34" s="328"/>
      <c r="T34" s="48"/>
      <c r="U34" s="68"/>
      <c r="V34" s="68"/>
      <c r="W34" s="68"/>
      <c r="X34" s="68"/>
      <c r="Y34" s="68"/>
      <c r="Z34" s="68"/>
      <c r="AA34" s="68"/>
      <c r="AB34" s="68"/>
      <c r="AC34" s="68"/>
      <c r="AD34" s="68"/>
      <c r="AE34" s="68"/>
      <c r="AF34" s="68"/>
      <c r="AG34" s="68"/>
      <c r="AH34" s="68"/>
      <c r="AI34" s="68"/>
      <c r="AJ34" s="68"/>
      <c r="AK34" s="68"/>
      <c r="AL34" s="310"/>
    </row>
    <row r="35" spans="1:38" x14ac:dyDescent="0.2">
      <c r="A35" s="326"/>
      <c r="B35" s="327"/>
      <c r="C35" s="327"/>
      <c r="D35" s="327"/>
      <c r="E35" s="327"/>
      <c r="F35" s="327"/>
      <c r="G35" s="327"/>
      <c r="H35" s="327"/>
      <c r="I35" s="327"/>
      <c r="J35" s="327"/>
      <c r="K35" s="327"/>
      <c r="L35" s="327"/>
      <c r="M35" s="327"/>
      <c r="N35" s="327"/>
      <c r="O35" s="327"/>
      <c r="P35" s="327"/>
      <c r="Q35" s="327"/>
      <c r="R35" s="327"/>
      <c r="S35" s="328"/>
      <c r="T35" s="48"/>
      <c r="U35" s="68"/>
      <c r="V35" s="68"/>
      <c r="W35" s="68"/>
      <c r="X35" s="68"/>
      <c r="Y35" s="68"/>
      <c r="Z35" s="68"/>
      <c r="AA35" s="68"/>
      <c r="AB35" s="68"/>
      <c r="AC35" s="68"/>
      <c r="AD35" s="68"/>
      <c r="AE35" s="68"/>
      <c r="AF35" s="68"/>
      <c r="AG35" s="68"/>
      <c r="AH35" s="68"/>
      <c r="AI35" s="68"/>
      <c r="AJ35" s="68"/>
      <c r="AK35" s="68"/>
      <c r="AL35" s="310"/>
    </row>
    <row r="36" spans="1:38" x14ac:dyDescent="0.2">
      <c r="A36" s="326"/>
      <c r="B36" s="327"/>
      <c r="C36" s="327"/>
      <c r="D36" s="327"/>
      <c r="E36" s="327"/>
      <c r="F36" s="327"/>
      <c r="G36" s="327"/>
      <c r="H36" s="327"/>
      <c r="I36" s="327"/>
      <c r="J36" s="327"/>
      <c r="K36" s="327"/>
      <c r="L36" s="327"/>
      <c r="M36" s="327"/>
      <c r="N36" s="327"/>
      <c r="O36" s="327"/>
      <c r="P36" s="327"/>
      <c r="Q36" s="327"/>
      <c r="R36" s="327"/>
      <c r="S36" s="328"/>
      <c r="T36" s="48"/>
      <c r="U36" s="68"/>
      <c r="V36" s="68"/>
      <c r="W36" s="68"/>
      <c r="X36" s="68"/>
      <c r="Y36" s="68"/>
      <c r="Z36" s="68"/>
      <c r="AA36" s="68"/>
      <c r="AB36" s="68"/>
      <c r="AC36" s="68"/>
      <c r="AD36" s="68"/>
      <c r="AE36" s="68"/>
      <c r="AF36" s="68"/>
      <c r="AG36" s="68"/>
      <c r="AH36" s="68"/>
      <c r="AI36" s="68"/>
      <c r="AJ36" s="68"/>
      <c r="AK36" s="68"/>
      <c r="AL36" s="310"/>
    </row>
    <row r="37" spans="1:38" x14ac:dyDescent="0.2">
      <c r="A37" s="326"/>
      <c r="B37" s="327"/>
      <c r="C37" s="327"/>
      <c r="D37" s="327"/>
      <c r="E37" s="327"/>
      <c r="F37" s="327"/>
      <c r="G37" s="327"/>
      <c r="H37" s="327"/>
      <c r="I37" s="327"/>
      <c r="J37" s="327"/>
      <c r="K37" s="327"/>
      <c r="L37" s="327"/>
      <c r="M37" s="327"/>
      <c r="N37" s="327"/>
      <c r="O37" s="327"/>
      <c r="P37" s="327"/>
      <c r="Q37" s="327"/>
      <c r="R37" s="327"/>
      <c r="S37" s="328"/>
      <c r="T37" s="48"/>
      <c r="U37" s="68"/>
      <c r="V37" s="68"/>
      <c r="W37" s="68"/>
      <c r="X37" s="68"/>
      <c r="Y37" s="68"/>
      <c r="Z37" s="68"/>
      <c r="AA37" s="68"/>
      <c r="AB37" s="68"/>
      <c r="AC37" s="68"/>
      <c r="AD37" s="68"/>
      <c r="AE37" s="68"/>
      <c r="AF37" s="68"/>
      <c r="AG37" s="68"/>
      <c r="AH37" s="68"/>
      <c r="AI37" s="68"/>
      <c r="AJ37" s="68"/>
      <c r="AK37" s="68"/>
      <c r="AL37" s="310"/>
    </row>
    <row r="38" spans="1:38" x14ac:dyDescent="0.2">
      <c r="A38" s="326"/>
      <c r="B38" s="327"/>
      <c r="C38" s="327"/>
      <c r="D38" s="327"/>
      <c r="E38" s="327"/>
      <c r="F38" s="327"/>
      <c r="G38" s="327"/>
      <c r="H38" s="327"/>
      <c r="I38" s="327"/>
      <c r="J38" s="327"/>
      <c r="K38" s="327"/>
      <c r="L38" s="327"/>
      <c r="M38" s="327"/>
      <c r="N38" s="327"/>
      <c r="O38" s="327"/>
      <c r="P38" s="327"/>
      <c r="Q38" s="327"/>
      <c r="R38" s="327"/>
      <c r="S38" s="328"/>
      <c r="T38" s="48"/>
      <c r="U38" s="68"/>
      <c r="V38" s="68"/>
      <c r="W38" s="68"/>
      <c r="X38" s="68"/>
      <c r="Y38" s="68"/>
      <c r="Z38" s="68"/>
      <c r="AA38" s="68"/>
      <c r="AB38" s="68"/>
      <c r="AC38" s="68"/>
      <c r="AD38" s="68"/>
      <c r="AE38" s="68"/>
      <c r="AF38" s="68"/>
      <c r="AG38" s="68"/>
      <c r="AH38" s="68"/>
      <c r="AI38" s="68"/>
      <c r="AJ38" s="68"/>
      <c r="AK38" s="68"/>
      <c r="AL38" s="310"/>
    </row>
    <row r="39" spans="1:38" x14ac:dyDescent="0.2">
      <c r="A39" s="326"/>
      <c r="B39" s="327"/>
      <c r="C39" s="327"/>
      <c r="D39" s="327"/>
      <c r="E39" s="327"/>
      <c r="F39" s="327"/>
      <c r="G39" s="327"/>
      <c r="H39" s="327"/>
      <c r="I39" s="327"/>
      <c r="J39" s="327"/>
      <c r="K39" s="327"/>
      <c r="L39" s="327"/>
      <c r="M39" s="327"/>
      <c r="N39" s="327"/>
      <c r="O39" s="327"/>
      <c r="P39" s="327"/>
      <c r="Q39" s="327"/>
      <c r="R39" s="327"/>
      <c r="S39" s="328"/>
      <c r="T39" s="48"/>
      <c r="U39" s="68"/>
      <c r="V39" s="68"/>
      <c r="W39" s="68"/>
      <c r="X39" s="68"/>
      <c r="Y39" s="68"/>
      <c r="Z39" s="68"/>
      <c r="AA39" s="68"/>
      <c r="AB39" s="68"/>
      <c r="AC39" s="68"/>
      <c r="AD39" s="68"/>
      <c r="AE39" s="68"/>
      <c r="AF39" s="68"/>
      <c r="AG39" s="68"/>
      <c r="AH39" s="68"/>
      <c r="AI39" s="68"/>
      <c r="AJ39" s="68"/>
      <c r="AK39" s="68"/>
      <c r="AL39" s="310"/>
    </row>
    <row r="40" spans="1:38" x14ac:dyDescent="0.2">
      <c r="A40" s="326"/>
      <c r="B40" s="327"/>
      <c r="C40" s="327"/>
      <c r="D40" s="327"/>
      <c r="E40" s="327"/>
      <c r="F40" s="327"/>
      <c r="G40" s="327"/>
      <c r="H40" s="327"/>
      <c r="I40" s="327"/>
      <c r="J40" s="327"/>
      <c r="K40" s="327"/>
      <c r="L40" s="327"/>
      <c r="M40" s="327"/>
      <c r="N40" s="327"/>
      <c r="O40" s="327"/>
      <c r="P40" s="327"/>
      <c r="Q40" s="327"/>
      <c r="R40" s="327"/>
      <c r="S40" s="328"/>
      <c r="T40" s="48"/>
      <c r="U40" s="68"/>
      <c r="V40" s="68"/>
      <c r="W40" s="68"/>
      <c r="X40" s="68"/>
      <c r="Y40" s="68"/>
      <c r="Z40" s="68"/>
      <c r="AA40" s="68"/>
      <c r="AB40" s="68"/>
      <c r="AC40" s="68"/>
      <c r="AD40" s="68"/>
      <c r="AE40" s="68"/>
      <c r="AF40" s="68"/>
      <c r="AG40" s="68"/>
      <c r="AH40" s="68"/>
      <c r="AI40" s="68"/>
      <c r="AJ40" s="68"/>
      <c r="AK40" s="68"/>
      <c r="AL40" s="310"/>
    </row>
    <row r="41" spans="1:38" x14ac:dyDescent="0.2">
      <c r="A41" s="326"/>
      <c r="B41" s="327"/>
      <c r="C41" s="327"/>
      <c r="D41" s="327"/>
      <c r="E41" s="327"/>
      <c r="F41" s="327"/>
      <c r="G41" s="327"/>
      <c r="H41" s="327"/>
      <c r="I41" s="327"/>
      <c r="J41" s="327"/>
      <c r="K41" s="327"/>
      <c r="L41" s="327"/>
      <c r="M41" s="327"/>
      <c r="N41" s="327"/>
      <c r="O41" s="327"/>
      <c r="P41" s="327"/>
      <c r="Q41" s="327"/>
      <c r="R41" s="327"/>
      <c r="S41" s="328"/>
      <c r="T41" s="48"/>
      <c r="U41" s="68"/>
      <c r="V41" s="68"/>
      <c r="W41" s="68"/>
      <c r="X41" s="68"/>
      <c r="Y41" s="68"/>
      <c r="Z41" s="68"/>
      <c r="AA41" s="68"/>
      <c r="AB41" s="68"/>
      <c r="AC41" s="68"/>
      <c r="AD41" s="68"/>
      <c r="AE41" s="68"/>
      <c r="AF41" s="68"/>
      <c r="AG41" s="68"/>
      <c r="AH41" s="68"/>
      <c r="AI41" s="68"/>
      <c r="AJ41" s="68"/>
      <c r="AK41" s="68"/>
      <c r="AL41" s="310"/>
    </row>
    <row r="42" spans="1:38" x14ac:dyDescent="0.2">
      <c r="A42" s="326"/>
      <c r="B42" s="327"/>
      <c r="C42" s="327"/>
      <c r="D42" s="327"/>
      <c r="E42" s="327"/>
      <c r="F42" s="327"/>
      <c r="G42" s="327"/>
      <c r="H42" s="327"/>
      <c r="I42" s="327"/>
      <c r="J42" s="327"/>
      <c r="K42" s="327"/>
      <c r="L42" s="327"/>
      <c r="M42" s="327"/>
      <c r="N42" s="327"/>
      <c r="O42" s="327"/>
      <c r="P42" s="327"/>
      <c r="Q42" s="327"/>
      <c r="R42" s="327"/>
      <c r="S42" s="328"/>
      <c r="T42" s="48"/>
      <c r="U42" s="68"/>
      <c r="V42" s="68"/>
      <c r="W42" s="68"/>
      <c r="X42" s="68"/>
      <c r="Y42" s="68"/>
      <c r="Z42" s="68"/>
      <c r="AA42" s="68"/>
      <c r="AB42" s="68"/>
      <c r="AC42" s="68"/>
      <c r="AD42" s="68"/>
      <c r="AE42" s="68"/>
      <c r="AF42" s="68"/>
      <c r="AG42" s="68"/>
      <c r="AH42" s="68"/>
      <c r="AI42" s="68"/>
      <c r="AJ42" s="68"/>
      <c r="AK42" s="68"/>
      <c r="AL42" s="310"/>
    </row>
    <row r="43" spans="1:38" x14ac:dyDescent="0.2">
      <c r="A43" s="326"/>
      <c r="B43" s="327"/>
      <c r="C43" s="327"/>
      <c r="D43" s="327"/>
      <c r="E43" s="327"/>
      <c r="F43" s="327"/>
      <c r="G43" s="327"/>
      <c r="H43" s="327"/>
      <c r="I43" s="327"/>
      <c r="J43" s="327"/>
      <c r="K43" s="327"/>
      <c r="L43" s="327"/>
      <c r="M43" s="327"/>
      <c r="N43" s="327"/>
      <c r="O43" s="327"/>
      <c r="P43" s="327"/>
      <c r="Q43" s="327"/>
      <c r="R43" s="327"/>
      <c r="S43" s="328"/>
      <c r="T43" s="48"/>
      <c r="U43" s="68"/>
      <c r="V43" s="68"/>
      <c r="W43" s="68"/>
      <c r="X43" s="68"/>
      <c r="Y43" s="68"/>
      <c r="Z43" s="68"/>
      <c r="AA43" s="68"/>
      <c r="AB43" s="68"/>
      <c r="AC43" s="68"/>
      <c r="AD43" s="68"/>
      <c r="AE43" s="68"/>
      <c r="AF43" s="68"/>
      <c r="AG43" s="68"/>
      <c r="AH43" s="68"/>
      <c r="AI43" s="68"/>
      <c r="AJ43" s="68"/>
      <c r="AK43" s="68"/>
      <c r="AL43" s="310"/>
    </row>
    <row r="44" spans="1:38" x14ac:dyDescent="0.2">
      <c r="A44" s="326"/>
      <c r="B44" s="327"/>
      <c r="C44" s="327"/>
      <c r="D44" s="327"/>
      <c r="E44" s="327"/>
      <c r="F44" s="327"/>
      <c r="G44" s="327"/>
      <c r="H44" s="327"/>
      <c r="I44" s="327"/>
      <c r="J44" s="327"/>
      <c r="K44" s="327"/>
      <c r="L44" s="327"/>
      <c r="M44" s="327"/>
      <c r="N44" s="327"/>
      <c r="O44" s="327"/>
      <c r="P44" s="327"/>
      <c r="Q44" s="327"/>
      <c r="R44" s="327"/>
      <c r="S44" s="328"/>
      <c r="T44" s="48"/>
      <c r="U44" s="68"/>
      <c r="V44" s="68"/>
      <c r="W44" s="68"/>
      <c r="X44" s="68"/>
      <c r="Y44" s="68"/>
      <c r="Z44" s="68"/>
      <c r="AA44" s="68"/>
      <c r="AB44" s="68"/>
      <c r="AC44" s="68"/>
      <c r="AD44" s="68"/>
      <c r="AE44" s="68"/>
      <c r="AF44" s="68"/>
      <c r="AG44" s="68"/>
      <c r="AH44" s="68"/>
      <c r="AI44" s="68"/>
      <c r="AJ44" s="68"/>
      <c r="AK44" s="68"/>
      <c r="AL44" s="310"/>
    </row>
    <row r="45" spans="1:38" x14ac:dyDescent="0.2">
      <c r="A45" s="326"/>
      <c r="B45" s="327"/>
      <c r="C45" s="327"/>
      <c r="D45" s="327"/>
      <c r="E45" s="327"/>
      <c r="F45" s="327"/>
      <c r="G45" s="327"/>
      <c r="H45" s="327"/>
      <c r="I45" s="327"/>
      <c r="J45" s="327"/>
      <c r="K45" s="327"/>
      <c r="L45" s="327"/>
      <c r="M45" s="327"/>
      <c r="N45" s="327"/>
      <c r="O45" s="327"/>
      <c r="P45" s="327"/>
      <c r="Q45" s="327"/>
      <c r="R45" s="327"/>
      <c r="S45" s="328"/>
      <c r="T45" s="48"/>
      <c r="U45" s="68"/>
      <c r="V45" s="68"/>
      <c r="W45" s="68"/>
      <c r="X45" s="68"/>
      <c r="Y45" s="68"/>
      <c r="Z45" s="68"/>
      <c r="AA45" s="68"/>
      <c r="AB45" s="68"/>
      <c r="AC45" s="68"/>
      <c r="AD45" s="68"/>
      <c r="AE45" s="68"/>
      <c r="AF45" s="68"/>
      <c r="AG45" s="68"/>
      <c r="AH45" s="68"/>
      <c r="AI45" s="68"/>
      <c r="AJ45" s="68"/>
      <c r="AK45" s="68"/>
      <c r="AL45" s="310"/>
    </row>
    <row r="46" spans="1:38" x14ac:dyDescent="0.2">
      <c r="A46" s="326"/>
      <c r="B46" s="327"/>
      <c r="C46" s="327"/>
      <c r="D46" s="327"/>
      <c r="E46" s="327"/>
      <c r="F46" s="327"/>
      <c r="G46" s="327"/>
      <c r="H46" s="327"/>
      <c r="I46" s="327"/>
      <c r="J46" s="327"/>
      <c r="K46" s="327"/>
      <c r="L46" s="327"/>
      <c r="M46" s="327"/>
      <c r="N46" s="327"/>
      <c r="O46" s="327"/>
      <c r="P46" s="327"/>
      <c r="Q46" s="327"/>
      <c r="R46" s="327"/>
      <c r="S46" s="328"/>
      <c r="T46" s="48"/>
      <c r="U46" s="68"/>
      <c r="V46" s="68"/>
      <c r="W46" s="68"/>
      <c r="X46" s="68"/>
      <c r="Y46" s="68"/>
      <c r="Z46" s="68"/>
      <c r="AA46" s="68"/>
      <c r="AB46" s="68"/>
      <c r="AC46" s="68"/>
      <c r="AD46" s="68"/>
      <c r="AE46" s="68"/>
      <c r="AF46" s="68"/>
      <c r="AG46" s="68"/>
      <c r="AH46" s="68"/>
      <c r="AI46" s="68"/>
      <c r="AJ46" s="68"/>
      <c r="AK46" s="68"/>
      <c r="AL46" s="310"/>
    </row>
    <row r="47" spans="1:38" x14ac:dyDescent="0.2">
      <c r="A47" s="326"/>
      <c r="B47" s="327"/>
      <c r="C47" s="327"/>
      <c r="D47" s="327"/>
      <c r="E47" s="327"/>
      <c r="F47" s="327"/>
      <c r="G47" s="327"/>
      <c r="H47" s="327"/>
      <c r="I47" s="327"/>
      <c r="J47" s="327"/>
      <c r="K47" s="327"/>
      <c r="L47" s="327"/>
      <c r="M47" s="327"/>
      <c r="N47" s="327"/>
      <c r="O47" s="327"/>
      <c r="P47" s="327"/>
      <c r="Q47" s="327"/>
      <c r="R47" s="327"/>
      <c r="S47" s="328"/>
      <c r="T47" s="48"/>
      <c r="U47" s="68"/>
      <c r="V47" s="68"/>
      <c r="W47" s="68"/>
      <c r="X47" s="68"/>
      <c r="Y47" s="68"/>
      <c r="Z47" s="68"/>
      <c r="AA47" s="68"/>
      <c r="AB47" s="68"/>
      <c r="AC47" s="68"/>
      <c r="AD47" s="68"/>
      <c r="AE47" s="68"/>
      <c r="AF47" s="68"/>
      <c r="AG47" s="68"/>
      <c r="AH47" s="68"/>
      <c r="AI47" s="68"/>
      <c r="AJ47" s="68"/>
      <c r="AK47" s="68"/>
      <c r="AL47" s="310"/>
    </row>
    <row r="48" spans="1:38" x14ac:dyDescent="0.2">
      <c r="A48" s="326"/>
      <c r="B48" s="327"/>
      <c r="C48" s="327"/>
      <c r="D48" s="327"/>
      <c r="E48" s="327"/>
      <c r="F48" s="327"/>
      <c r="G48" s="327"/>
      <c r="H48" s="327"/>
      <c r="I48" s="327"/>
      <c r="J48" s="327"/>
      <c r="K48" s="327"/>
      <c r="L48" s="327"/>
      <c r="M48" s="327"/>
      <c r="N48" s="327"/>
      <c r="O48" s="327"/>
      <c r="P48" s="327"/>
      <c r="Q48" s="327"/>
      <c r="R48" s="327"/>
      <c r="S48" s="328"/>
      <c r="T48" s="48"/>
      <c r="U48" s="68"/>
      <c r="V48" s="68"/>
      <c r="W48" s="68"/>
      <c r="X48" s="68"/>
      <c r="Y48" s="68"/>
      <c r="Z48" s="68"/>
      <c r="AA48" s="68"/>
      <c r="AB48" s="68"/>
      <c r="AC48" s="68"/>
      <c r="AD48" s="68"/>
      <c r="AE48" s="68"/>
      <c r="AF48" s="68"/>
      <c r="AG48" s="68"/>
      <c r="AH48" s="68"/>
      <c r="AI48" s="68"/>
      <c r="AJ48" s="68"/>
      <c r="AK48" s="68"/>
      <c r="AL48" s="310"/>
    </row>
    <row r="49" spans="1:38" x14ac:dyDescent="0.2">
      <c r="A49" s="326"/>
      <c r="B49" s="327"/>
      <c r="C49" s="327"/>
      <c r="D49" s="327"/>
      <c r="E49" s="327"/>
      <c r="F49" s="327"/>
      <c r="G49" s="327"/>
      <c r="H49" s="327"/>
      <c r="I49" s="327"/>
      <c r="J49" s="327"/>
      <c r="K49" s="327"/>
      <c r="L49" s="327"/>
      <c r="M49" s="327"/>
      <c r="N49" s="327"/>
      <c r="O49" s="327"/>
      <c r="P49" s="327"/>
      <c r="Q49" s="327"/>
      <c r="R49" s="327"/>
      <c r="S49" s="328"/>
      <c r="T49" s="48"/>
      <c r="U49" s="68"/>
      <c r="V49" s="68"/>
      <c r="W49" s="68"/>
      <c r="X49" s="68"/>
      <c r="Y49" s="68"/>
      <c r="Z49" s="68"/>
      <c r="AA49" s="68"/>
      <c r="AB49" s="68"/>
      <c r="AC49" s="68"/>
      <c r="AD49" s="68"/>
      <c r="AE49" s="68"/>
      <c r="AF49" s="68"/>
      <c r="AG49" s="68"/>
      <c r="AH49" s="68"/>
      <c r="AI49" s="68"/>
      <c r="AJ49" s="68"/>
      <c r="AK49" s="68"/>
      <c r="AL49" s="310"/>
    </row>
    <row r="50" spans="1:38" x14ac:dyDescent="0.2">
      <c r="A50" s="326"/>
      <c r="B50" s="327"/>
      <c r="C50" s="327"/>
      <c r="D50" s="327"/>
      <c r="E50" s="327"/>
      <c r="F50" s="327"/>
      <c r="G50" s="327"/>
      <c r="H50" s="327"/>
      <c r="I50" s="327"/>
      <c r="J50" s="327"/>
      <c r="K50" s="327"/>
      <c r="L50" s="327"/>
      <c r="M50" s="327"/>
      <c r="N50" s="327"/>
      <c r="O50" s="327"/>
      <c r="P50" s="327"/>
      <c r="Q50" s="327"/>
      <c r="R50" s="327"/>
      <c r="S50" s="328"/>
      <c r="T50" s="48"/>
      <c r="U50" s="68"/>
      <c r="V50" s="68"/>
      <c r="W50" s="68"/>
      <c r="X50" s="68"/>
      <c r="Y50" s="68"/>
      <c r="Z50" s="68"/>
      <c r="AA50" s="68"/>
      <c r="AB50" s="68"/>
      <c r="AC50" s="68"/>
      <c r="AD50" s="68"/>
      <c r="AE50" s="68"/>
      <c r="AF50" s="68"/>
      <c r="AG50" s="68"/>
      <c r="AH50" s="68"/>
      <c r="AI50" s="68"/>
      <c r="AJ50" s="68"/>
      <c r="AK50" s="68"/>
      <c r="AL50" s="310"/>
    </row>
    <row r="51" spans="1:38" x14ac:dyDescent="0.2">
      <c r="A51" s="326"/>
      <c r="B51" s="327"/>
      <c r="C51" s="327"/>
      <c r="D51" s="327"/>
      <c r="E51" s="327"/>
      <c r="F51" s="327"/>
      <c r="G51" s="327"/>
      <c r="H51" s="327"/>
      <c r="I51" s="327"/>
      <c r="J51" s="327"/>
      <c r="K51" s="327"/>
      <c r="L51" s="327"/>
      <c r="M51" s="327"/>
      <c r="N51" s="327"/>
      <c r="O51" s="327"/>
      <c r="P51" s="327"/>
      <c r="Q51" s="327"/>
      <c r="R51" s="327"/>
      <c r="S51" s="328"/>
      <c r="T51" s="48"/>
      <c r="U51" s="68"/>
      <c r="V51" s="68"/>
      <c r="W51" s="68"/>
      <c r="X51" s="68"/>
      <c r="Y51" s="68"/>
      <c r="Z51" s="68"/>
      <c r="AA51" s="68"/>
      <c r="AB51" s="68"/>
      <c r="AC51" s="68"/>
      <c r="AD51" s="68"/>
      <c r="AE51" s="68"/>
      <c r="AF51" s="68"/>
      <c r="AG51" s="68"/>
      <c r="AH51" s="68"/>
      <c r="AI51" s="68"/>
      <c r="AJ51" s="68"/>
      <c r="AK51" s="68"/>
      <c r="AL51" s="310"/>
    </row>
    <row r="52" spans="1:38" x14ac:dyDescent="0.2">
      <c r="A52" s="326"/>
      <c r="B52" s="327"/>
      <c r="C52" s="327"/>
      <c r="D52" s="327"/>
      <c r="E52" s="327"/>
      <c r="F52" s="327"/>
      <c r="G52" s="327"/>
      <c r="H52" s="327"/>
      <c r="I52" s="327"/>
      <c r="J52" s="327"/>
      <c r="K52" s="327"/>
      <c r="L52" s="327"/>
      <c r="M52" s="327"/>
      <c r="N52" s="327"/>
      <c r="O52" s="327"/>
      <c r="P52" s="327"/>
      <c r="Q52" s="327"/>
      <c r="R52" s="327"/>
      <c r="S52" s="328"/>
      <c r="T52" s="48"/>
      <c r="U52" s="68"/>
      <c r="V52" s="68"/>
      <c r="W52" s="68"/>
      <c r="X52" s="68"/>
      <c r="Y52" s="68"/>
      <c r="Z52" s="68"/>
      <c r="AA52" s="68"/>
      <c r="AB52" s="68"/>
      <c r="AC52" s="68"/>
      <c r="AD52" s="68"/>
      <c r="AE52" s="68"/>
      <c r="AF52" s="68"/>
      <c r="AG52" s="68"/>
      <c r="AH52" s="68"/>
      <c r="AI52" s="68"/>
      <c r="AJ52" s="68"/>
      <c r="AK52" s="68"/>
      <c r="AL52" s="310"/>
    </row>
    <row r="53" spans="1:38" x14ac:dyDescent="0.2">
      <c r="A53" s="326"/>
      <c r="B53" s="327"/>
      <c r="C53" s="327"/>
      <c r="D53" s="327"/>
      <c r="E53" s="327"/>
      <c r="F53" s="327"/>
      <c r="G53" s="327"/>
      <c r="H53" s="327"/>
      <c r="I53" s="327"/>
      <c r="J53" s="327"/>
      <c r="K53" s="327"/>
      <c r="L53" s="327"/>
      <c r="M53" s="327"/>
      <c r="N53" s="327"/>
      <c r="O53" s="327"/>
      <c r="P53" s="327"/>
      <c r="Q53" s="327"/>
      <c r="R53" s="327"/>
      <c r="S53" s="328"/>
      <c r="T53" s="48"/>
      <c r="U53" s="68"/>
      <c r="V53" s="68"/>
      <c r="W53" s="68"/>
      <c r="X53" s="68"/>
      <c r="Y53" s="68"/>
      <c r="Z53" s="68"/>
      <c r="AA53" s="68"/>
      <c r="AB53" s="68"/>
      <c r="AC53" s="68"/>
      <c r="AD53" s="68"/>
      <c r="AE53" s="68"/>
      <c r="AF53" s="68"/>
      <c r="AG53" s="68"/>
      <c r="AH53" s="68"/>
      <c r="AI53" s="68"/>
      <c r="AJ53" s="68"/>
      <c r="AK53" s="68"/>
      <c r="AL53" s="310"/>
    </row>
    <row r="54" spans="1:38" x14ac:dyDescent="0.2">
      <c r="A54" s="326"/>
      <c r="B54" s="327"/>
      <c r="C54" s="327"/>
      <c r="D54" s="327"/>
      <c r="E54" s="327"/>
      <c r="F54" s="327"/>
      <c r="G54" s="327"/>
      <c r="H54" s="327"/>
      <c r="I54" s="327"/>
      <c r="J54" s="327"/>
      <c r="K54" s="327"/>
      <c r="L54" s="327"/>
      <c r="M54" s="327"/>
      <c r="N54" s="327"/>
      <c r="O54" s="327"/>
      <c r="P54" s="327"/>
      <c r="Q54" s="327"/>
      <c r="R54" s="327"/>
      <c r="S54" s="328"/>
      <c r="T54" s="48"/>
      <c r="U54" s="68"/>
      <c r="V54" s="68"/>
      <c r="W54" s="68"/>
      <c r="X54" s="68"/>
      <c r="Y54" s="68"/>
      <c r="Z54" s="68"/>
      <c r="AA54" s="68"/>
      <c r="AB54" s="68"/>
      <c r="AC54" s="68"/>
      <c r="AD54" s="68"/>
      <c r="AE54" s="68"/>
      <c r="AF54" s="68"/>
      <c r="AG54" s="68"/>
      <c r="AH54" s="68"/>
      <c r="AI54" s="68"/>
      <c r="AJ54" s="68"/>
      <c r="AK54" s="68"/>
      <c r="AL54" s="310"/>
    </row>
    <row r="55" spans="1:38" x14ac:dyDescent="0.2">
      <c r="A55" s="326"/>
      <c r="B55" s="327"/>
      <c r="C55" s="327"/>
      <c r="D55" s="327"/>
      <c r="E55" s="327"/>
      <c r="F55" s="327"/>
      <c r="G55" s="327"/>
      <c r="H55" s="327"/>
      <c r="I55" s="327"/>
      <c r="J55" s="327"/>
      <c r="K55" s="327"/>
      <c r="L55" s="327"/>
      <c r="M55" s="327"/>
      <c r="N55" s="327"/>
      <c r="O55" s="327"/>
      <c r="P55" s="327"/>
      <c r="Q55" s="327"/>
      <c r="R55" s="327"/>
      <c r="S55" s="328"/>
      <c r="T55" s="48"/>
      <c r="U55" s="68"/>
      <c r="V55" s="68"/>
      <c r="W55" s="68"/>
      <c r="X55" s="68"/>
      <c r="Y55" s="68"/>
      <c r="Z55" s="68"/>
      <c r="AA55" s="68"/>
      <c r="AB55" s="68"/>
      <c r="AC55" s="68"/>
      <c r="AD55" s="68"/>
      <c r="AE55" s="68"/>
      <c r="AF55" s="68"/>
      <c r="AG55" s="68"/>
      <c r="AH55" s="68"/>
      <c r="AI55" s="68"/>
      <c r="AJ55" s="68"/>
      <c r="AK55" s="68"/>
      <c r="AL55" s="310"/>
    </row>
    <row r="56" spans="1:38" x14ac:dyDescent="0.2">
      <c r="A56" s="326"/>
      <c r="B56" s="327"/>
      <c r="C56" s="327"/>
      <c r="D56" s="327"/>
      <c r="E56" s="327"/>
      <c r="F56" s="327"/>
      <c r="G56" s="327"/>
      <c r="H56" s="327"/>
      <c r="I56" s="327"/>
      <c r="J56" s="327"/>
      <c r="K56" s="327"/>
      <c r="L56" s="327"/>
      <c r="M56" s="327"/>
      <c r="N56" s="327"/>
      <c r="O56" s="327"/>
      <c r="P56" s="327"/>
      <c r="Q56" s="327"/>
      <c r="R56" s="327"/>
      <c r="S56" s="328"/>
      <c r="T56" s="48"/>
      <c r="U56" s="68"/>
      <c r="V56" s="68"/>
      <c r="W56" s="68"/>
      <c r="X56" s="68"/>
      <c r="Y56" s="68"/>
      <c r="Z56" s="68"/>
      <c r="AA56" s="68"/>
      <c r="AB56" s="68"/>
      <c r="AC56" s="68"/>
      <c r="AD56" s="68"/>
      <c r="AE56" s="68"/>
      <c r="AF56" s="68"/>
      <c r="AG56" s="68"/>
      <c r="AH56" s="68"/>
      <c r="AI56" s="68"/>
      <c r="AJ56" s="68"/>
      <c r="AK56" s="68"/>
      <c r="AL56" s="310"/>
    </row>
    <row r="57" spans="1:38" x14ac:dyDescent="0.2">
      <c r="A57" s="326"/>
      <c r="B57" s="327"/>
      <c r="C57" s="327"/>
      <c r="D57" s="327"/>
      <c r="E57" s="327"/>
      <c r="F57" s="327"/>
      <c r="G57" s="327"/>
      <c r="H57" s="327"/>
      <c r="I57" s="327"/>
      <c r="J57" s="327"/>
      <c r="K57" s="327"/>
      <c r="L57" s="327"/>
      <c r="M57" s="327"/>
      <c r="N57" s="327"/>
      <c r="O57" s="327"/>
      <c r="P57" s="327"/>
      <c r="Q57" s="327"/>
      <c r="R57" s="327"/>
      <c r="S57" s="328"/>
      <c r="T57" s="48"/>
      <c r="U57" s="68"/>
      <c r="V57" s="68"/>
      <c r="W57" s="68"/>
      <c r="X57" s="68"/>
      <c r="Y57" s="68"/>
      <c r="Z57" s="68"/>
      <c r="AA57" s="68"/>
      <c r="AB57" s="68"/>
      <c r="AC57" s="68"/>
      <c r="AD57" s="68"/>
      <c r="AE57" s="68"/>
      <c r="AF57" s="68"/>
      <c r="AG57" s="68"/>
      <c r="AH57" s="68"/>
      <c r="AI57" s="68"/>
      <c r="AJ57" s="68"/>
      <c r="AK57" s="68"/>
      <c r="AL57" s="310"/>
    </row>
    <row r="58" spans="1:38" x14ac:dyDescent="0.2">
      <c r="A58" s="326"/>
      <c r="B58" s="327"/>
      <c r="C58" s="327"/>
      <c r="D58" s="327"/>
      <c r="E58" s="327"/>
      <c r="F58" s="327"/>
      <c r="G58" s="327"/>
      <c r="H58" s="327"/>
      <c r="I58" s="327"/>
      <c r="J58" s="327"/>
      <c r="K58" s="327"/>
      <c r="L58" s="327"/>
      <c r="M58" s="327"/>
      <c r="N58" s="327"/>
      <c r="O58" s="327"/>
      <c r="P58" s="327"/>
      <c r="Q58" s="327"/>
      <c r="R58" s="327"/>
      <c r="S58" s="328"/>
      <c r="T58" s="48"/>
      <c r="U58" s="68"/>
      <c r="V58" s="68"/>
      <c r="W58" s="68"/>
      <c r="X58" s="68"/>
      <c r="Y58" s="68"/>
      <c r="Z58" s="68"/>
      <c r="AA58" s="68"/>
      <c r="AB58" s="68"/>
      <c r="AC58" s="68"/>
      <c r="AD58" s="68"/>
      <c r="AE58" s="68"/>
      <c r="AF58" s="68"/>
      <c r="AG58" s="68"/>
      <c r="AH58" s="68"/>
      <c r="AI58" s="68"/>
      <c r="AJ58" s="68"/>
      <c r="AK58" s="68"/>
      <c r="AL58" s="310"/>
    </row>
    <row r="59" spans="1:38" x14ac:dyDescent="0.2">
      <c r="A59" s="326"/>
      <c r="B59" s="327"/>
      <c r="C59" s="327"/>
      <c r="D59" s="327"/>
      <c r="E59" s="327"/>
      <c r="F59" s="327"/>
      <c r="G59" s="327"/>
      <c r="H59" s="327"/>
      <c r="I59" s="327"/>
      <c r="J59" s="327"/>
      <c r="K59" s="327"/>
      <c r="L59" s="327"/>
      <c r="M59" s="327"/>
      <c r="N59" s="327"/>
      <c r="O59" s="327"/>
      <c r="P59" s="327"/>
      <c r="Q59" s="327"/>
      <c r="R59" s="327"/>
      <c r="S59" s="328"/>
      <c r="T59" s="48"/>
      <c r="U59" s="68"/>
      <c r="V59" s="68"/>
      <c r="W59" s="68"/>
      <c r="X59" s="68"/>
      <c r="Y59" s="68"/>
      <c r="Z59" s="68"/>
      <c r="AA59" s="68"/>
      <c r="AB59" s="68"/>
      <c r="AC59" s="68"/>
      <c r="AD59" s="68"/>
      <c r="AE59" s="68"/>
      <c r="AF59" s="68"/>
      <c r="AG59" s="68"/>
      <c r="AH59" s="68"/>
      <c r="AI59" s="68"/>
      <c r="AJ59" s="68"/>
      <c r="AK59" s="68"/>
      <c r="AL59" s="310"/>
    </row>
    <row r="60" spans="1:38" x14ac:dyDescent="0.2">
      <c r="A60" s="326"/>
      <c r="B60" s="327"/>
      <c r="C60" s="327"/>
      <c r="D60" s="327"/>
      <c r="E60" s="327"/>
      <c r="F60" s="327"/>
      <c r="G60" s="327"/>
      <c r="H60" s="327"/>
      <c r="I60" s="327"/>
      <c r="J60" s="327"/>
      <c r="K60" s="327"/>
      <c r="L60" s="327"/>
      <c r="M60" s="327"/>
      <c r="N60" s="327"/>
      <c r="O60" s="327"/>
      <c r="P60" s="327"/>
      <c r="Q60" s="327"/>
      <c r="R60" s="327"/>
      <c r="S60" s="328"/>
      <c r="T60" s="48"/>
      <c r="U60" s="68"/>
      <c r="V60" s="68"/>
      <c r="W60" s="68"/>
      <c r="X60" s="68"/>
      <c r="Y60" s="68"/>
      <c r="Z60" s="68"/>
      <c r="AA60" s="68"/>
      <c r="AB60" s="68"/>
      <c r="AC60" s="68"/>
      <c r="AD60" s="68"/>
      <c r="AE60" s="68"/>
      <c r="AF60" s="68"/>
      <c r="AG60" s="68"/>
      <c r="AH60" s="68"/>
      <c r="AI60" s="68"/>
      <c r="AJ60" s="68"/>
      <c r="AK60" s="68"/>
      <c r="AL60" s="310"/>
    </row>
    <row r="61" spans="1:38" x14ac:dyDescent="0.2">
      <c r="A61" s="326"/>
      <c r="B61" s="327"/>
      <c r="C61" s="327"/>
      <c r="D61" s="327"/>
      <c r="E61" s="327"/>
      <c r="F61" s="327"/>
      <c r="G61" s="327"/>
      <c r="H61" s="327"/>
      <c r="I61" s="327"/>
      <c r="J61" s="327"/>
      <c r="K61" s="327"/>
      <c r="L61" s="327"/>
      <c r="M61" s="327"/>
      <c r="N61" s="327"/>
      <c r="O61" s="327"/>
      <c r="P61" s="327"/>
      <c r="Q61" s="327"/>
      <c r="R61" s="327"/>
      <c r="S61" s="328"/>
      <c r="T61" s="48"/>
      <c r="U61" s="68"/>
      <c r="V61" s="68"/>
      <c r="W61" s="68"/>
      <c r="X61" s="68"/>
      <c r="Y61" s="68"/>
      <c r="Z61" s="68"/>
      <c r="AA61" s="68"/>
      <c r="AB61" s="68"/>
      <c r="AC61" s="68"/>
      <c r="AD61" s="68"/>
      <c r="AE61" s="68"/>
      <c r="AF61" s="68"/>
      <c r="AG61" s="68"/>
      <c r="AH61" s="68"/>
      <c r="AI61" s="68"/>
      <c r="AJ61" s="68"/>
      <c r="AK61" s="68"/>
      <c r="AL61" s="310"/>
    </row>
    <row r="62" spans="1:38" x14ac:dyDescent="0.2">
      <c r="A62" s="326"/>
      <c r="B62" s="327"/>
      <c r="C62" s="327"/>
      <c r="D62" s="327"/>
      <c r="E62" s="327"/>
      <c r="F62" s="327"/>
      <c r="G62" s="327"/>
      <c r="H62" s="327"/>
      <c r="I62" s="327"/>
      <c r="J62" s="327"/>
      <c r="K62" s="327"/>
      <c r="L62" s="327"/>
      <c r="M62" s="327"/>
      <c r="N62" s="327"/>
      <c r="O62" s="327"/>
      <c r="P62" s="327"/>
      <c r="Q62" s="327"/>
      <c r="R62" s="327"/>
      <c r="S62" s="328"/>
      <c r="T62" s="48"/>
      <c r="U62" s="68"/>
      <c r="V62" s="68"/>
      <c r="W62" s="68"/>
      <c r="X62" s="68"/>
      <c r="Y62" s="68"/>
      <c r="Z62" s="68"/>
      <c r="AA62" s="68"/>
      <c r="AB62" s="68"/>
      <c r="AC62" s="68"/>
      <c r="AD62" s="68"/>
      <c r="AE62" s="68"/>
      <c r="AF62" s="68"/>
      <c r="AG62" s="68"/>
      <c r="AH62" s="68"/>
      <c r="AI62" s="68"/>
      <c r="AJ62" s="68"/>
      <c r="AK62" s="68"/>
      <c r="AL62" s="310"/>
    </row>
    <row r="63" spans="1:38" x14ac:dyDescent="0.2">
      <c r="A63" s="326"/>
      <c r="B63" s="327"/>
      <c r="C63" s="327"/>
      <c r="D63" s="327"/>
      <c r="E63" s="327"/>
      <c r="F63" s="327"/>
      <c r="G63" s="327"/>
      <c r="H63" s="327"/>
      <c r="I63" s="327"/>
      <c r="J63" s="327"/>
      <c r="K63" s="327"/>
      <c r="L63" s="327"/>
      <c r="M63" s="327"/>
      <c r="N63" s="327"/>
      <c r="O63" s="327"/>
      <c r="P63" s="327"/>
      <c r="Q63" s="327"/>
      <c r="R63" s="327"/>
      <c r="S63" s="328"/>
      <c r="T63" s="48"/>
      <c r="U63" s="68"/>
      <c r="V63" s="68"/>
      <c r="W63" s="68"/>
      <c r="X63" s="68"/>
      <c r="Y63" s="68"/>
      <c r="Z63" s="68"/>
      <c r="AA63" s="68"/>
      <c r="AB63" s="68"/>
      <c r="AC63" s="68"/>
      <c r="AD63" s="68"/>
      <c r="AE63" s="68"/>
      <c r="AF63" s="68"/>
      <c r="AG63" s="68"/>
      <c r="AH63" s="68"/>
      <c r="AI63" s="68"/>
      <c r="AJ63" s="68"/>
      <c r="AK63" s="68"/>
      <c r="AL63" s="310"/>
    </row>
  </sheetData>
  <sheetProtection password="E10F" sheet="1"/>
  <mergeCells count="21">
    <mergeCell ref="H23:I23"/>
    <mergeCell ref="H14:I14"/>
    <mergeCell ref="H18:I18"/>
    <mergeCell ref="H19:I19"/>
    <mergeCell ref="H20:I20"/>
    <mergeCell ref="H17:I17"/>
    <mergeCell ref="H22:I22"/>
    <mergeCell ref="H21:I21"/>
    <mergeCell ref="H15:I15"/>
    <mergeCell ref="H13:I13"/>
    <mergeCell ref="H16:I16"/>
    <mergeCell ref="A1:S1"/>
    <mergeCell ref="D3:J3"/>
    <mergeCell ref="O3:S3"/>
    <mergeCell ref="A5:S6"/>
    <mergeCell ref="H12:I12"/>
    <mergeCell ref="H11:I11"/>
    <mergeCell ref="H8:I8"/>
    <mergeCell ref="H9:I9"/>
    <mergeCell ref="H7:I7"/>
    <mergeCell ref="H10:I10"/>
  </mergeCells>
  <phoneticPr fontId="0" type="noConversion"/>
  <conditionalFormatting sqref="H8:I8">
    <cfRule type="expression" dxfId="104" priority="18" stopIfTrue="1">
      <formula>H7="other"</formula>
    </cfRule>
    <cfRule type="expression" dxfId="103" priority="19" stopIfTrue="1">
      <formula>AND(H7="aluminium",H8&lt;3.2)</formula>
    </cfRule>
    <cfRule type="expression" dxfId="102" priority="20" stopIfTrue="1">
      <formula>AND(H7="aluminium",H8&gt;=3.2)</formula>
    </cfRule>
    <cfRule type="expression" dxfId="101" priority="21" stopIfTrue="1">
      <formula>AND(H7="steel",H8&lt;1.25)</formula>
    </cfRule>
    <cfRule type="expression" dxfId="100" priority="22" stopIfTrue="1">
      <formula>AND(H7="steel",H8&gt;=1.25)</formula>
    </cfRule>
  </conditionalFormatting>
  <conditionalFormatting sqref="H11:I11">
    <cfRule type="expression" dxfId="99" priority="13" stopIfTrue="1">
      <formula>H10="other"</formula>
    </cfRule>
    <cfRule type="expression" dxfId="98" priority="14" stopIfTrue="1">
      <formula>AND(H10="aluminium",H11&lt;2.3)</formula>
    </cfRule>
    <cfRule type="expression" dxfId="97" priority="15" stopIfTrue="1">
      <formula>AND(H10="aluminium",H11&gt;=2.3)</formula>
    </cfRule>
    <cfRule type="expression" dxfId="96" priority="16" stopIfTrue="1">
      <formula>AND(H10="steel",H11&lt;0.9)</formula>
    </cfRule>
    <cfRule type="expression" dxfId="95" priority="17" stopIfTrue="1">
      <formula>AND(H10="steel",H11&gt;=0.9)</formula>
    </cfRule>
  </conditionalFormatting>
  <conditionalFormatting sqref="H14:I14">
    <cfRule type="expression" dxfId="94" priority="8" stopIfTrue="1">
      <formula>H13="other"</formula>
    </cfRule>
    <cfRule type="expression" dxfId="93" priority="9" stopIfTrue="1">
      <formula>AND(H13="aluminium",H14&lt;2.3)</formula>
    </cfRule>
    <cfRule type="expression" dxfId="92" priority="10" stopIfTrue="1">
      <formula>AND(H13="aluminium",H14&gt;=2.3)</formula>
    </cfRule>
    <cfRule type="expression" dxfId="91" priority="11" stopIfTrue="1">
      <formula>AND(H13="steel",H14&lt;0.9)</formula>
    </cfRule>
    <cfRule type="expression" dxfId="90" priority="12" stopIfTrue="1">
      <formula>AND(H13="steel",H14&gt;=0.9)</formula>
    </cfRule>
  </conditionalFormatting>
  <conditionalFormatting sqref="H17:I17">
    <cfRule type="expression" dxfId="89" priority="3" stopIfTrue="1">
      <formula>H16="other"</formula>
    </cfRule>
    <cfRule type="expression" dxfId="88" priority="4" stopIfTrue="1">
      <formula>AND(H16="aluminium",H17&lt;2.3)</formula>
    </cfRule>
    <cfRule type="expression" dxfId="87" priority="5" stopIfTrue="1">
      <formula>AND(H16="aluminium",H17&gt;=2.3)</formula>
    </cfRule>
    <cfRule type="expression" dxfId="86" priority="6" stopIfTrue="1">
      <formula>AND(H16="steel",H17&lt;0.9)</formula>
    </cfRule>
    <cfRule type="expression" dxfId="85" priority="7" stopIfTrue="1">
      <formula>AND(H16="steel",H17&gt;=0.9)</formula>
    </cfRule>
  </conditionalFormatting>
  <conditionalFormatting sqref="H15:I15">
    <cfRule type="expression" dxfId="84" priority="1" stopIfTrue="1">
      <formula>H15&gt;=0.75*H12</formula>
    </cfRule>
    <cfRule type="expression" dxfId="83" priority="2" stopIfTrue="1">
      <formula>H15&lt;0.75*H12</formula>
    </cfRule>
  </conditionalFormatting>
  <dataValidations count="2">
    <dataValidation type="list" allowBlank="1" showInputMessage="1" showErrorMessage="1" sqref="H13 H7 H10 H16" xr:uid="{00000000-0002-0000-1C00-000000000000}">
      <formula1>"Steel, Aluminium, Other"</formula1>
    </dataValidation>
    <dataValidation type="list" allowBlank="1" showInputMessage="1" showErrorMessage="1" sqref="H19:I23" xr:uid="{00000000-0002-0000-1C00-000001000000}">
      <formula1>"N/A,0-8,8-12"</formula1>
    </dataValidation>
  </dataValidations>
  <hyperlinks>
    <hyperlink ref="L14" location="'Cover Sheet'!A1" display="BACK to COVER SHEET" xr:uid="{00000000-0004-0000-1C00-000000000000}"/>
    <hyperlink ref="L14:N14" location="'Cover Sheet'!A1" display="BACK to COVER SHEET" xr:uid="{00000000-0004-0000-1C00-000001000000}"/>
    <hyperlink ref="L14:P14" location="'Cover Sheet'!A1" display="BACK to COVER SHEET" xr:uid="{00000000-0004-0000-1C00-000002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6"/>
  <dimension ref="A1:CQ186"/>
  <sheetViews>
    <sheetView showGridLines="0" zoomScale="60" zoomScaleNormal="60" zoomScaleSheetLayoutView="100" workbookViewId="0">
      <selection sqref="A1:S1"/>
    </sheetView>
  </sheetViews>
  <sheetFormatPr baseColWidth="10" defaultColWidth="9.140625" defaultRowHeight="12.75" x14ac:dyDescent="0.2"/>
  <cols>
    <col min="1" max="95" width="5" customWidth="1"/>
  </cols>
  <sheetData>
    <row r="1" spans="1:95" x14ac:dyDescent="0.2">
      <c r="A1" s="698" t="s">
        <v>573</v>
      </c>
      <c r="B1" s="699"/>
      <c r="C1" s="699"/>
      <c r="D1" s="699"/>
      <c r="E1" s="699"/>
      <c r="F1" s="699"/>
      <c r="G1" s="699"/>
      <c r="H1" s="699"/>
      <c r="I1" s="699"/>
      <c r="J1" s="699"/>
      <c r="K1" s="699"/>
      <c r="L1" s="699"/>
      <c r="M1" s="699"/>
      <c r="N1" s="699"/>
      <c r="O1" s="699"/>
      <c r="P1" s="699"/>
      <c r="Q1" s="699"/>
      <c r="R1" s="699"/>
      <c r="S1" s="700"/>
      <c r="T1" s="698" t="s">
        <v>574</v>
      </c>
      <c r="U1" s="699"/>
      <c r="V1" s="699"/>
      <c r="W1" s="699"/>
      <c r="X1" s="699"/>
      <c r="Y1" s="699"/>
      <c r="Z1" s="699"/>
      <c r="AA1" s="699"/>
      <c r="AB1" s="699"/>
      <c r="AC1" s="699"/>
      <c r="AD1" s="699"/>
      <c r="AE1" s="699"/>
      <c r="AF1" s="699"/>
      <c r="AG1" s="699"/>
      <c r="AH1" s="699"/>
      <c r="AI1" s="699"/>
      <c r="AJ1" s="699"/>
      <c r="AK1" s="699"/>
      <c r="AL1" s="700"/>
      <c r="AM1" s="698" t="s">
        <v>575</v>
      </c>
      <c r="AN1" s="699"/>
      <c r="AO1" s="699"/>
      <c r="AP1" s="699"/>
      <c r="AQ1" s="699"/>
      <c r="AR1" s="699"/>
      <c r="AS1" s="699"/>
      <c r="AT1" s="699"/>
      <c r="AU1" s="699"/>
      <c r="AV1" s="699"/>
      <c r="AW1" s="699"/>
      <c r="AX1" s="699"/>
      <c r="AY1" s="699"/>
      <c r="AZ1" s="699"/>
      <c r="BA1" s="699"/>
      <c r="BB1" s="699"/>
      <c r="BC1" s="699"/>
      <c r="BD1" s="699"/>
      <c r="BE1" s="700"/>
      <c r="BF1" s="698" t="s">
        <v>576</v>
      </c>
      <c r="BG1" s="699"/>
      <c r="BH1" s="699"/>
      <c r="BI1" s="699"/>
      <c r="BJ1" s="699"/>
      <c r="BK1" s="699"/>
      <c r="BL1" s="699"/>
      <c r="BM1" s="699"/>
      <c r="BN1" s="699"/>
      <c r="BO1" s="699"/>
      <c r="BP1" s="699"/>
      <c r="BQ1" s="699"/>
      <c r="BR1" s="699"/>
      <c r="BS1" s="699"/>
      <c r="BT1" s="699"/>
      <c r="BU1" s="699"/>
      <c r="BV1" s="699"/>
      <c r="BW1" s="699"/>
      <c r="BX1" s="700"/>
      <c r="BY1" s="698" t="s">
        <v>598</v>
      </c>
      <c r="BZ1" s="699"/>
      <c r="CA1" s="699"/>
      <c r="CB1" s="699"/>
      <c r="CC1" s="699"/>
      <c r="CD1" s="699"/>
      <c r="CE1" s="699"/>
      <c r="CF1" s="699"/>
      <c r="CG1" s="699"/>
      <c r="CH1" s="699"/>
      <c r="CI1" s="699"/>
      <c r="CJ1" s="699"/>
      <c r="CK1" s="699"/>
      <c r="CL1" s="699"/>
      <c r="CM1" s="699"/>
      <c r="CN1" s="699"/>
      <c r="CO1" s="699"/>
      <c r="CP1" s="699"/>
      <c r="CQ1" s="700"/>
    </row>
    <row r="2" spans="1:95"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8"/>
      <c r="AN2" s="1"/>
      <c r="AO2" s="1"/>
      <c r="AP2" s="1"/>
      <c r="AQ2" s="1"/>
      <c r="AR2" s="1"/>
      <c r="AS2" s="1"/>
      <c r="AT2" s="1"/>
      <c r="AU2" s="1"/>
      <c r="AV2" s="1"/>
      <c r="AW2" s="1"/>
      <c r="AX2" s="1"/>
      <c r="AY2" s="1"/>
      <c r="AZ2" s="1"/>
      <c r="BA2" s="1"/>
      <c r="BB2" s="1"/>
      <c r="BC2" s="1"/>
      <c r="BD2" s="1"/>
      <c r="BE2" s="20"/>
      <c r="BF2" s="8"/>
      <c r="BG2" s="1"/>
      <c r="BH2" s="1"/>
      <c r="BI2" s="1"/>
      <c r="BJ2" s="1"/>
      <c r="BK2" s="1"/>
      <c r="BL2" s="1"/>
      <c r="BM2" s="1"/>
      <c r="BN2" s="1"/>
      <c r="BO2" s="1"/>
      <c r="BP2" s="1"/>
      <c r="BQ2" s="1"/>
      <c r="BR2" s="1"/>
      <c r="BS2" s="1"/>
      <c r="BT2" s="1"/>
      <c r="BU2" s="1"/>
      <c r="BV2" s="1"/>
      <c r="BW2" s="1"/>
      <c r="BX2" s="20"/>
      <c r="BY2" s="8"/>
      <c r="BZ2" s="1"/>
      <c r="CA2" s="1"/>
      <c r="CB2" s="1"/>
      <c r="CC2" s="1"/>
      <c r="CD2" s="1"/>
      <c r="CE2" s="1"/>
      <c r="CF2" s="1"/>
      <c r="CG2" s="1"/>
      <c r="CH2" s="1"/>
      <c r="CI2" s="1"/>
      <c r="CJ2" s="1"/>
      <c r="CK2" s="1"/>
      <c r="CL2" s="1"/>
      <c r="CM2" s="1"/>
      <c r="CN2" s="1"/>
      <c r="CO2" s="1"/>
      <c r="CP2" s="1"/>
      <c r="CQ2" s="20"/>
    </row>
    <row r="3" spans="1:95" x14ac:dyDescent="0.2">
      <c r="A3" t="s">
        <v>47</v>
      </c>
      <c r="D3" s="701" t="str">
        <f>IF('Cover Sheet'!$D$14&gt;0,'Cover Sheet'!$D$14,"")</f>
        <v>EPSA</v>
      </c>
      <c r="E3" s="701"/>
      <c r="F3" s="701"/>
      <c r="G3" s="701"/>
      <c r="H3" s="701"/>
      <c r="I3" s="701"/>
      <c r="J3" s="701"/>
      <c r="K3" t="s">
        <v>48</v>
      </c>
      <c r="O3" s="701" t="str">
        <f>IF('Cover Sheet'!$O$14&gt;0,'Cover Sheet'!$O$14,"")</f>
        <v/>
      </c>
      <c r="P3" s="701"/>
      <c r="Q3" s="701"/>
      <c r="R3" s="701"/>
      <c r="S3" s="702"/>
      <c r="T3" t="s">
        <v>47</v>
      </c>
      <c r="W3" s="701" t="str">
        <f>IF('Cover Sheet'!$D$14&gt;0,'Cover Sheet'!$D$14,"")</f>
        <v>EPSA</v>
      </c>
      <c r="X3" s="701"/>
      <c r="Y3" s="701"/>
      <c r="Z3" s="701"/>
      <c r="AA3" s="701"/>
      <c r="AB3" s="701"/>
      <c r="AC3" s="701"/>
      <c r="AD3" t="s">
        <v>48</v>
      </c>
      <c r="AH3" s="701" t="str">
        <f>IF('Cover Sheet'!$O$14&gt;0,'Cover Sheet'!$O$14,"")</f>
        <v/>
      </c>
      <c r="AI3" s="701"/>
      <c r="AJ3" s="701"/>
      <c r="AK3" s="701"/>
      <c r="AL3" s="702"/>
      <c r="AM3" t="s">
        <v>47</v>
      </c>
      <c r="AP3" s="701" t="str">
        <f>IF('Cover Sheet'!$D$14&gt;0,'Cover Sheet'!$D$14,"")</f>
        <v>EPSA</v>
      </c>
      <c r="AQ3" s="701"/>
      <c r="AR3" s="701"/>
      <c r="AS3" s="701"/>
      <c r="AT3" s="701"/>
      <c r="AU3" s="701"/>
      <c r="AV3" s="701"/>
      <c r="AW3" t="s">
        <v>48</v>
      </c>
      <c r="BA3" s="701" t="str">
        <f>IF('Cover Sheet'!$O$14&gt;0,'Cover Sheet'!$O$14,"")</f>
        <v/>
      </c>
      <c r="BB3" s="701"/>
      <c r="BC3" s="701"/>
      <c r="BD3" s="701"/>
      <c r="BE3" s="702"/>
      <c r="BF3" t="s">
        <v>47</v>
      </c>
      <c r="BI3" s="701" t="str">
        <f>IF('Cover Sheet'!$D$14&gt;0,'Cover Sheet'!$D$14,"")</f>
        <v>EPSA</v>
      </c>
      <c r="BJ3" s="701"/>
      <c r="BK3" s="701"/>
      <c r="BL3" s="701"/>
      <c r="BM3" s="701"/>
      <c r="BN3" s="701"/>
      <c r="BO3" s="701"/>
      <c r="BP3" t="s">
        <v>48</v>
      </c>
      <c r="BT3" s="701" t="str">
        <f>IF('Cover Sheet'!$O$14&gt;0,'Cover Sheet'!$O$14,"")</f>
        <v/>
      </c>
      <c r="BU3" s="701"/>
      <c r="BV3" s="701"/>
      <c r="BW3" s="701"/>
      <c r="BX3" s="702"/>
      <c r="BY3" s="1" t="s">
        <v>47</v>
      </c>
      <c r="CB3" s="701" t="str">
        <f>IF('Cover Sheet'!$D$14&gt;0,'Cover Sheet'!$D$14,"")</f>
        <v>EPSA</v>
      </c>
      <c r="CC3" s="701"/>
      <c r="CD3" s="701"/>
      <c r="CE3" s="701"/>
      <c r="CF3" s="701"/>
      <c r="CG3" s="701"/>
      <c r="CH3" s="701"/>
      <c r="CI3" t="s">
        <v>48</v>
      </c>
      <c r="CM3" s="701" t="str">
        <f>IF('Cover Sheet'!$O$14&gt;0,'Cover Sheet'!$O$14,"")</f>
        <v/>
      </c>
      <c r="CN3" s="701"/>
      <c r="CO3" s="701"/>
      <c r="CP3" s="701"/>
      <c r="CQ3" s="702"/>
    </row>
    <row r="4" spans="1:95"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c r="AM4" s="8"/>
      <c r="AN4" s="1"/>
      <c r="AO4" s="1"/>
      <c r="AP4" s="1"/>
      <c r="AQ4" s="1"/>
      <c r="AR4" s="1"/>
      <c r="AS4" s="1"/>
      <c r="AT4" s="1"/>
      <c r="AU4" s="1"/>
      <c r="AV4" s="1"/>
      <c r="AW4" s="1"/>
      <c r="AX4" s="1"/>
      <c r="AY4" s="1"/>
      <c r="AZ4" s="1"/>
      <c r="BA4" s="1"/>
      <c r="BB4" s="1"/>
      <c r="BC4" s="1"/>
      <c r="BD4" s="1"/>
      <c r="BE4" s="20"/>
      <c r="BF4" s="8"/>
      <c r="BG4" s="1"/>
      <c r="BH4" s="1"/>
      <c r="BI4" s="1"/>
      <c r="BJ4" s="1"/>
      <c r="BK4" s="1"/>
      <c r="BL4" s="1"/>
      <c r="BM4" s="1"/>
      <c r="BN4" s="1"/>
      <c r="BO4" s="1"/>
      <c r="BP4" s="1"/>
      <c r="BQ4" s="1"/>
      <c r="BR4" s="1"/>
      <c r="BS4" s="1"/>
      <c r="BT4" s="1"/>
      <c r="BU4" s="1"/>
      <c r="BV4" s="1"/>
      <c r="BW4" s="1"/>
      <c r="BX4" s="20"/>
      <c r="BY4" s="8"/>
      <c r="BZ4" s="1"/>
      <c r="CA4" s="1"/>
      <c r="CB4" s="1"/>
      <c r="CC4" s="1"/>
      <c r="CD4" s="1"/>
      <c r="CE4" s="1"/>
      <c r="CF4" s="1"/>
      <c r="CG4" s="1"/>
      <c r="CH4" s="1"/>
      <c r="CI4" s="1"/>
      <c r="CJ4" s="1"/>
      <c r="CK4" s="1"/>
      <c r="CL4" s="1"/>
      <c r="CM4" s="1"/>
      <c r="CN4" s="1"/>
      <c r="CO4" s="1"/>
      <c r="CP4" s="1"/>
      <c r="CQ4" s="20"/>
    </row>
    <row r="5" spans="1:95" ht="12.75" customHeight="1" x14ac:dyDescent="0.2">
      <c r="A5" s="719"/>
      <c r="B5" s="720"/>
      <c r="C5" s="720"/>
      <c r="D5" s="720"/>
      <c r="E5" s="720"/>
      <c r="F5" s="720"/>
      <c r="G5" s="720"/>
      <c r="H5" s="720"/>
      <c r="I5" s="720"/>
      <c r="J5" s="720"/>
      <c r="K5" s="720"/>
      <c r="L5" s="720"/>
      <c r="M5" s="720"/>
      <c r="N5" s="720"/>
      <c r="O5" s="720"/>
      <c r="P5" s="720"/>
      <c r="Q5" s="720"/>
      <c r="R5" s="720"/>
      <c r="S5" s="721"/>
      <c r="T5" s="719"/>
      <c r="U5" s="720"/>
      <c r="V5" s="720"/>
      <c r="W5" s="720"/>
      <c r="X5" s="720"/>
      <c r="Y5" s="720"/>
      <c r="Z5" s="720"/>
      <c r="AA5" s="720"/>
      <c r="AB5" s="720"/>
      <c r="AC5" s="720"/>
      <c r="AD5" s="720"/>
      <c r="AE5" s="720"/>
      <c r="AF5" s="720"/>
      <c r="AG5" s="720"/>
      <c r="AH5" s="720"/>
      <c r="AI5" s="720"/>
      <c r="AJ5" s="720"/>
      <c r="AK5" s="720"/>
      <c r="AL5" s="721"/>
      <c r="AM5" s="719"/>
      <c r="AN5" s="720"/>
      <c r="AO5" s="720"/>
      <c r="AP5" s="720"/>
      <c r="AQ5" s="720"/>
      <c r="AR5" s="720"/>
      <c r="AS5" s="720"/>
      <c r="AT5" s="720"/>
      <c r="AU5" s="720"/>
      <c r="AV5" s="720"/>
      <c r="AW5" s="720"/>
      <c r="AX5" s="720"/>
      <c r="AY5" s="720"/>
      <c r="AZ5" s="720"/>
      <c r="BA5" s="720"/>
      <c r="BB5" s="720"/>
      <c r="BC5" s="720"/>
      <c r="BD5" s="720"/>
      <c r="BE5" s="721"/>
      <c r="BF5" s="719"/>
      <c r="BG5" s="720"/>
      <c r="BH5" s="720"/>
      <c r="BI5" s="720"/>
      <c r="BJ5" s="720"/>
      <c r="BK5" s="720"/>
      <c r="BL5" s="720"/>
      <c r="BM5" s="720"/>
      <c r="BN5" s="720"/>
      <c r="BO5" s="720"/>
      <c r="BP5" s="720"/>
      <c r="BQ5" s="720"/>
      <c r="BR5" s="720"/>
      <c r="BS5" s="720"/>
      <c r="BT5" s="720"/>
      <c r="BU5" s="720"/>
      <c r="BV5" s="720"/>
      <c r="BW5" s="720"/>
      <c r="BX5" s="721"/>
      <c r="BY5" s="24"/>
      <c r="BZ5" s="25"/>
      <c r="CA5" s="25"/>
      <c r="CB5" s="25"/>
      <c r="CC5" s="25"/>
      <c r="CD5" s="25"/>
      <c r="CE5" s="25"/>
      <c r="CF5" s="25"/>
      <c r="CG5" s="25"/>
      <c r="CH5" s="25"/>
      <c r="CI5" s="25"/>
      <c r="CJ5" s="25"/>
      <c r="CK5" s="25"/>
      <c r="CL5" s="25"/>
      <c r="CM5" s="25"/>
      <c r="CN5" s="25"/>
      <c r="CO5" s="25"/>
      <c r="CP5" s="25"/>
      <c r="CQ5" s="26"/>
    </row>
    <row r="6" spans="1:95" x14ac:dyDescent="0.2">
      <c r="A6" s="33"/>
      <c r="B6" s="33"/>
      <c r="C6" s="347"/>
      <c r="D6" s="33"/>
      <c r="E6" s="68"/>
      <c r="F6" s="68"/>
      <c r="G6" s="68"/>
      <c r="H6" s="68"/>
      <c r="I6" s="68"/>
      <c r="J6" s="68"/>
      <c r="K6" s="68"/>
      <c r="L6" s="68"/>
      <c r="M6" s="68"/>
      <c r="N6" s="68"/>
      <c r="O6" s="68"/>
      <c r="P6" s="68"/>
      <c r="Q6" s="68"/>
      <c r="R6" s="68"/>
      <c r="S6" s="310"/>
      <c r="T6" s="33"/>
      <c r="U6" s="33"/>
      <c r="V6" s="347"/>
      <c r="W6" s="33"/>
      <c r="X6" s="68"/>
      <c r="Y6" s="68"/>
      <c r="Z6" s="68"/>
      <c r="AA6" s="68"/>
      <c r="AB6" s="68"/>
      <c r="AC6" s="68"/>
      <c r="AD6" s="68"/>
      <c r="AE6" s="68"/>
      <c r="AF6" s="68"/>
      <c r="AG6" s="68"/>
      <c r="AH6" s="68"/>
      <c r="AI6" s="68"/>
      <c r="AJ6" s="68"/>
      <c r="AK6" s="68"/>
      <c r="AL6" s="310"/>
      <c r="AM6" s="33"/>
      <c r="AN6" s="33"/>
      <c r="AO6" s="347"/>
      <c r="AP6" s="33"/>
      <c r="AQ6" s="68"/>
      <c r="AR6" s="68"/>
      <c r="AS6" s="68"/>
      <c r="AT6" s="68"/>
      <c r="AU6" s="68"/>
      <c r="AV6" s="68"/>
      <c r="AW6" s="68"/>
      <c r="AX6" s="68"/>
      <c r="AY6" s="68"/>
      <c r="AZ6" s="68"/>
      <c r="BA6" s="68"/>
      <c r="BB6" s="68"/>
      <c r="BC6" s="68"/>
      <c r="BD6" s="68"/>
      <c r="BE6" s="310"/>
      <c r="BF6" s="33"/>
      <c r="BG6" s="33"/>
      <c r="BH6" s="347"/>
      <c r="BI6" s="33"/>
      <c r="BJ6" s="68"/>
      <c r="BK6" s="68"/>
      <c r="BL6" s="68"/>
      <c r="BM6" s="68"/>
      <c r="BN6" s="68"/>
      <c r="BO6" s="68"/>
      <c r="BP6" s="68"/>
      <c r="BQ6" s="68"/>
      <c r="BR6" s="68"/>
      <c r="BS6" s="68"/>
      <c r="BT6" s="68"/>
      <c r="BU6" s="68"/>
      <c r="BV6" s="68"/>
      <c r="BW6" s="68"/>
      <c r="BX6" s="310"/>
      <c r="BY6" s="30"/>
      <c r="BZ6" s="31"/>
      <c r="CA6" s="31"/>
      <c r="CB6" s="31"/>
      <c r="CC6" s="31"/>
      <c r="CD6" s="31"/>
      <c r="CE6" s="31"/>
      <c r="CF6" s="31"/>
      <c r="CG6" s="31"/>
      <c r="CH6" s="31"/>
      <c r="CI6" s="31"/>
      <c r="CJ6" s="31"/>
      <c r="CK6" s="31"/>
      <c r="CL6" s="31"/>
      <c r="CM6" s="31"/>
      <c r="CN6" s="31"/>
      <c r="CO6" s="31"/>
      <c r="CP6" s="31"/>
      <c r="CQ6" s="32"/>
    </row>
    <row r="7" spans="1:95" x14ac:dyDescent="0.2">
      <c r="A7" s="33"/>
      <c r="B7" s="319"/>
      <c r="C7" s="347"/>
      <c r="D7" s="33"/>
      <c r="E7" s="68"/>
      <c r="F7" s="68"/>
      <c r="G7" s="68"/>
      <c r="H7" s="68"/>
      <c r="I7" s="68"/>
      <c r="J7" s="68"/>
      <c r="K7" s="68"/>
      <c r="L7" s="68"/>
      <c r="M7" s="68"/>
      <c r="N7" s="68"/>
      <c r="O7" s="68"/>
      <c r="P7" s="68"/>
      <c r="Q7" s="68"/>
      <c r="R7" s="68"/>
      <c r="S7" s="310"/>
      <c r="T7" s="33"/>
      <c r="U7" s="319"/>
      <c r="V7" s="347"/>
      <c r="W7" s="33"/>
      <c r="X7" s="68"/>
      <c r="Y7" s="68"/>
      <c r="Z7" s="68"/>
      <c r="AA7" s="68"/>
      <c r="AB7" s="68"/>
      <c r="AC7" s="68"/>
      <c r="AD7" s="68"/>
      <c r="AE7" s="68"/>
      <c r="AF7" s="68"/>
      <c r="AG7" s="68"/>
      <c r="AH7" s="68"/>
      <c r="AI7" s="68"/>
      <c r="AJ7" s="68"/>
      <c r="AK7" s="68"/>
      <c r="AL7" s="310"/>
      <c r="AM7" s="33"/>
      <c r="AN7" s="319"/>
      <c r="AO7" s="347"/>
      <c r="AP7" s="33"/>
      <c r="AQ7" s="68"/>
      <c r="AR7" s="68"/>
      <c r="AS7" s="68"/>
      <c r="AT7" s="68"/>
      <c r="AU7" s="68"/>
      <c r="AV7" s="68"/>
      <c r="AW7" s="68"/>
      <c r="AX7" s="68"/>
      <c r="AY7" s="68"/>
      <c r="AZ7" s="68"/>
      <c r="BA7" s="68"/>
      <c r="BB7" s="68"/>
      <c r="BC7" s="68"/>
      <c r="BD7" s="68"/>
      <c r="BE7" s="310"/>
      <c r="BF7" s="33"/>
      <c r="BG7" s="319"/>
      <c r="BH7" s="347"/>
      <c r="BI7" s="33"/>
      <c r="BJ7" s="68"/>
      <c r="BK7" s="68"/>
      <c r="BL7" s="68"/>
      <c r="BM7" s="68"/>
      <c r="BN7" s="68"/>
      <c r="BO7" s="68"/>
      <c r="BP7" s="68"/>
      <c r="BQ7" s="68"/>
      <c r="BR7" s="68"/>
      <c r="BS7" s="68"/>
      <c r="BT7" s="68"/>
      <c r="BU7" s="68"/>
      <c r="BV7" s="68"/>
      <c r="BW7" s="68"/>
      <c r="BX7" s="310"/>
      <c r="BY7" s="30"/>
      <c r="BZ7" s="31"/>
      <c r="CA7" s="31"/>
      <c r="CB7" s="31"/>
      <c r="CC7" s="31"/>
      <c r="CD7" s="31"/>
      <c r="CE7" s="31"/>
      <c r="CF7" s="31"/>
      <c r="CG7" s="31"/>
      <c r="CH7" s="31"/>
      <c r="CI7" s="31"/>
      <c r="CJ7" s="31"/>
      <c r="CK7" s="31"/>
      <c r="CL7" s="31"/>
      <c r="CM7" s="31"/>
      <c r="CN7" s="31"/>
      <c r="CO7" s="31"/>
      <c r="CP7" s="31"/>
      <c r="CQ7" s="32"/>
    </row>
    <row r="8" spans="1:95" x14ac:dyDescent="0.2">
      <c r="A8" s="33"/>
      <c r="B8" s="319"/>
      <c r="C8" s="347"/>
      <c r="D8" s="33"/>
      <c r="E8" s="68"/>
      <c r="F8" s="68"/>
      <c r="G8" s="68"/>
      <c r="H8" s="68"/>
      <c r="I8" s="68"/>
      <c r="J8" s="68"/>
      <c r="K8" s="68"/>
      <c r="L8" s="68"/>
      <c r="M8" s="68"/>
      <c r="N8" s="68"/>
      <c r="O8" s="68"/>
      <c r="P8" s="68"/>
      <c r="Q8" s="68"/>
      <c r="R8" s="68"/>
      <c r="S8" s="310"/>
      <c r="T8" s="33"/>
      <c r="U8" s="319"/>
      <c r="V8" s="347"/>
      <c r="W8" s="33"/>
      <c r="X8" s="68"/>
      <c r="Y8" s="68"/>
      <c r="Z8" s="68"/>
      <c r="AA8" s="68"/>
      <c r="AB8" s="68"/>
      <c r="AC8" s="68"/>
      <c r="AD8" s="68"/>
      <c r="AE8" s="68"/>
      <c r="AF8" s="68"/>
      <c r="AG8" s="68"/>
      <c r="AH8" s="68"/>
      <c r="AI8" s="68"/>
      <c r="AJ8" s="68"/>
      <c r="AK8" s="68"/>
      <c r="AL8" s="310"/>
      <c r="AM8" s="33"/>
      <c r="AN8" s="319"/>
      <c r="AO8" s="347"/>
      <c r="AP8" s="33"/>
      <c r="AQ8" s="68"/>
      <c r="AR8" s="68"/>
      <c r="AS8" s="68"/>
      <c r="AT8" s="68"/>
      <c r="AU8" s="68"/>
      <c r="AV8" s="68"/>
      <c r="AW8" s="68"/>
      <c r="AX8" s="68"/>
      <c r="AY8" s="68"/>
      <c r="AZ8" s="68"/>
      <c r="BA8" s="68"/>
      <c r="BB8" s="68"/>
      <c r="BC8" s="68"/>
      <c r="BD8" s="68"/>
      <c r="BE8" s="310"/>
      <c r="BF8" s="33"/>
      <c r="BG8" s="319"/>
      <c r="BH8" s="347"/>
      <c r="BI8" s="33"/>
      <c r="BJ8" s="68"/>
      <c r="BK8" s="68"/>
      <c r="BL8" s="68"/>
      <c r="BM8" s="68"/>
      <c r="BN8" s="68"/>
      <c r="BO8" s="68"/>
      <c r="BP8" s="68"/>
      <c r="BQ8" s="68"/>
      <c r="BR8" s="68"/>
      <c r="BS8" s="68"/>
      <c r="BT8" s="68"/>
      <c r="BU8" s="68"/>
      <c r="BV8" s="68"/>
      <c r="BW8" s="68"/>
      <c r="BX8" s="310"/>
      <c r="BY8" s="30"/>
      <c r="BZ8" s="31"/>
      <c r="CA8" s="31"/>
      <c r="CB8" s="31"/>
      <c r="CC8" s="31"/>
      <c r="CD8" s="31"/>
      <c r="CE8" s="31"/>
      <c r="CF8" s="31"/>
      <c r="CG8" s="31"/>
      <c r="CH8" s="31"/>
      <c r="CI8" s="31"/>
      <c r="CJ8" s="31"/>
      <c r="CK8" s="31"/>
      <c r="CL8" s="31"/>
      <c r="CM8" s="31"/>
      <c r="CN8" s="31"/>
      <c r="CO8" s="31"/>
      <c r="CP8" s="31"/>
      <c r="CQ8" s="32"/>
    </row>
    <row r="9" spans="1:95" x14ac:dyDescent="0.2">
      <c r="A9" s="33"/>
      <c r="B9" s="319"/>
      <c r="C9" s="347"/>
      <c r="D9" s="33"/>
      <c r="E9" s="68"/>
      <c r="F9" s="68"/>
      <c r="G9" s="68"/>
      <c r="H9" s="68"/>
      <c r="I9" s="68"/>
      <c r="J9" s="68"/>
      <c r="K9" s="68"/>
      <c r="L9" s="68"/>
      <c r="M9" s="68"/>
      <c r="N9" s="68"/>
      <c r="O9" s="68"/>
      <c r="P9" s="68"/>
      <c r="Q9" s="68"/>
      <c r="R9" s="68"/>
      <c r="S9" s="310"/>
      <c r="T9" s="33"/>
      <c r="U9" s="319"/>
      <c r="V9" s="347"/>
      <c r="W9" s="33"/>
      <c r="X9" s="68"/>
      <c r="Y9" s="68"/>
      <c r="Z9" s="68"/>
      <c r="AA9" s="68"/>
      <c r="AB9" s="68"/>
      <c r="AC9" s="68"/>
      <c r="AD9" s="68"/>
      <c r="AE9" s="68"/>
      <c r="AF9" s="68"/>
      <c r="AG9" s="68"/>
      <c r="AH9" s="68"/>
      <c r="AI9" s="68"/>
      <c r="AJ9" s="68"/>
      <c r="AK9" s="68"/>
      <c r="AL9" s="310"/>
      <c r="AM9" s="33"/>
      <c r="AN9" s="319"/>
      <c r="AO9" s="347"/>
      <c r="AP9" s="33"/>
      <c r="AQ9" s="68"/>
      <c r="AR9" s="68"/>
      <c r="AS9" s="68"/>
      <c r="AT9" s="68"/>
      <c r="AU9" s="68"/>
      <c r="AV9" s="68"/>
      <c r="AW9" s="68"/>
      <c r="AX9" s="68"/>
      <c r="AY9" s="68"/>
      <c r="AZ9" s="68"/>
      <c r="BA9" s="68"/>
      <c r="BB9" s="68"/>
      <c r="BC9" s="68"/>
      <c r="BD9" s="68"/>
      <c r="BE9" s="310"/>
      <c r="BF9" s="33"/>
      <c r="BG9" s="319"/>
      <c r="BH9" s="347"/>
      <c r="BI9" s="33"/>
      <c r="BJ9" s="68"/>
      <c r="BK9" s="68"/>
      <c r="BL9" s="68"/>
      <c r="BM9" s="68"/>
      <c r="BN9" s="68"/>
      <c r="BO9" s="68"/>
      <c r="BP9" s="68"/>
      <c r="BQ9" s="68"/>
      <c r="BR9" s="68"/>
      <c r="BS9" s="68"/>
      <c r="BT9" s="68"/>
      <c r="BU9" s="68"/>
      <c r="BV9" s="68"/>
      <c r="BW9" s="68"/>
      <c r="BX9" s="310"/>
      <c r="BY9" s="30"/>
      <c r="BZ9" s="31"/>
      <c r="CA9" s="31"/>
      <c r="CB9" s="31"/>
      <c r="CC9" s="31"/>
      <c r="CD9" s="31"/>
      <c r="CE9" s="31"/>
      <c r="CF9" s="31"/>
      <c r="CG9" s="31"/>
      <c r="CH9" s="31"/>
      <c r="CI9" s="31"/>
      <c r="CJ9" s="31"/>
      <c r="CK9" s="31"/>
      <c r="CL9" s="31"/>
      <c r="CM9" s="31"/>
      <c r="CN9" s="31"/>
      <c r="CO9" s="31"/>
      <c r="CP9" s="31"/>
      <c r="CQ9" s="32"/>
    </row>
    <row r="10" spans="1:95" x14ac:dyDescent="0.2">
      <c r="A10" s="33"/>
      <c r="B10" s="261"/>
      <c r="C10" s="68"/>
      <c r="D10" s="68"/>
      <c r="E10" s="68"/>
      <c r="F10" s="68"/>
      <c r="G10" s="68"/>
      <c r="H10" s="68"/>
      <c r="I10" s="68"/>
      <c r="J10" s="68"/>
      <c r="K10" s="68"/>
      <c r="L10" s="68"/>
      <c r="M10" s="68"/>
      <c r="N10" s="68"/>
      <c r="O10" s="68"/>
      <c r="P10" s="68"/>
      <c r="Q10" s="68"/>
      <c r="R10" s="68"/>
      <c r="S10" s="310"/>
      <c r="T10" s="33"/>
      <c r="U10" s="261"/>
      <c r="V10" s="68"/>
      <c r="W10" s="68"/>
      <c r="X10" s="68"/>
      <c r="Y10" s="68"/>
      <c r="Z10" s="68"/>
      <c r="AA10" s="68"/>
      <c r="AB10" s="68"/>
      <c r="AC10" s="68"/>
      <c r="AD10" s="68"/>
      <c r="AE10" s="68"/>
      <c r="AF10" s="68"/>
      <c r="AG10" s="68"/>
      <c r="AH10" s="68"/>
      <c r="AI10" s="68"/>
      <c r="AJ10" s="68"/>
      <c r="AK10" s="68"/>
      <c r="AL10" s="310"/>
      <c r="AM10" s="33"/>
      <c r="AN10" s="261"/>
      <c r="AO10" s="68"/>
      <c r="AP10" s="68"/>
      <c r="AQ10" s="68"/>
      <c r="AR10" s="68"/>
      <c r="AS10" s="68"/>
      <c r="AT10" s="68"/>
      <c r="AU10" s="68"/>
      <c r="AV10" s="68"/>
      <c r="AW10" s="68"/>
      <c r="AX10" s="68"/>
      <c r="AY10" s="68"/>
      <c r="AZ10" s="68"/>
      <c r="BA10" s="68"/>
      <c r="BB10" s="68"/>
      <c r="BC10" s="68"/>
      <c r="BD10" s="68"/>
      <c r="BE10" s="310"/>
      <c r="BF10" s="33"/>
      <c r="BG10" s="261"/>
      <c r="BH10" s="68"/>
      <c r="BI10" s="68"/>
      <c r="BJ10" s="68"/>
      <c r="BK10" s="68"/>
      <c r="BL10" s="68"/>
      <c r="BM10" s="68"/>
      <c r="BN10" s="68"/>
      <c r="BO10" s="68"/>
      <c r="BP10" s="68"/>
      <c r="BQ10" s="68"/>
      <c r="BR10" s="68"/>
      <c r="BS10" s="68"/>
      <c r="BT10" s="68"/>
      <c r="BU10" s="68"/>
      <c r="BV10" s="68"/>
      <c r="BW10" s="68"/>
      <c r="BX10" s="310"/>
      <c r="BY10" s="30"/>
      <c r="BZ10" s="31"/>
      <c r="CA10" s="31"/>
      <c r="CB10" s="31"/>
      <c r="CC10" s="31"/>
      <c r="CD10" s="31"/>
      <c r="CE10" s="31"/>
      <c r="CF10" s="31"/>
      <c r="CG10" s="31"/>
      <c r="CH10" s="31"/>
      <c r="CI10" s="31"/>
      <c r="CJ10" s="31"/>
      <c r="CK10" s="31"/>
      <c r="CL10" s="31"/>
      <c r="CM10" s="31"/>
      <c r="CN10" s="31"/>
      <c r="CO10" s="31"/>
      <c r="CP10" s="31"/>
      <c r="CQ10" s="32"/>
    </row>
    <row r="11" spans="1:95" x14ac:dyDescent="0.2">
      <c r="A11" s="48"/>
      <c r="B11" s="68"/>
      <c r="C11" s="68"/>
      <c r="D11" s="68"/>
      <c r="E11" s="68"/>
      <c r="F11" s="68"/>
      <c r="G11" s="33" t="s">
        <v>101</v>
      </c>
      <c r="H11" s="68"/>
      <c r="I11" s="68"/>
      <c r="J11" s="68"/>
      <c r="K11" s="68"/>
      <c r="L11" s="68"/>
      <c r="M11" s="68"/>
      <c r="N11" s="68"/>
      <c r="O11" s="68"/>
      <c r="P11" s="68"/>
      <c r="Q11" s="68"/>
      <c r="R11" s="68"/>
      <c r="S11" s="310"/>
      <c r="T11" s="48"/>
      <c r="U11" s="68"/>
      <c r="V11" s="68"/>
      <c r="W11" s="68"/>
      <c r="X11" s="68"/>
      <c r="Y11" s="68"/>
      <c r="Z11" s="33" t="s">
        <v>101</v>
      </c>
      <c r="AA11" s="68"/>
      <c r="AB11" s="68"/>
      <c r="AC11" s="68"/>
      <c r="AD11" s="68"/>
      <c r="AE11" s="68"/>
      <c r="AF11" s="68"/>
      <c r="AG11" s="68"/>
      <c r="AH11" s="68"/>
      <c r="AI11" s="68"/>
      <c r="AJ11" s="68"/>
      <c r="AK11" s="68"/>
      <c r="AL11" s="310"/>
      <c r="AM11" s="48"/>
      <c r="AN11" s="68"/>
      <c r="AO11" s="68"/>
      <c r="AP11" s="68"/>
      <c r="AQ11" s="68"/>
      <c r="AR11" s="68"/>
      <c r="AS11" s="33" t="s">
        <v>101</v>
      </c>
      <c r="AT11" s="68"/>
      <c r="AU11" s="68"/>
      <c r="AV11" s="68"/>
      <c r="AW11" s="68"/>
      <c r="AX11" s="68"/>
      <c r="AY11" s="68"/>
      <c r="AZ11" s="68"/>
      <c r="BA11" s="68"/>
      <c r="BB11" s="68"/>
      <c r="BC11" s="68"/>
      <c r="BD11" s="68"/>
      <c r="BE11" s="310"/>
      <c r="BF11" s="48"/>
      <c r="BG11" s="68"/>
      <c r="BH11" s="68"/>
      <c r="BI11" s="68"/>
      <c r="BJ11" s="68"/>
      <c r="BK11" s="68"/>
      <c r="BL11" s="33" t="s">
        <v>101</v>
      </c>
      <c r="BM11" s="68"/>
      <c r="BN11" s="68"/>
      <c r="BO11" s="68"/>
      <c r="BP11" s="68"/>
      <c r="BQ11" s="68"/>
      <c r="BR11" s="68"/>
      <c r="BS11" s="68"/>
      <c r="BT11" s="68"/>
      <c r="BU11" s="68"/>
      <c r="BV11" s="68"/>
      <c r="BW11" s="68"/>
      <c r="BX11" s="310"/>
      <c r="BY11" s="30"/>
      <c r="BZ11" s="31"/>
      <c r="CA11" s="31"/>
      <c r="CB11" s="31"/>
      <c r="CC11" s="33"/>
      <c r="CD11" s="31"/>
      <c r="CE11" s="33" t="s">
        <v>101</v>
      </c>
      <c r="CF11" s="31"/>
      <c r="CG11" s="31"/>
      <c r="CH11" s="31"/>
      <c r="CI11" s="31"/>
      <c r="CJ11" s="31"/>
      <c r="CK11" s="31"/>
      <c r="CL11" s="31"/>
      <c r="CM11" s="31"/>
      <c r="CN11" s="31"/>
      <c r="CO11" s="31"/>
      <c r="CP11" s="31"/>
      <c r="CQ11" s="32"/>
    </row>
    <row r="12" spans="1:95" x14ac:dyDescent="0.2">
      <c r="A12" s="48"/>
      <c r="B12" s="68"/>
      <c r="C12" s="68"/>
      <c r="D12" s="68"/>
      <c r="E12" s="68"/>
      <c r="F12" s="68"/>
      <c r="G12" s="68"/>
      <c r="H12" s="68"/>
      <c r="I12" s="68"/>
      <c r="J12" s="68"/>
      <c r="K12" s="68"/>
      <c r="L12" s="68"/>
      <c r="M12" s="68"/>
      <c r="N12" s="68"/>
      <c r="O12" s="68"/>
      <c r="P12" s="68"/>
      <c r="Q12" s="68"/>
      <c r="R12" s="68"/>
      <c r="S12" s="310"/>
      <c r="T12" s="48"/>
      <c r="U12" s="68"/>
      <c r="V12" s="68"/>
      <c r="W12" s="68"/>
      <c r="X12" s="68"/>
      <c r="Y12" s="68"/>
      <c r="Z12" s="68"/>
      <c r="AA12" s="68"/>
      <c r="AB12" s="68"/>
      <c r="AC12" s="68"/>
      <c r="AD12" s="68"/>
      <c r="AE12" s="68"/>
      <c r="AF12" s="68"/>
      <c r="AG12" s="68"/>
      <c r="AH12" s="68"/>
      <c r="AI12" s="68"/>
      <c r="AJ12" s="68"/>
      <c r="AK12" s="68"/>
      <c r="AL12" s="310"/>
      <c r="AM12" s="48"/>
      <c r="AN12" s="68"/>
      <c r="AO12" s="68"/>
      <c r="AP12" s="68"/>
      <c r="AQ12" s="68"/>
      <c r="AR12" s="68"/>
      <c r="AS12" s="68"/>
      <c r="AT12" s="68"/>
      <c r="AU12" s="68"/>
      <c r="AV12" s="68"/>
      <c r="AW12" s="68"/>
      <c r="AX12" s="68"/>
      <c r="AY12" s="68"/>
      <c r="AZ12" s="68"/>
      <c r="BA12" s="68"/>
      <c r="BB12" s="68"/>
      <c r="BC12" s="68"/>
      <c r="BD12" s="68"/>
      <c r="BE12" s="310"/>
      <c r="BF12" s="48"/>
      <c r="BG12" s="68"/>
      <c r="BH12" s="68"/>
      <c r="BI12" s="68"/>
      <c r="BJ12" s="68"/>
      <c r="BK12" s="68"/>
      <c r="BL12" s="68"/>
      <c r="BM12" s="68"/>
      <c r="BN12" s="68"/>
      <c r="BO12" s="68"/>
      <c r="BP12" s="68"/>
      <c r="BQ12" s="68"/>
      <c r="BR12" s="68"/>
      <c r="BS12" s="68"/>
      <c r="BT12" s="68"/>
      <c r="BU12" s="68"/>
      <c r="BV12" s="68"/>
      <c r="BW12" s="68"/>
      <c r="BX12" s="310"/>
      <c r="BY12" s="30"/>
      <c r="BZ12" s="31"/>
      <c r="CA12" s="31"/>
      <c r="CB12" s="31"/>
      <c r="CC12" s="31"/>
      <c r="CD12" s="31"/>
      <c r="CE12" s="31"/>
      <c r="CF12" s="31"/>
      <c r="CG12" s="31"/>
      <c r="CH12" s="31"/>
      <c r="CI12" s="31"/>
      <c r="CJ12" s="31"/>
      <c r="CK12" s="31"/>
      <c r="CL12" s="31"/>
      <c r="CM12" s="31"/>
      <c r="CN12" s="31"/>
      <c r="CO12" s="31"/>
      <c r="CP12" s="31"/>
      <c r="CQ12" s="32"/>
    </row>
    <row r="13" spans="1:95" x14ac:dyDescent="0.2">
      <c r="A13" s="48"/>
      <c r="B13" s="68"/>
      <c r="C13" s="68"/>
      <c r="D13" s="68"/>
      <c r="E13" s="68"/>
      <c r="F13" s="68"/>
      <c r="G13" s="33" t="s">
        <v>282</v>
      </c>
      <c r="H13" s="68"/>
      <c r="I13" s="68"/>
      <c r="J13" s="68"/>
      <c r="K13" s="68"/>
      <c r="L13" s="68"/>
      <c r="M13" s="68"/>
      <c r="N13" s="68"/>
      <c r="O13" s="68"/>
      <c r="P13" s="68"/>
      <c r="Q13" s="68"/>
      <c r="R13" s="68"/>
      <c r="S13" s="310"/>
      <c r="T13" s="48"/>
      <c r="U13" s="68"/>
      <c r="V13" s="68"/>
      <c r="W13" s="68"/>
      <c r="X13" s="68"/>
      <c r="Y13" s="68"/>
      <c r="Z13" s="33" t="s">
        <v>282</v>
      </c>
      <c r="AA13" s="68"/>
      <c r="AB13" s="68"/>
      <c r="AC13" s="68"/>
      <c r="AD13" s="68"/>
      <c r="AE13" s="68"/>
      <c r="AF13" s="68"/>
      <c r="AG13" s="68"/>
      <c r="AH13" s="68"/>
      <c r="AI13" s="68"/>
      <c r="AJ13" s="68"/>
      <c r="AK13" s="68"/>
      <c r="AL13" s="310"/>
      <c r="AM13" s="48"/>
      <c r="AN13" s="68"/>
      <c r="AO13" s="68"/>
      <c r="AP13" s="68"/>
      <c r="AQ13" s="68"/>
      <c r="AR13" s="68"/>
      <c r="AS13" s="33" t="s">
        <v>282</v>
      </c>
      <c r="AT13" s="68"/>
      <c r="AU13" s="68"/>
      <c r="AV13" s="68"/>
      <c r="AW13" s="68"/>
      <c r="AX13" s="68"/>
      <c r="AY13" s="68"/>
      <c r="AZ13" s="68"/>
      <c r="BA13" s="68"/>
      <c r="BB13" s="68"/>
      <c r="BC13" s="68"/>
      <c r="BD13" s="68"/>
      <c r="BE13" s="310"/>
      <c r="BF13" s="48"/>
      <c r="BG13" s="68"/>
      <c r="BH13" s="68"/>
      <c r="BI13" s="68"/>
      <c r="BJ13" s="68"/>
      <c r="BK13" s="68"/>
      <c r="BL13" s="33" t="s">
        <v>282</v>
      </c>
      <c r="BM13" s="68"/>
      <c r="BN13" s="68"/>
      <c r="BO13" s="68"/>
      <c r="BP13" s="68"/>
      <c r="BQ13" s="68"/>
      <c r="BR13" s="68"/>
      <c r="BS13" s="68"/>
      <c r="BT13" s="68"/>
      <c r="BU13" s="68"/>
      <c r="BV13" s="68"/>
      <c r="BW13" s="68"/>
      <c r="BX13" s="310"/>
      <c r="BY13" s="30"/>
      <c r="BZ13" s="31"/>
      <c r="CA13" s="31"/>
      <c r="CB13" s="31"/>
      <c r="CC13" s="31"/>
      <c r="CD13" s="31"/>
      <c r="CE13" s="33" t="s">
        <v>282</v>
      </c>
      <c r="CF13" s="31"/>
      <c r="CG13" s="31"/>
      <c r="CH13" s="31"/>
      <c r="CI13" s="31"/>
      <c r="CJ13" s="31"/>
      <c r="CK13" s="31"/>
      <c r="CL13" s="31"/>
      <c r="CM13" s="31"/>
      <c r="CN13" s="31"/>
      <c r="CO13" s="31"/>
      <c r="CP13" s="31"/>
      <c r="CQ13" s="32"/>
    </row>
    <row r="14" spans="1:95" x14ac:dyDescent="0.2">
      <c r="A14" s="48"/>
      <c r="B14" s="68"/>
      <c r="C14" s="68"/>
      <c r="D14" s="68"/>
      <c r="E14" s="68"/>
      <c r="F14" s="68"/>
      <c r="G14" s="33"/>
      <c r="H14" s="68"/>
      <c r="I14" s="68"/>
      <c r="J14" s="68"/>
      <c r="K14" s="68"/>
      <c r="L14" s="68"/>
      <c r="M14" s="68"/>
      <c r="N14" s="68"/>
      <c r="O14" s="68"/>
      <c r="P14" s="68"/>
      <c r="Q14" s="68"/>
      <c r="R14" s="68"/>
      <c r="S14" s="310"/>
      <c r="T14" s="48"/>
      <c r="U14" s="68"/>
      <c r="V14" s="68"/>
      <c r="W14" s="68"/>
      <c r="X14" s="68"/>
      <c r="Y14" s="68"/>
      <c r="Z14" s="33"/>
      <c r="AA14" s="68"/>
      <c r="AB14" s="68"/>
      <c r="AC14" s="68"/>
      <c r="AD14" s="68"/>
      <c r="AE14" s="68"/>
      <c r="AF14" s="68"/>
      <c r="AG14" s="68"/>
      <c r="AH14" s="68"/>
      <c r="AI14" s="68"/>
      <c r="AJ14" s="68"/>
      <c r="AK14" s="68"/>
      <c r="AL14" s="310"/>
      <c r="AM14" s="48"/>
      <c r="AN14" s="68"/>
      <c r="AO14" s="68"/>
      <c r="AP14" s="68"/>
      <c r="AQ14" s="68"/>
      <c r="AR14" s="68"/>
      <c r="AS14" s="33"/>
      <c r="AT14" s="68"/>
      <c r="AU14" s="68"/>
      <c r="AV14" s="68"/>
      <c r="AW14" s="68"/>
      <c r="AX14" s="68"/>
      <c r="AY14" s="68"/>
      <c r="AZ14" s="68"/>
      <c r="BA14" s="68"/>
      <c r="BB14" s="68"/>
      <c r="BC14" s="68"/>
      <c r="BD14" s="68"/>
      <c r="BE14" s="310"/>
      <c r="BF14" s="48"/>
      <c r="BG14" s="68"/>
      <c r="BH14" s="68"/>
      <c r="BI14" s="68"/>
      <c r="BJ14" s="68"/>
      <c r="BK14" s="68"/>
      <c r="BL14" s="33"/>
      <c r="BM14" s="68"/>
      <c r="BN14" s="68"/>
      <c r="BO14" s="68"/>
      <c r="BP14" s="68"/>
      <c r="BQ14" s="68"/>
      <c r="BR14" s="68"/>
      <c r="BS14" s="68"/>
      <c r="BT14" s="68"/>
      <c r="BU14" s="68"/>
      <c r="BV14" s="68"/>
      <c r="BW14" s="68"/>
      <c r="BX14" s="310"/>
      <c r="BY14" s="30"/>
      <c r="BZ14" s="31"/>
      <c r="CA14" s="31"/>
      <c r="CB14" s="31"/>
      <c r="CC14" s="31"/>
      <c r="CD14" s="31"/>
      <c r="CE14" s="31"/>
      <c r="CF14" s="31"/>
      <c r="CG14" s="31"/>
      <c r="CH14" s="31"/>
      <c r="CI14" s="31"/>
      <c r="CJ14" s="31"/>
      <c r="CK14" s="31"/>
      <c r="CL14" s="31"/>
      <c r="CM14" s="31"/>
      <c r="CN14" s="31"/>
      <c r="CO14" s="31"/>
      <c r="CP14" s="31"/>
      <c r="CQ14" s="32"/>
    </row>
    <row r="15" spans="1:95" x14ac:dyDescent="0.2">
      <c r="A15" s="48"/>
      <c r="B15" s="68"/>
      <c r="C15" s="68"/>
      <c r="D15" s="68"/>
      <c r="E15" s="68"/>
      <c r="F15" s="68"/>
      <c r="G15" s="68"/>
      <c r="H15" s="68"/>
      <c r="I15" s="68"/>
      <c r="J15" s="68"/>
      <c r="K15" s="68"/>
      <c r="L15" s="68"/>
      <c r="M15" s="68"/>
      <c r="N15" s="68"/>
      <c r="O15" s="68"/>
      <c r="P15" s="68"/>
      <c r="Q15" s="68"/>
      <c r="R15" s="68"/>
      <c r="S15" s="310"/>
      <c r="T15" s="48"/>
      <c r="U15" s="68"/>
      <c r="V15" s="68"/>
      <c r="W15" s="68"/>
      <c r="X15" s="68"/>
      <c r="Y15" s="68"/>
      <c r="Z15" s="68"/>
      <c r="AA15" s="68"/>
      <c r="AB15" s="68"/>
      <c r="AC15" s="68"/>
      <c r="AD15" s="68"/>
      <c r="AE15" s="68"/>
      <c r="AF15" s="68"/>
      <c r="AG15" s="68"/>
      <c r="AH15" s="68"/>
      <c r="AI15" s="68"/>
      <c r="AJ15" s="68"/>
      <c r="AK15" s="68"/>
      <c r="AL15" s="310"/>
      <c r="AM15" s="48"/>
      <c r="AN15" s="68"/>
      <c r="AO15" s="68"/>
      <c r="AP15" s="68"/>
      <c r="AQ15" s="68"/>
      <c r="AR15" s="68"/>
      <c r="AS15" s="68"/>
      <c r="AT15" s="68"/>
      <c r="AU15" s="68"/>
      <c r="AV15" s="68"/>
      <c r="AW15" s="68"/>
      <c r="AX15" s="68"/>
      <c r="AY15" s="68"/>
      <c r="AZ15" s="68"/>
      <c r="BA15" s="68"/>
      <c r="BB15" s="68"/>
      <c r="BC15" s="68"/>
      <c r="BD15" s="68"/>
      <c r="BE15" s="310"/>
      <c r="BF15" s="48"/>
      <c r="BG15" s="68"/>
      <c r="BH15" s="68"/>
      <c r="BI15" s="68"/>
      <c r="BJ15" s="68"/>
      <c r="BK15" s="68"/>
      <c r="BL15" s="68"/>
      <c r="BM15" s="68"/>
      <c r="BN15" s="68"/>
      <c r="BO15" s="68"/>
      <c r="BP15" s="68"/>
      <c r="BQ15" s="68"/>
      <c r="BR15" s="68"/>
      <c r="BS15" s="68"/>
      <c r="BT15" s="68"/>
      <c r="BU15" s="68"/>
      <c r="BV15" s="68"/>
      <c r="BW15" s="68"/>
      <c r="BX15" s="310"/>
      <c r="BY15" s="30"/>
      <c r="BZ15" s="31"/>
      <c r="CA15" s="31"/>
      <c r="CB15" s="31"/>
      <c r="CC15" s="31"/>
      <c r="CD15" s="31"/>
      <c r="CE15" s="31"/>
      <c r="CF15" s="31"/>
      <c r="CG15" s="31"/>
      <c r="CH15" s="31"/>
      <c r="CI15" s="31"/>
      <c r="CJ15" s="31"/>
      <c r="CK15" s="31"/>
      <c r="CL15" s="31"/>
      <c r="CM15" s="31"/>
      <c r="CN15" s="31"/>
      <c r="CO15" s="31"/>
      <c r="CP15" s="31"/>
      <c r="CQ15" s="32"/>
    </row>
    <row r="16" spans="1:95" x14ac:dyDescent="0.2">
      <c r="A16" s="48"/>
      <c r="B16" s="68"/>
      <c r="C16" s="68"/>
      <c r="D16" s="68"/>
      <c r="E16" s="68"/>
      <c r="F16" s="68"/>
      <c r="G16" s="68"/>
      <c r="H16" s="68"/>
      <c r="I16" s="68"/>
      <c r="J16" s="68"/>
      <c r="K16" s="68"/>
      <c r="L16" s="68"/>
      <c r="M16" s="68"/>
      <c r="N16" s="68"/>
      <c r="O16" s="68"/>
      <c r="P16" s="68"/>
      <c r="Q16" s="68"/>
      <c r="R16" s="68"/>
      <c r="S16" s="310"/>
      <c r="T16" s="48"/>
      <c r="U16" s="68"/>
      <c r="V16" s="68"/>
      <c r="W16" s="68"/>
      <c r="X16" s="68"/>
      <c r="Y16" s="68"/>
      <c r="Z16" s="68"/>
      <c r="AA16" s="68"/>
      <c r="AB16" s="68"/>
      <c r="AC16" s="68"/>
      <c r="AD16" s="68"/>
      <c r="AE16" s="68"/>
      <c r="AF16" s="68"/>
      <c r="AG16" s="68"/>
      <c r="AH16" s="68"/>
      <c r="AI16" s="68"/>
      <c r="AJ16" s="68"/>
      <c r="AK16" s="68"/>
      <c r="AL16" s="310"/>
      <c r="AM16" s="48"/>
      <c r="AN16" s="68"/>
      <c r="AO16" s="68"/>
      <c r="AP16" s="68"/>
      <c r="AQ16" s="68"/>
      <c r="AR16" s="68"/>
      <c r="AS16" s="68"/>
      <c r="AT16" s="68"/>
      <c r="AU16" s="68"/>
      <c r="AV16" s="68"/>
      <c r="AW16" s="68"/>
      <c r="AX16" s="68"/>
      <c r="AY16" s="68"/>
      <c r="AZ16" s="68"/>
      <c r="BA16" s="68"/>
      <c r="BB16" s="68"/>
      <c r="BC16" s="68"/>
      <c r="BD16" s="68"/>
      <c r="BE16" s="310"/>
      <c r="BF16" s="48"/>
      <c r="BG16" s="68"/>
      <c r="BH16" s="68"/>
      <c r="BI16" s="68"/>
      <c r="BJ16" s="68"/>
      <c r="BK16" s="68"/>
      <c r="BL16" s="68"/>
      <c r="BM16" s="68"/>
      <c r="BN16" s="68"/>
      <c r="BO16" s="68"/>
      <c r="BP16" s="68"/>
      <c r="BQ16" s="68"/>
      <c r="BR16" s="68"/>
      <c r="BS16" s="68"/>
      <c r="BT16" s="68"/>
      <c r="BU16" s="68"/>
      <c r="BV16" s="68"/>
      <c r="BW16" s="68"/>
      <c r="BX16" s="310"/>
      <c r="BY16" s="30"/>
      <c r="BZ16" s="31"/>
      <c r="CA16" s="31"/>
      <c r="CB16" s="31"/>
      <c r="CC16" s="31"/>
      <c r="CD16" s="31"/>
      <c r="CE16" s="31"/>
      <c r="CF16" s="31"/>
      <c r="CG16" s="31"/>
      <c r="CH16" s="31"/>
      <c r="CI16" s="31"/>
      <c r="CJ16" s="31"/>
      <c r="CK16" s="31"/>
      <c r="CL16" s="31"/>
      <c r="CM16" s="31"/>
      <c r="CN16" s="31"/>
      <c r="CO16" s="31"/>
      <c r="CP16" s="31"/>
      <c r="CQ16" s="32"/>
    </row>
    <row r="17" spans="1:95" x14ac:dyDescent="0.2">
      <c r="A17" s="48"/>
      <c r="B17" s="68"/>
      <c r="C17" s="68"/>
      <c r="D17" s="68"/>
      <c r="E17" s="68"/>
      <c r="F17" s="68"/>
      <c r="G17" s="68"/>
      <c r="H17" s="68"/>
      <c r="I17" s="68"/>
      <c r="J17" s="68"/>
      <c r="K17" s="68"/>
      <c r="L17" s="68"/>
      <c r="M17" s="68"/>
      <c r="N17" s="68"/>
      <c r="O17" s="68"/>
      <c r="P17" s="68"/>
      <c r="Q17" s="68"/>
      <c r="R17" s="68"/>
      <c r="S17" s="310"/>
      <c r="T17" s="48"/>
      <c r="U17" s="68"/>
      <c r="V17" s="68"/>
      <c r="W17" s="68"/>
      <c r="X17" s="68"/>
      <c r="Y17" s="68"/>
      <c r="Z17" s="68"/>
      <c r="AA17" s="68"/>
      <c r="AB17" s="68"/>
      <c r="AC17" s="68"/>
      <c r="AD17" s="68"/>
      <c r="AE17" s="68"/>
      <c r="AF17" s="68"/>
      <c r="AG17" s="68"/>
      <c r="AH17" s="68"/>
      <c r="AI17" s="68"/>
      <c r="AJ17" s="68"/>
      <c r="AK17" s="68"/>
      <c r="AL17" s="310"/>
      <c r="AM17" s="48"/>
      <c r="AN17" s="68"/>
      <c r="AO17" s="68"/>
      <c r="AP17" s="68"/>
      <c r="AQ17" s="68"/>
      <c r="AR17" s="68"/>
      <c r="AS17" s="68"/>
      <c r="AT17" s="68"/>
      <c r="AU17" s="68"/>
      <c r="AV17" s="68"/>
      <c r="AW17" s="68"/>
      <c r="AX17" s="68"/>
      <c r="AY17" s="68"/>
      <c r="AZ17" s="68"/>
      <c r="BA17" s="68"/>
      <c r="BB17" s="68"/>
      <c r="BC17" s="68"/>
      <c r="BD17" s="68"/>
      <c r="BE17" s="310"/>
      <c r="BF17" s="48"/>
      <c r="BG17" s="68"/>
      <c r="BH17" s="68"/>
      <c r="BI17" s="68"/>
      <c r="BJ17" s="68"/>
      <c r="BK17" s="68"/>
      <c r="BL17" s="68"/>
      <c r="BM17" s="68"/>
      <c r="BN17" s="68"/>
      <c r="BO17" s="68"/>
      <c r="BP17" s="68"/>
      <c r="BQ17" s="68"/>
      <c r="BR17" s="68"/>
      <c r="BS17" s="68"/>
      <c r="BT17" s="68"/>
      <c r="BU17" s="68"/>
      <c r="BV17" s="68"/>
      <c r="BW17" s="68"/>
      <c r="BX17" s="310"/>
      <c r="BY17" s="30"/>
      <c r="BZ17" s="31"/>
      <c r="CA17" s="31"/>
      <c r="CB17" s="31"/>
      <c r="CC17" s="31"/>
      <c r="CD17" s="31"/>
      <c r="CE17" s="31"/>
      <c r="CF17" s="31"/>
      <c r="CG17" s="31"/>
      <c r="CH17" s="31"/>
      <c r="CI17" s="31"/>
      <c r="CJ17" s="31"/>
      <c r="CK17" s="31"/>
      <c r="CL17" s="31"/>
      <c r="CM17" s="31"/>
      <c r="CN17" s="31"/>
      <c r="CO17" s="31"/>
      <c r="CP17" s="31"/>
      <c r="CQ17" s="32"/>
    </row>
    <row r="18" spans="1:95" x14ac:dyDescent="0.2">
      <c r="A18" s="50"/>
      <c r="B18" s="51"/>
      <c r="C18" s="51"/>
      <c r="D18" s="51"/>
      <c r="E18" s="51"/>
      <c r="F18" s="51"/>
      <c r="G18" s="51"/>
      <c r="H18" s="51"/>
      <c r="I18" s="51"/>
      <c r="J18" s="51"/>
      <c r="K18" s="51"/>
      <c r="L18" s="51"/>
      <c r="M18" s="51"/>
      <c r="N18" s="51"/>
      <c r="O18" s="51"/>
      <c r="P18" s="51"/>
      <c r="Q18" s="51"/>
      <c r="R18" s="51"/>
      <c r="S18" s="311"/>
      <c r="T18" s="50"/>
      <c r="U18" s="51"/>
      <c r="V18" s="51"/>
      <c r="W18" s="51"/>
      <c r="X18" s="51"/>
      <c r="Y18" s="51"/>
      <c r="Z18" s="51"/>
      <c r="AA18" s="51"/>
      <c r="AB18" s="51"/>
      <c r="AC18" s="51"/>
      <c r="AD18" s="51"/>
      <c r="AE18" s="51"/>
      <c r="AF18" s="51"/>
      <c r="AG18" s="51"/>
      <c r="AH18" s="51"/>
      <c r="AI18" s="51"/>
      <c r="AJ18" s="51"/>
      <c r="AK18" s="51"/>
      <c r="AL18" s="311"/>
      <c r="AM18" s="50"/>
      <c r="AN18" s="51"/>
      <c r="AO18" s="51"/>
      <c r="AP18" s="51"/>
      <c r="AQ18" s="51"/>
      <c r="AR18" s="51"/>
      <c r="AS18" s="51"/>
      <c r="AT18" s="51"/>
      <c r="AU18" s="51"/>
      <c r="AV18" s="51"/>
      <c r="AW18" s="51"/>
      <c r="AX18" s="51"/>
      <c r="AY18" s="51"/>
      <c r="AZ18" s="51"/>
      <c r="BA18" s="51"/>
      <c r="BB18" s="51"/>
      <c r="BC18" s="51"/>
      <c r="BD18" s="51"/>
      <c r="BE18" s="311"/>
      <c r="BF18" s="50"/>
      <c r="BG18" s="51"/>
      <c r="BH18" s="51"/>
      <c r="BI18" s="51"/>
      <c r="BJ18" s="51"/>
      <c r="BK18" s="51"/>
      <c r="BL18" s="51"/>
      <c r="BM18" s="51"/>
      <c r="BN18" s="51"/>
      <c r="BO18" s="51"/>
      <c r="BP18" s="51"/>
      <c r="BQ18" s="51"/>
      <c r="BR18" s="51"/>
      <c r="BS18" s="51"/>
      <c r="BT18" s="51"/>
      <c r="BU18" s="51"/>
      <c r="BV18" s="51"/>
      <c r="BW18" s="51"/>
      <c r="BX18" s="311"/>
      <c r="BY18" s="38"/>
      <c r="BZ18" s="36"/>
      <c r="CA18" s="36"/>
      <c r="CB18" s="36"/>
      <c r="CC18" s="36"/>
      <c r="CD18" s="36"/>
      <c r="CE18" s="36"/>
      <c r="CF18" s="36"/>
      <c r="CG18" s="36"/>
      <c r="CH18" s="36"/>
      <c r="CI18" s="36"/>
      <c r="CJ18" s="36"/>
      <c r="CK18" s="36"/>
      <c r="CL18" s="36"/>
      <c r="CM18" s="36"/>
      <c r="CN18" s="36"/>
      <c r="CO18" s="36"/>
      <c r="CP18" s="36"/>
      <c r="CQ18" s="39"/>
    </row>
    <row r="19" spans="1:95" x14ac:dyDescent="0.2">
      <c r="A19" s="13" t="s">
        <v>132</v>
      </c>
      <c r="B19" s="10"/>
      <c r="C19" s="10"/>
      <c r="D19" s="10"/>
      <c r="E19" s="10"/>
      <c r="F19" s="10"/>
      <c r="G19" s="10"/>
      <c r="H19" s="10"/>
      <c r="I19" s="10"/>
      <c r="J19" s="10"/>
      <c r="K19" s="10"/>
      <c r="L19" s="10"/>
      <c r="M19" s="10"/>
      <c r="N19" s="10"/>
      <c r="O19" s="10"/>
      <c r="P19" s="10"/>
      <c r="Q19" s="10"/>
      <c r="R19" s="10"/>
      <c r="S19" s="11"/>
      <c r="T19" s="13" t="s">
        <v>132</v>
      </c>
      <c r="U19" s="10"/>
      <c r="V19" s="10"/>
      <c r="W19" s="10"/>
      <c r="X19" s="10"/>
      <c r="Y19" s="10"/>
      <c r="Z19" s="10"/>
      <c r="AA19" s="10"/>
      <c r="AB19" s="10"/>
      <c r="AC19" s="10"/>
      <c r="AD19" s="10"/>
      <c r="AE19" s="10"/>
      <c r="AF19" s="10"/>
      <c r="AG19" s="10"/>
      <c r="AH19" s="10"/>
      <c r="AI19" s="10"/>
      <c r="AJ19" s="10"/>
      <c r="AK19" s="10"/>
      <c r="AL19" s="11"/>
      <c r="AM19" s="13" t="s">
        <v>132</v>
      </c>
      <c r="AN19" s="10"/>
      <c r="AO19" s="10"/>
      <c r="AP19" s="10"/>
      <c r="AQ19" s="10"/>
      <c r="AR19" s="10"/>
      <c r="AS19" s="10"/>
      <c r="AT19" s="10"/>
      <c r="AU19" s="10"/>
      <c r="AV19" s="10"/>
      <c r="AW19" s="10"/>
      <c r="AX19" s="10"/>
      <c r="AY19" s="10"/>
      <c r="AZ19" s="10"/>
      <c r="BA19" s="10"/>
      <c r="BB19" s="10"/>
      <c r="BC19" s="10"/>
      <c r="BD19" s="10"/>
      <c r="BE19" s="11"/>
      <c r="BF19" s="13" t="s">
        <v>132</v>
      </c>
      <c r="BG19" s="10"/>
      <c r="BH19" s="10"/>
      <c r="BI19" s="10"/>
      <c r="BJ19" s="10"/>
      <c r="BK19" s="10"/>
      <c r="BL19" s="10"/>
      <c r="BM19" s="10"/>
      <c r="BN19" s="10"/>
      <c r="BO19" s="10"/>
      <c r="BP19" s="10"/>
      <c r="BQ19" s="10"/>
      <c r="BR19" s="10"/>
      <c r="BS19" s="10"/>
      <c r="BT19" s="10"/>
      <c r="BU19" s="10"/>
      <c r="BV19" s="10"/>
      <c r="BW19" s="10"/>
      <c r="BX19" s="11"/>
      <c r="BY19" s="14" t="s">
        <v>149</v>
      </c>
      <c r="BZ19" s="1"/>
      <c r="CA19" s="1"/>
      <c r="CB19" s="1"/>
      <c r="CC19" s="1"/>
      <c r="CD19" s="1"/>
      <c r="CE19" s="1"/>
      <c r="CF19" s="1"/>
      <c r="CG19" s="1"/>
      <c r="CH19" s="1"/>
      <c r="CI19" s="1"/>
      <c r="CJ19" s="1"/>
      <c r="CK19" s="1"/>
      <c r="CL19" s="1"/>
      <c r="CM19" s="1"/>
      <c r="CN19" s="1"/>
      <c r="CO19" s="1"/>
      <c r="CP19" s="1"/>
      <c r="CQ19" s="20"/>
    </row>
    <row r="20" spans="1:95" x14ac:dyDescent="0.2">
      <c r="A20" s="9"/>
      <c r="B20" s="10"/>
      <c r="C20" s="10"/>
      <c r="D20" s="10"/>
      <c r="E20" s="10"/>
      <c r="F20" s="10"/>
      <c r="G20" s="10"/>
      <c r="H20" s="10"/>
      <c r="I20" s="10"/>
      <c r="J20" s="10"/>
      <c r="K20" s="10"/>
      <c r="L20" s="10"/>
      <c r="M20" s="10"/>
      <c r="N20" s="10"/>
      <c r="O20" s="10"/>
      <c r="P20" s="10"/>
      <c r="Q20" s="10"/>
      <c r="R20" s="10"/>
      <c r="S20" s="11"/>
      <c r="T20" s="9"/>
      <c r="U20" s="10"/>
      <c r="V20" s="10"/>
      <c r="W20" s="10"/>
      <c r="X20" s="10"/>
      <c r="Y20" s="10"/>
      <c r="Z20" s="10"/>
      <c r="AA20" s="10"/>
      <c r="AB20" s="10"/>
      <c r="AC20" s="10"/>
      <c r="AD20" s="10"/>
      <c r="AE20" s="10"/>
      <c r="AF20" s="10"/>
      <c r="AG20" s="10"/>
      <c r="AH20" s="10"/>
      <c r="AI20" s="10"/>
      <c r="AJ20" s="10"/>
      <c r="AK20" s="10"/>
      <c r="AL20" s="11"/>
      <c r="AM20" s="9"/>
      <c r="AN20" s="10"/>
      <c r="AO20" s="10"/>
      <c r="AP20" s="10"/>
      <c r="AQ20" s="10"/>
      <c r="AR20" s="10"/>
      <c r="AS20" s="10"/>
      <c r="AT20" s="10"/>
      <c r="AU20" s="10"/>
      <c r="AV20" s="10"/>
      <c r="AW20" s="10"/>
      <c r="AX20" s="10"/>
      <c r="AY20" s="10"/>
      <c r="AZ20" s="10"/>
      <c r="BA20" s="10"/>
      <c r="BB20" s="10"/>
      <c r="BC20" s="10"/>
      <c r="BD20" s="10"/>
      <c r="BE20" s="11"/>
      <c r="BF20" s="9"/>
      <c r="BG20" s="10"/>
      <c r="BH20" s="10"/>
      <c r="BI20" s="10"/>
      <c r="BJ20" s="10"/>
      <c r="BK20" s="10"/>
      <c r="BL20" s="10"/>
      <c r="BM20" s="10"/>
      <c r="BN20" s="10"/>
      <c r="BO20" s="10"/>
      <c r="BP20" s="10"/>
      <c r="BQ20" s="10"/>
      <c r="BR20" s="10"/>
      <c r="BS20" s="10"/>
      <c r="BT20" s="10"/>
      <c r="BU20" s="10"/>
      <c r="BV20" s="10"/>
      <c r="BW20" s="10"/>
      <c r="BX20" s="11"/>
      <c r="BY20" s="8"/>
      <c r="BZ20" s="1"/>
      <c r="CA20" s="1"/>
      <c r="CB20" s="1"/>
      <c r="CC20" s="1"/>
      <c r="CD20" s="1"/>
      <c r="CE20" s="1"/>
      <c r="CF20" s="1"/>
      <c r="CG20" s="1"/>
      <c r="CH20" s="1"/>
      <c r="CI20" s="1"/>
      <c r="CJ20" s="1"/>
      <c r="CK20" s="1"/>
      <c r="CL20" s="1"/>
      <c r="CM20" s="1"/>
      <c r="CN20" s="1"/>
      <c r="CO20" s="1"/>
      <c r="CP20" s="1"/>
      <c r="CQ20" s="20"/>
    </row>
    <row r="21" spans="1:95" x14ac:dyDescent="0.2">
      <c r="A21" s="312"/>
      <c r="B21" s="313"/>
      <c r="C21" s="313"/>
      <c r="D21" s="313"/>
      <c r="E21" s="313"/>
      <c r="F21" s="313"/>
      <c r="G21" s="313"/>
      <c r="H21" s="313"/>
      <c r="I21" s="313"/>
      <c r="J21" s="313"/>
      <c r="K21" s="313"/>
      <c r="L21" s="313"/>
      <c r="M21" s="313"/>
      <c r="N21" s="313"/>
      <c r="O21" s="313"/>
      <c r="P21" s="313"/>
      <c r="Q21" s="313"/>
      <c r="R21" s="313"/>
      <c r="S21" s="314"/>
      <c r="T21" s="312"/>
      <c r="U21" s="313"/>
      <c r="V21" s="313"/>
      <c r="W21" s="313"/>
      <c r="X21" s="313"/>
      <c r="Y21" s="313"/>
      <c r="Z21" s="313"/>
      <c r="AA21" s="313"/>
      <c r="AB21" s="313"/>
      <c r="AC21" s="313"/>
      <c r="AD21" s="313"/>
      <c r="AE21" s="313"/>
      <c r="AF21" s="313"/>
      <c r="AG21" s="313"/>
      <c r="AH21" s="313"/>
      <c r="AI21" s="313"/>
      <c r="AJ21" s="313"/>
      <c r="AK21" s="313"/>
      <c r="AL21" s="314"/>
      <c r="AM21" s="312"/>
      <c r="AN21" s="313"/>
      <c r="AO21" s="313"/>
      <c r="AP21" s="313"/>
      <c r="AQ21" s="313"/>
      <c r="AR21" s="313"/>
      <c r="AS21" s="313"/>
      <c r="AT21" s="313"/>
      <c r="AU21" s="313"/>
      <c r="AV21" s="313"/>
      <c r="AW21" s="313"/>
      <c r="AX21" s="313"/>
      <c r="AY21" s="313"/>
      <c r="AZ21" s="313"/>
      <c r="BA21" s="313"/>
      <c r="BB21" s="313"/>
      <c r="BC21" s="313"/>
      <c r="BD21" s="313"/>
      <c r="BE21" s="314"/>
      <c r="BF21" s="312"/>
      <c r="BG21" s="313"/>
      <c r="BH21" s="313"/>
      <c r="BI21" s="313"/>
      <c r="BJ21" s="313"/>
      <c r="BK21" s="313"/>
      <c r="BL21" s="313"/>
      <c r="BM21" s="313"/>
      <c r="BN21" s="313"/>
      <c r="BO21" s="313"/>
      <c r="BP21" s="313"/>
      <c r="BQ21" s="313"/>
      <c r="BR21" s="313"/>
      <c r="BS21" s="313"/>
      <c r="BT21" s="313"/>
      <c r="BU21" s="313"/>
      <c r="BV21" s="313"/>
      <c r="BW21" s="313"/>
      <c r="BX21" s="314"/>
      <c r="BY21" s="24"/>
      <c r="BZ21" s="25"/>
      <c r="CA21" s="25"/>
      <c r="CB21" s="25"/>
      <c r="CC21" s="25"/>
      <c r="CD21" s="25"/>
      <c r="CE21" s="25"/>
      <c r="CF21" s="25"/>
      <c r="CG21" s="25"/>
      <c r="CH21" s="25"/>
      <c r="CI21" s="25"/>
      <c r="CJ21" s="25"/>
      <c r="CK21" s="25"/>
      <c r="CL21" s="25"/>
      <c r="CM21" s="25"/>
      <c r="CN21" s="25"/>
      <c r="CO21" s="25"/>
      <c r="CP21" s="25"/>
      <c r="CQ21" s="26"/>
    </row>
    <row r="22" spans="1:95" x14ac:dyDescent="0.2">
      <c r="A22" s="48"/>
      <c r="B22" s="68"/>
      <c r="C22" s="68"/>
      <c r="D22" s="68"/>
      <c r="E22" s="68"/>
      <c r="F22" s="68"/>
      <c r="G22" s="68"/>
      <c r="H22" s="68"/>
      <c r="I22" s="68"/>
      <c r="J22" s="68"/>
      <c r="K22" s="68"/>
      <c r="L22" s="68"/>
      <c r="M22" s="68"/>
      <c r="N22" s="68"/>
      <c r="O22" s="68"/>
      <c r="P22" s="68"/>
      <c r="Q22" s="68"/>
      <c r="R22" s="68"/>
      <c r="S22" s="310"/>
      <c r="T22" s="48"/>
      <c r="U22" s="68"/>
      <c r="V22" s="68"/>
      <c r="W22" s="68"/>
      <c r="X22" s="68"/>
      <c r="Y22" s="68"/>
      <c r="Z22" s="68"/>
      <c r="AA22" s="68"/>
      <c r="AB22" s="68"/>
      <c r="AC22" s="68"/>
      <c r="AD22" s="68"/>
      <c r="AE22" s="68"/>
      <c r="AF22" s="68"/>
      <c r="AG22" s="68"/>
      <c r="AH22" s="68"/>
      <c r="AI22" s="68"/>
      <c r="AJ22" s="68"/>
      <c r="AK22" s="68"/>
      <c r="AL22" s="310"/>
      <c r="AM22" s="48"/>
      <c r="AN22" s="68"/>
      <c r="AO22" s="68"/>
      <c r="AP22" s="68"/>
      <c r="AQ22" s="68"/>
      <c r="AR22" s="68"/>
      <c r="AS22" s="68"/>
      <c r="AT22" s="68"/>
      <c r="AU22" s="68"/>
      <c r="AV22" s="68"/>
      <c r="AW22" s="68"/>
      <c r="AX22" s="68"/>
      <c r="AY22" s="68"/>
      <c r="AZ22" s="68"/>
      <c r="BA22" s="68"/>
      <c r="BB22" s="68"/>
      <c r="BC22" s="68"/>
      <c r="BD22" s="68"/>
      <c r="BE22" s="310"/>
      <c r="BF22" s="48"/>
      <c r="BG22" s="68"/>
      <c r="BH22" s="68"/>
      <c r="BI22" s="68"/>
      <c r="BJ22" s="68"/>
      <c r="BK22" s="68"/>
      <c r="BL22" s="68"/>
      <c r="BM22" s="68"/>
      <c r="BN22" s="68"/>
      <c r="BO22" s="68"/>
      <c r="BP22" s="68"/>
      <c r="BQ22" s="68"/>
      <c r="BR22" s="68"/>
      <c r="BS22" s="68"/>
      <c r="BT22" s="68"/>
      <c r="BU22" s="68"/>
      <c r="BV22" s="68"/>
      <c r="BW22" s="68"/>
      <c r="BX22" s="310"/>
      <c r="BY22" s="30"/>
      <c r="BZ22" s="31"/>
      <c r="CA22" s="31"/>
      <c r="CB22" s="31"/>
      <c r="CC22" s="31"/>
      <c r="CD22" s="31"/>
      <c r="CE22" s="31"/>
      <c r="CF22" s="31"/>
      <c r="CG22" s="31"/>
      <c r="CH22" s="31"/>
      <c r="CI22" s="31"/>
      <c r="CJ22" s="31"/>
      <c r="CK22" s="31"/>
      <c r="CL22" s="31"/>
      <c r="CM22" s="31"/>
      <c r="CN22" s="31"/>
      <c r="CO22" s="31"/>
      <c r="CP22" s="31"/>
      <c r="CQ22" s="32"/>
    </row>
    <row r="23" spans="1:95" x14ac:dyDescent="0.2">
      <c r="A23" s="48"/>
      <c r="B23" s="68"/>
      <c r="C23" s="68"/>
      <c r="D23" s="68"/>
      <c r="E23" s="68"/>
      <c r="F23" s="68"/>
      <c r="G23" s="68"/>
      <c r="H23" s="68"/>
      <c r="I23" s="68"/>
      <c r="J23" s="68"/>
      <c r="K23" s="68"/>
      <c r="L23" s="68"/>
      <c r="M23" s="68"/>
      <c r="N23" s="68"/>
      <c r="O23" s="68"/>
      <c r="P23" s="68"/>
      <c r="Q23" s="68"/>
      <c r="R23" s="68"/>
      <c r="S23" s="310"/>
      <c r="T23" s="48"/>
      <c r="U23" s="68"/>
      <c r="V23" s="68"/>
      <c r="W23" s="68"/>
      <c r="X23" s="68"/>
      <c r="Y23" s="68"/>
      <c r="Z23" s="68"/>
      <c r="AA23" s="68"/>
      <c r="AB23" s="68"/>
      <c r="AC23" s="68"/>
      <c r="AD23" s="68"/>
      <c r="AE23" s="68"/>
      <c r="AF23" s="68"/>
      <c r="AG23" s="68"/>
      <c r="AH23" s="68"/>
      <c r="AI23" s="68"/>
      <c r="AJ23" s="68"/>
      <c r="AK23" s="68"/>
      <c r="AL23" s="310"/>
      <c r="AM23" s="48"/>
      <c r="AN23" s="68"/>
      <c r="AO23" s="68"/>
      <c r="AP23" s="68"/>
      <c r="AQ23" s="68"/>
      <c r="AR23" s="68"/>
      <c r="AS23" s="68"/>
      <c r="AT23" s="68"/>
      <c r="AU23" s="68"/>
      <c r="AV23" s="68"/>
      <c r="AW23" s="68"/>
      <c r="AX23" s="68"/>
      <c r="AY23" s="68"/>
      <c r="AZ23" s="68"/>
      <c r="BA23" s="68"/>
      <c r="BB23" s="68"/>
      <c r="BC23" s="68"/>
      <c r="BD23" s="68"/>
      <c r="BE23" s="310"/>
      <c r="BF23" s="48"/>
      <c r="BG23" s="68"/>
      <c r="BH23" s="68"/>
      <c r="BI23" s="68"/>
      <c r="BJ23" s="68"/>
      <c r="BK23" s="68"/>
      <c r="BL23" s="68"/>
      <c r="BM23" s="68"/>
      <c r="BN23" s="68"/>
      <c r="BO23" s="68"/>
      <c r="BP23" s="68"/>
      <c r="BQ23" s="68"/>
      <c r="BR23" s="68"/>
      <c r="BS23" s="68"/>
      <c r="BT23" s="68"/>
      <c r="BU23" s="68"/>
      <c r="BV23" s="68"/>
      <c r="BW23" s="68"/>
      <c r="BX23" s="310"/>
      <c r="BY23" s="30"/>
      <c r="BZ23" s="31"/>
      <c r="CA23" s="31"/>
      <c r="CB23" s="31"/>
      <c r="CC23" s="31"/>
      <c r="CD23" s="31"/>
      <c r="CE23" s="31"/>
      <c r="CF23" s="31"/>
      <c r="CG23" s="31"/>
      <c r="CH23" s="31"/>
      <c r="CI23" s="31"/>
      <c r="CJ23" s="31"/>
      <c r="CK23" s="31"/>
      <c r="CL23" s="31"/>
      <c r="CM23" s="31"/>
      <c r="CN23" s="31"/>
      <c r="CO23" s="31"/>
      <c r="CP23" s="31"/>
      <c r="CQ23" s="32"/>
    </row>
    <row r="24" spans="1:95" x14ac:dyDescent="0.2">
      <c r="A24" s="48"/>
      <c r="B24" s="68"/>
      <c r="C24" s="68"/>
      <c r="D24" s="68"/>
      <c r="E24" s="68"/>
      <c r="F24" s="68"/>
      <c r="G24" s="68"/>
      <c r="H24" s="68"/>
      <c r="I24" s="68"/>
      <c r="J24" s="68"/>
      <c r="K24" s="68"/>
      <c r="L24" s="68"/>
      <c r="M24" s="68"/>
      <c r="N24" s="68"/>
      <c r="O24" s="68"/>
      <c r="P24" s="68"/>
      <c r="Q24" s="68"/>
      <c r="R24" s="68"/>
      <c r="S24" s="310"/>
      <c r="T24" s="48"/>
      <c r="U24" s="68"/>
      <c r="V24" s="68"/>
      <c r="W24" s="68"/>
      <c r="X24" s="68"/>
      <c r="Y24" s="68"/>
      <c r="Z24" s="68"/>
      <c r="AA24" s="68"/>
      <c r="AB24" s="68"/>
      <c r="AC24" s="68"/>
      <c r="AD24" s="68"/>
      <c r="AE24" s="68"/>
      <c r="AF24" s="68"/>
      <c r="AG24" s="68"/>
      <c r="AH24" s="68"/>
      <c r="AI24" s="68"/>
      <c r="AJ24" s="68"/>
      <c r="AK24" s="68"/>
      <c r="AL24" s="310"/>
      <c r="AM24" s="48"/>
      <c r="AN24" s="68"/>
      <c r="AO24" s="68"/>
      <c r="AP24" s="68"/>
      <c r="AQ24" s="68"/>
      <c r="AR24" s="68"/>
      <c r="AS24" s="68"/>
      <c r="AT24" s="68"/>
      <c r="AU24" s="68"/>
      <c r="AV24" s="68"/>
      <c r="AW24" s="68"/>
      <c r="AX24" s="68"/>
      <c r="AY24" s="68"/>
      <c r="AZ24" s="68"/>
      <c r="BA24" s="68"/>
      <c r="BB24" s="68"/>
      <c r="BC24" s="68"/>
      <c r="BD24" s="68"/>
      <c r="BE24" s="310"/>
      <c r="BF24" s="48"/>
      <c r="BG24" s="68"/>
      <c r="BH24" s="68"/>
      <c r="BI24" s="68"/>
      <c r="BJ24" s="68"/>
      <c r="BK24" s="68"/>
      <c r="BL24" s="68"/>
      <c r="BM24" s="68"/>
      <c r="BN24" s="68"/>
      <c r="BO24" s="68"/>
      <c r="BP24" s="68"/>
      <c r="BQ24" s="68"/>
      <c r="BR24" s="68"/>
      <c r="BS24" s="68"/>
      <c r="BT24" s="68"/>
      <c r="BU24" s="68"/>
      <c r="BV24" s="68"/>
      <c r="BW24" s="68"/>
      <c r="BX24" s="310"/>
      <c r="BY24" s="30"/>
      <c r="BZ24" s="31"/>
      <c r="CA24" s="31"/>
      <c r="CB24" s="31"/>
      <c r="CC24" s="31"/>
      <c r="CD24" s="31"/>
      <c r="CE24" s="31"/>
      <c r="CF24" s="31"/>
      <c r="CG24" s="31"/>
      <c r="CH24" s="31"/>
      <c r="CI24" s="31"/>
      <c r="CJ24" s="31"/>
      <c r="CK24" s="31"/>
      <c r="CL24" s="31"/>
      <c r="CM24" s="31"/>
      <c r="CN24" s="31"/>
      <c r="CO24" s="31"/>
      <c r="CP24" s="31"/>
      <c r="CQ24" s="32"/>
    </row>
    <row r="25" spans="1:95" x14ac:dyDescent="0.2">
      <c r="A25" s="48"/>
      <c r="B25" s="68"/>
      <c r="C25" s="68"/>
      <c r="D25" s="68"/>
      <c r="E25" s="68"/>
      <c r="F25" s="68"/>
      <c r="G25" s="68"/>
      <c r="H25" s="68"/>
      <c r="I25" s="68"/>
      <c r="J25" s="68"/>
      <c r="K25" s="68"/>
      <c r="L25" s="68"/>
      <c r="M25" s="68"/>
      <c r="N25" s="68"/>
      <c r="O25" s="68"/>
      <c r="P25" s="68"/>
      <c r="Q25" s="68"/>
      <c r="R25" s="68"/>
      <c r="S25" s="310"/>
      <c r="T25" s="48"/>
      <c r="U25" s="68"/>
      <c r="V25" s="68"/>
      <c r="W25" s="68"/>
      <c r="X25" s="68"/>
      <c r="Y25" s="68"/>
      <c r="Z25" s="68"/>
      <c r="AA25" s="68"/>
      <c r="AB25" s="68"/>
      <c r="AC25" s="68"/>
      <c r="AD25" s="68"/>
      <c r="AE25" s="68"/>
      <c r="AF25" s="68"/>
      <c r="AG25" s="68"/>
      <c r="AH25" s="68"/>
      <c r="AI25" s="68"/>
      <c r="AJ25" s="68"/>
      <c r="AK25" s="68"/>
      <c r="AL25" s="310"/>
      <c r="AM25" s="48"/>
      <c r="AN25" s="68"/>
      <c r="AO25" s="68"/>
      <c r="AP25" s="68"/>
      <c r="AQ25" s="68"/>
      <c r="AR25" s="68"/>
      <c r="AS25" s="68"/>
      <c r="AT25" s="68"/>
      <c r="AU25" s="68"/>
      <c r="AV25" s="68"/>
      <c r="AW25" s="68"/>
      <c r="AX25" s="68"/>
      <c r="AY25" s="68"/>
      <c r="AZ25" s="68"/>
      <c r="BA25" s="68"/>
      <c r="BB25" s="68"/>
      <c r="BC25" s="68"/>
      <c r="BD25" s="68"/>
      <c r="BE25" s="310"/>
      <c r="BF25" s="48"/>
      <c r="BG25" s="68"/>
      <c r="BH25" s="68"/>
      <c r="BI25" s="68"/>
      <c r="BJ25" s="68"/>
      <c r="BK25" s="68"/>
      <c r="BL25" s="68"/>
      <c r="BM25" s="68"/>
      <c r="BN25" s="68"/>
      <c r="BO25" s="68"/>
      <c r="BP25" s="68"/>
      <c r="BQ25" s="68"/>
      <c r="BR25" s="68"/>
      <c r="BS25" s="68"/>
      <c r="BT25" s="68"/>
      <c r="BU25" s="68"/>
      <c r="BV25" s="68"/>
      <c r="BW25" s="68"/>
      <c r="BX25" s="310"/>
      <c r="BY25" s="30"/>
      <c r="BZ25" s="31"/>
      <c r="CA25" s="31"/>
      <c r="CB25" s="31"/>
      <c r="CC25" s="31"/>
      <c r="CD25" s="31"/>
      <c r="CE25" s="31"/>
      <c r="CF25" s="31"/>
      <c r="CG25" s="31"/>
      <c r="CH25" s="31"/>
      <c r="CI25" s="31"/>
      <c r="CJ25" s="31"/>
      <c r="CK25" s="31"/>
      <c r="CL25" s="31"/>
      <c r="CM25" s="31"/>
      <c r="CN25" s="31"/>
      <c r="CO25" s="31"/>
      <c r="CP25" s="31"/>
      <c r="CQ25" s="32"/>
    </row>
    <row r="26" spans="1:95" x14ac:dyDescent="0.2">
      <c r="A26" s="48"/>
      <c r="B26" s="68"/>
      <c r="C26" s="68"/>
      <c r="D26" s="68"/>
      <c r="E26" s="68"/>
      <c r="F26" s="68"/>
      <c r="G26" s="68"/>
      <c r="H26" s="68"/>
      <c r="I26" s="68"/>
      <c r="J26" s="68"/>
      <c r="K26" s="68"/>
      <c r="L26" s="68"/>
      <c r="M26" s="68"/>
      <c r="N26" s="68"/>
      <c r="O26" s="68"/>
      <c r="P26" s="68"/>
      <c r="Q26" s="68"/>
      <c r="R26" s="68"/>
      <c r="S26" s="310"/>
      <c r="T26" s="48"/>
      <c r="U26" s="68"/>
      <c r="V26" s="68"/>
      <c r="W26" s="68"/>
      <c r="X26" s="68"/>
      <c r="Y26" s="68"/>
      <c r="Z26" s="68"/>
      <c r="AA26" s="68"/>
      <c r="AB26" s="68"/>
      <c r="AC26" s="68"/>
      <c r="AD26" s="68"/>
      <c r="AE26" s="68"/>
      <c r="AF26" s="68"/>
      <c r="AG26" s="68"/>
      <c r="AH26" s="68"/>
      <c r="AI26" s="68"/>
      <c r="AJ26" s="68"/>
      <c r="AK26" s="68"/>
      <c r="AL26" s="310"/>
      <c r="AM26" s="48"/>
      <c r="AN26" s="68"/>
      <c r="AO26" s="68"/>
      <c r="AP26" s="68"/>
      <c r="AQ26" s="68"/>
      <c r="AR26" s="68"/>
      <c r="AS26" s="68"/>
      <c r="AT26" s="68"/>
      <c r="AU26" s="68"/>
      <c r="AV26" s="68"/>
      <c r="AW26" s="68"/>
      <c r="AX26" s="68"/>
      <c r="AY26" s="68"/>
      <c r="AZ26" s="68"/>
      <c r="BA26" s="68"/>
      <c r="BB26" s="68"/>
      <c r="BC26" s="68"/>
      <c r="BD26" s="68"/>
      <c r="BE26" s="310"/>
      <c r="BF26" s="48"/>
      <c r="BG26" s="68"/>
      <c r="BH26" s="68"/>
      <c r="BI26" s="68"/>
      <c r="BJ26" s="68"/>
      <c r="BK26" s="68"/>
      <c r="BL26" s="68"/>
      <c r="BM26" s="68"/>
      <c r="BN26" s="68"/>
      <c r="BO26" s="68"/>
      <c r="BP26" s="68"/>
      <c r="BQ26" s="68"/>
      <c r="BR26" s="68"/>
      <c r="BS26" s="68"/>
      <c r="BT26" s="68"/>
      <c r="BU26" s="68"/>
      <c r="BV26" s="68"/>
      <c r="BW26" s="68"/>
      <c r="BX26" s="310"/>
      <c r="BY26" s="30"/>
      <c r="BZ26" s="31"/>
      <c r="CA26" s="31"/>
      <c r="CB26" s="31"/>
      <c r="CC26" s="31"/>
      <c r="CD26" s="31"/>
      <c r="CE26" s="31"/>
      <c r="CF26" s="31"/>
      <c r="CG26" s="31"/>
      <c r="CH26" s="31"/>
      <c r="CI26" s="31"/>
      <c r="CJ26" s="31"/>
      <c r="CK26" s="31"/>
      <c r="CL26" s="31"/>
      <c r="CM26" s="31"/>
      <c r="CN26" s="31"/>
      <c r="CO26" s="31"/>
      <c r="CP26" s="31"/>
      <c r="CQ26" s="32"/>
    </row>
    <row r="27" spans="1:95" x14ac:dyDescent="0.2">
      <c r="A27" s="48"/>
      <c r="B27" s="68"/>
      <c r="C27" s="68"/>
      <c r="D27" s="68"/>
      <c r="E27" s="68"/>
      <c r="F27" s="68"/>
      <c r="G27" s="68"/>
      <c r="H27" s="68"/>
      <c r="I27" s="68"/>
      <c r="J27" s="68"/>
      <c r="K27" s="68"/>
      <c r="L27" s="68"/>
      <c r="M27" s="68"/>
      <c r="N27" s="68"/>
      <c r="O27" s="68"/>
      <c r="P27" s="68"/>
      <c r="Q27" s="68"/>
      <c r="R27" s="68"/>
      <c r="S27" s="310"/>
      <c r="T27" s="48"/>
      <c r="U27" s="68"/>
      <c r="V27" s="68"/>
      <c r="W27" s="68"/>
      <c r="X27" s="68"/>
      <c r="Y27" s="68"/>
      <c r="Z27" s="68"/>
      <c r="AA27" s="68"/>
      <c r="AB27" s="68"/>
      <c r="AC27" s="68"/>
      <c r="AD27" s="68"/>
      <c r="AE27" s="68"/>
      <c r="AF27" s="68"/>
      <c r="AG27" s="68"/>
      <c r="AH27" s="68"/>
      <c r="AI27" s="68"/>
      <c r="AJ27" s="68"/>
      <c r="AK27" s="68"/>
      <c r="AL27" s="310"/>
      <c r="AM27" s="48"/>
      <c r="AN27" s="68"/>
      <c r="AO27" s="68"/>
      <c r="AP27" s="68"/>
      <c r="AQ27" s="68"/>
      <c r="AR27" s="68"/>
      <c r="AS27" s="68"/>
      <c r="AT27" s="68"/>
      <c r="AU27" s="68"/>
      <c r="AV27" s="68"/>
      <c r="AW27" s="68"/>
      <c r="AX27" s="68"/>
      <c r="AY27" s="68"/>
      <c r="AZ27" s="68"/>
      <c r="BA27" s="68"/>
      <c r="BB27" s="68"/>
      <c r="BC27" s="68"/>
      <c r="BD27" s="68"/>
      <c r="BE27" s="310"/>
      <c r="BF27" s="48"/>
      <c r="BG27" s="68"/>
      <c r="BH27" s="68"/>
      <c r="BI27" s="68"/>
      <c r="BJ27" s="68"/>
      <c r="BK27" s="68"/>
      <c r="BL27" s="68"/>
      <c r="BM27" s="68"/>
      <c r="BN27" s="68"/>
      <c r="BO27" s="68"/>
      <c r="BP27" s="68"/>
      <c r="BQ27" s="68"/>
      <c r="BR27" s="68"/>
      <c r="BS27" s="68"/>
      <c r="BT27" s="68"/>
      <c r="BU27" s="68"/>
      <c r="BV27" s="68"/>
      <c r="BW27" s="68"/>
      <c r="BX27" s="310"/>
      <c r="BY27" s="30"/>
      <c r="BZ27" s="31"/>
      <c r="CA27" s="31"/>
      <c r="CB27" s="31"/>
      <c r="CC27" s="31"/>
      <c r="CD27" s="31"/>
      <c r="CE27" s="31"/>
      <c r="CF27" s="31"/>
      <c r="CG27" s="31"/>
      <c r="CH27" s="31"/>
      <c r="CI27" s="31"/>
      <c r="CJ27" s="31"/>
      <c r="CK27" s="31"/>
      <c r="CL27" s="31"/>
      <c r="CM27" s="31"/>
      <c r="CN27" s="31"/>
      <c r="CO27" s="31"/>
      <c r="CP27" s="31"/>
      <c r="CQ27" s="32"/>
    </row>
    <row r="28" spans="1:95" x14ac:dyDescent="0.2">
      <c r="A28" s="48"/>
      <c r="B28" s="68"/>
      <c r="C28" s="68"/>
      <c r="D28" s="68"/>
      <c r="E28" s="68"/>
      <c r="F28" s="68"/>
      <c r="G28" s="68"/>
      <c r="H28" s="68"/>
      <c r="I28" s="68"/>
      <c r="J28" s="68"/>
      <c r="K28" s="68"/>
      <c r="L28" s="68"/>
      <c r="M28" s="68"/>
      <c r="N28" s="68"/>
      <c r="O28" s="68"/>
      <c r="P28" s="68"/>
      <c r="Q28" s="68"/>
      <c r="R28" s="68"/>
      <c r="S28" s="310"/>
      <c r="T28" s="48"/>
      <c r="U28" s="68"/>
      <c r="V28" s="68"/>
      <c r="W28" s="68"/>
      <c r="X28" s="68"/>
      <c r="Y28" s="68"/>
      <c r="Z28" s="68"/>
      <c r="AA28" s="68"/>
      <c r="AB28" s="68"/>
      <c r="AC28" s="68"/>
      <c r="AD28" s="68"/>
      <c r="AE28" s="68"/>
      <c r="AF28" s="68"/>
      <c r="AG28" s="68"/>
      <c r="AH28" s="68"/>
      <c r="AI28" s="68"/>
      <c r="AJ28" s="68"/>
      <c r="AK28" s="68"/>
      <c r="AL28" s="310"/>
      <c r="AM28" s="48"/>
      <c r="AN28" s="68"/>
      <c r="AO28" s="68"/>
      <c r="AP28" s="68"/>
      <c r="AQ28" s="68"/>
      <c r="AR28" s="68"/>
      <c r="AS28" s="68"/>
      <c r="AT28" s="68"/>
      <c r="AU28" s="68"/>
      <c r="AV28" s="68"/>
      <c r="AW28" s="68"/>
      <c r="AX28" s="68"/>
      <c r="AY28" s="68"/>
      <c r="AZ28" s="68"/>
      <c r="BA28" s="68"/>
      <c r="BB28" s="68"/>
      <c r="BC28" s="68"/>
      <c r="BD28" s="68"/>
      <c r="BE28" s="310"/>
      <c r="BF28" s="48"/>
      <c r="BG28" s="68"/>
      <c r="BH28" s="68"/>
      <c r="BI28" s="68"/>
      <c r="BJ28" s="68"/>
      <c r="BK28" s="68"/>
      <c r="BL28" s="68"/>
      <c r="BM28" s="68"/>
      <c r="BN28" s="68"/>
      <c r="BO28" s="68"/>
      <c r="BP28" s="68"/>
      <c r="BQ28" s="68"/>
      <c r="BR28" s="68"/>
      <c r="BS28" s="68"/>
      <c r="BT28" s="68"/>
      <c r="BU28" s="68"/>
      <c r="BV28" s="68"/>
      <c r="BW28" s="68"/>
      <c r="BX28" s="310"/>
      <c r="BY28" s="30"/>
      <c r="BZ28" s="31"/>
      <c r="CA28" s="31"/>
      <c r="CB28" s="31"/>
      <c r="CC28" s="31"/>
      <c r="CD28" s="31"/>
      <c r="CE28" s="31"/>
      <c r="CF28" s="31"/>
      <c r="CG28" s="31"/>
      <c r="CH28" s="31"/>
      <c r="CI28" s="31"/>
      <c r="CJ28" s="31"/>
      <c r="CK28" s="31"/>
      <c r="CL28" s="31"/>
      <c r="CM28" s="31"/>
      <c r="CN28" s="31"/>
      <c r="CO28" s="31"/>
      <c r="CP28" s="31"/>
      <c r="CQ28" s="32"/>
    </row>
    <row r="29" spans="1:95" x14ac:dyDescent="0.2">
      <c r="A29" s="48"/>
      <c r="B29" s="68"/>
      <c r="C29" s="68"/>
      <c r="D29" s="68"/>
      <c r="E29" s="68"/>
      <c r="F29" s="68"/>
      <c r="G29" s="68"/>
      <c r="H29" s="68"/>
      <c r="I29" s="68"/>
      <c r="J29" s="68"/>
      <c r="K29" s="68"/>
      <c r="L29" s="68"/>
      <c r="M29" s="68"/>
      <c r="N29" s="68"/>
      <c r="O29" s="68"/>
      <c r="P29" s="68"/>
      <c r="Q29" s="68"/>
      <c r="R29" s="68"/>
      <c r="S29" s="310"/>
      <c r="T29" s="48"/>
      <c r="U29" s="68"/>
      <c r="V29" s="68"/>
      <c r="W29" s="68"/>
      <c r="X29" s="68"/>
      <c r="Y29" s="68"/>
      <c r="Z29" s="68"/>
      <c r="AA29" s="68"/>
      <c r="AB29" s="68"/>
      <c r="AC29" s="68"/>
      <c r="AD29" s="68"/>
      <c r="AE29" s="68"/>
      <c r="AF29" s="68"/>
      <c r="AG29" s="68"/>
      <c r="AH29" s="68"/>
      <c r="AI29" s="68"/>
      <c r="AJ29" s="68"/>
      <c r="AK29" s="68"/>
      <c r="AL29" s="310"/>
      <c r="AM29" s="48"/>
      <c r="AN29" s="68"/>
      <c r="AO29" s="68"/>
      <c r="AP29" s="68"/>
      <c r="AQ29" s="68"/>
      <c r="AR29" s="68"/>
      <c r="AS29" s="68"/>
      <c r="AT29" s="68"/>
      <c r="AU29" s="68"/>
      <c r="AV29" s="68"/>
      <c r="AW29" s="68"/>
      <c r="AX29" s="68"/>
      <c r="AY29" s="68"/>
      <c r="AZ29" s="68"/>
      <c r="BA29" s="68"/>
      <c r="BB29" s="68"/>
      <c r="BC29" s="68"/>
      <c r="BD29" s="68"/>
      <c r="BE29" s="310"/>
      <c r="BF29" s="48"/>
      <c r="BG29" s="68"/>
      <c r="BH29" s="68"/>
      <c r="BI29" s="68"/>
      <c r="BJ29" s="68"/>
      <c r="BK29" s="68"/>
      <c r="BL29" s="68"/>
      <c r="BM29" s="68"/>
      <c r="BN29" s="68"/>
      <c r="BO29" s="68"/>
      <c r="BP29" s="68"/>
      <c r="BQ29" s="68"/>
      <c r="BR29" s="68"/>
      <c r="BS29" s="68"/>
      <c r="BT29" s="68"/>
      <c r="BU29" s="68"/>
      <c r="BV29" s="68"/>
      <c r="BW29" s="68"/>
      <c r="BX29" s="310"/>
      <c r="BY29" s="30"/>
      <c r="BZ29" s="31"/>
      <c r="CA29" s="31"/>
      <c r="CB29" s="31"/>
      <c r="CC29" s="31"/>
      <c r="CD29" s="31"/>
      <c r="CE29" s="31"/>
      <c r="CF29" s="31"/>
      <c r="CG29" s="31"/>
      <c r="CH29" s="31"/>
      <c r="CI29" s="31"/>
      <c r="CJ29" s="31"/>
      <c r="CK29" s="31"/>
      <c r="CL29" s="31"/>
      <c r="CM29" s="31"/>
      <c r="CN29" s="31"/>
      <c r="CO29" s="31"/>
      <c r="CP29" s="31"/>
      <c r="CQ29" s="32"/>
    </row>
    <row r="30" spans="1:95" x14ac:dyDescent="0.2">
      <c r="A30" s="48"/>
      <c r="B30" s="68"/>
      <c r="C30" s="68"/>
      <c r="D30" s="68"/>
      <c r="E30" s="68"/>
      <c r="F30" s="68"/>
      <c r="G30" s="68"/>
      <c r="H30" s="68"/>
      <c r="I30" s="68"/>
      <c r="J30" s="68"/>
      <c r="K30" s="68"/>
      <c r="L30" s="68"/>
      <c r="M30" s="68"/>
      <c r="N30" s="68"/>
      <c r="O30" s="68"/>
      <c r="P30" s="68"/>
      <c r="Q30" s="68"/>
      <c r="R30" s="68"/>
      <c r="S30" s="310"/>
      <c r="T30" s="48"/>
      <c r="U30" s="68"/>
      <c r="V30" s="68"/>
      <c r="W30" s="68"/>
      <c r="X30" s="68"/>
      <c r="Y30" s="68"/>
      <c r="Z30" s="68"/>
      <c r="AA30" s="68"/>
      <c r="AB30" s="68"/>
      <c r="AC30" s="68"/>
      <c r="AD30" s="68"/>
      <c r="AE30" s="68"/>
      <c r="AF30" s="68"/>
      <c r="AG30" s="68"/>
      <c r="AH30" s="68"/>
      <c r="AI30" s="68"/>
      <c r="AJ30" s="68"/>
      <c r="AK30" s="68"/>
      <c r="AL30" s="310"/>
      <c r="AM30" s="48"/>
      <c r="AN30" s="68"/>
      <c r="AO30" s="68"/>
      <c r="AP30" s="68"/>
      <c r="AQ30" s="68"/>
      <c r="AR30" s="68"/>
      <c r="AS30" s="68"/>
      <c r="AT30" s="68"/>
      <c r="AU30" s="68"/>
      <c r="AV30" s="68"/>
      <c r="AW30" s="68"/>
      <c r="AX30" s="68"/>
      <c r="AY30" s="68"/>
      <c r="AZ30" s="68"/>
      <c r="BA30" s="68"/>
      <c r="BB30" s="68"/>
      <c r="BC30" s="68"/>
      <c r="BD30" s="68"/>
      <c r="BE30" s="310"/>
      <c r="BF30" s="48"/>
      <c r="BG30" s="68"/>
      <c r="BH30" s="68"/>
      <c r="BI30" s="68"/>
      <c r="BJ30" s="68"/>
      <c r="BK30" s="68"/>
      <c r="BL30" s="68"/>
      <c r="BM30" s="68"/>
      <c r="BN30" s="68"/>
      <c r="BO30" s="68"/>
      <c r="BP30" s="68"/>
      <c r="BQ30" s="68"/>
      <c r="BR30" s="68"/>
      <c r="BS30" s="68"/>
      <c r="BT30" s="68"/>
      <c r="BU30" s="68"/>
      <c r="BV30" s="68"/>
      <c r="BW30" s="68"/>
      <c r="BX30" s="310"/>
      <c r="BY30" s="30"/>
      <c r="BZ30" s="31"/>
      <c r="CA30" s="31"/>
      <c r="CB30" s="31"/>
      <c r="CC30" s="31"/>
      <c r="CD30" s="31"/>
      <c r="CE30" s="31"/>
      <c r="CF30" s="31"/>
      <c r="CG30" s="31"/>
      <c r="CH30" s="31"/>
      <c r="CI30" s="31"/>
      <c r="CJ30" s="31"/>
      <c r="CK30" s="31"/>
      <c r="CL30" s="31"/>
      <c r="CM30" s="31"/>
      <c r="CN30" s="31"/>
      <c r="CO30" s="31"/>
      <c r="CP30" s="31"/>
      <c r="CQ30" s="32"/>
    </row>
    <row r="31" spans="1:95" x14ac:dyDescent="0.2">
      <c r="A31" s="48"/>
      <c r="B31" s="68"/>
      <c r="C31" s="68"/>
      <c r="D31" s="68"/>
      <c r="E31" s="68"/>
      <c r="F31" s="68"/>
      <c r="G31" s="68"/>
      <c r="H31" s="68"/>
      <c r="I31" s="68"/>
      <c r="J31" s="68"/>
      <c r="K31" s="68"/>
      <c r="L31" s="68"/>
      <c r="M31" s="68"/>
      <c r="N31" s="68"/>
      <c r="O31" s="68"/>
      <c r="P31" s="68"/>
      <c r="Q31" s="68"/>
      <c r="R31" s="68"/>
      <c r="S31" s="310"/>
      <c r="T31" s="48"/>
      <c r="U31" s="68"/>
      <c r="V31" s="68"/>
      <c r="W31" s="68"/>
      <c r="X31" s="68"/>
      <c r="Y31" s="68"/>
      <c r="Z31" s="68"/>
      <c r="AA31" s="68"/>
      <c r="AB31" s="68"/>
      <c r="AC31" s="68"/>
      <c r="AD31" s="68"/>
      <c r="AE31" s="68"/>
      <c r="AF31" s="68"/>
      <c r="AG31" s="68"/>
      <c r="AH31" s="68"/>
      <c r="AI31" s="68"/>
      <c r="AJ31" s="68"/>
      <c r="AK31" s="68"/>
      <c r="AL31" s="310"/>
      <c r="AM31" s="48"/>
      <c r="AN31" s="68"/>
      <c r="AO31" s="68"/>
      <c r="AP31" s="68"/>
      <c r="AQ31" s="68"/>
      <c r="AR31" s="68"/>
      <c r="AS31" s="68"/>
      <c r="AT31" s="68"/>
      <c r="AU31" s="68"/>
      <c r="AV31" s="68"/>
      <c r="AW31" s="68"/>
      <c r="AX31" s="68"/>
      <c r="AY31" s="68"/>
      <c r="AZ31" s="68"/>
      <c r="BA31" s="68"/>
      <c r="BB31" s="68"/>
      <c r="BC31" s="68"/>
      <c r="BD31" s="68"/>
      <c r="BE31" s="310"/>
      <c r="BF31" s="48"/>
      <c r="BG31" s="68"/>
      <c r="BH31" s="68"/>
      <c r="BI31" s="68"/>
      <c r="BJ31" s="68"/>
      <c r="BK31" s="68"/>
      <c r="BL31" s="68"/>
      <c r="BM31" s="68"/>
      <c r="BN31" s="68"/>
      <c r="BO31" s="68"/>
      <c r="BP31" s="68"/>
      <c r="BQ31" s="68"/>
      <c r="BR31" s="68"/>
      <c r="BS31" s="68"/>
      <c r="BT31" s="68"/>
      <c r="BU31" s="68"/>
      <c r="BV31" s="68"/>
      <c r="BW31" s="68"/>
      <c r="BX31" s="310"/>
      <c r="BY31" s="30"/>
      <c r="BZ31" s="31"/>
      <c r="CA31" s="31"/>
      <c r="CB31" s="31"/>
      <c r="CC31" s="31"/>
      <c r="CD31" s="31"/>
      <c r="CE31" s="31"/>
      <c r="CF31" s="31"/>
      <c r="CG31" s="31"/>
      <c r="CH31" s="31"/>
      <c r="CI31" s="31"/>
      <c r="CJ31" s="31"/>
      <c r="CK31" s="31"/>
      <c r="CL31" s="31"/>
      <c r="CM31" s="31"/>
      <c r="CN31" s="31"/>
      <c r="CO31" s="31"/>
      <c r="CP31" s="31"/>
      <c r="CQ31" s="32"/>
    </row>
    <row r="32" spans="1:95" x14ac:dyDescent="0.2">
      <c r="A32" s="48"/>
      <c r="B32" s="68"/>
      <c r="C32" s="68"/>
      <c r="D32" s="68"/>
      <c r="E32" s="68"/>
      <c r="F32" s="68"/>
      <c r="G32" s="33" t="s">
        <v>103</v>
      </c>
      <c r="H32" s="68"/>
      <c r="I32" s="68"/>
      <c r="J32" s="68"/>
      <c r="K32" s="68"/>
      <c r="L32" s="68"/>
      <c r="M32" s="68"/>
      <c r="N32" s="68"/>
      <c r="O32" s="68"/>
      <c r="P32" s="68"/>
      <c r="Q32" s="68"/>
      <c r="R32" s="68"/>
      <c r="S32" s="310"/>
      <c r="T32" s="48"/>
      <c r="U32" s="68"/>
      <c r="V32" s="68"/>
      <c r="W32" s="68"/>
      <c r="X32" s="68"/>
      <c r="Y32" s="68"/>
      <c r="Z32" s="33" t="s">
        <v>103</v>
      </c>
      <c r="AA32" s="68"/>
      <c r="AB32" s="68"/>
      <c r="AC32" s="68"/>
      <c r="AD32" s="68"/>
      <c r="AE32" s="68"/>
      <c r="AF32" s="68"/>
      <c r="AG32" s="68"/>
      <c r="AH32" s="68"/>
      <c r="AI32" s="68"/>
      <c r="AJ32" s="68"/>
      <c r="AK32" s="68"/>
      <c r="AL32" s="310"/>
      <c r="AM32" s="48"/>
      <c r="AN32" s="68"/>
      <c r="AO32" s="68"/>
      <c r="AP32" s="68"/>
      <c r="AQ32" s="68"/>
      <c r="AR32" s="68"/>
      <c r="AS32" s="33" t="s">
        <v>103</v>
      </c>
      <c r="AT32" s="68"/>
      <c r="AU32" s="68"/>
      <c r="AV32" s="68"/>
      <c r="AW32" s="68"/>
      <c r="AX32" s="68"/>
      <c r="AY32" s="68"/>
      <c r="AZ32" s="68"/>
      <c r="BA32" s="68"/>
      <c r="BB32" s="68"/>
      <c r="BC32" s="68"/>
      <c r="BD32" s="68"/>
      <c r="BE32" s="310"/>
      <c r="BF32" s="48"/>
      <c r="BG32" s="68"/>
      <c r="BH32" s="68"/>
      <c r="BI32" s="68"/>
      <c r="BJ32" s="68"/>
      <c r="BK32" s="68"/>
      <c r="BL32" s="33" t="s">
        <v>103</v>
      </c>
      <c r="BM32" s="68"/>
      <c r="BN32" s="68"/>
      <c r="BO32" s="68"/>
      <c r="BP32" s="68"/>
      <c r="BQ32" s="68"/>
      <c r="BR32" s="68"/>
      <c r="BS32" s="68"/>
      <c r="BT32" s="68"/>
      <c r="BU32" s="68"/>
      <c r="BV32" s="68"/>
      <c r="BW32" s="68"/>
      <c r="BX32" s="310"/>
      <c r="BY32" s="30"/>
      <c r="BZ32" s="31"/>
      <c r="CA32" s="31"/>
      <c r="CB32" s="31"/>
      <c r="CC32" s="31"/>
      <c r="CD32" s="31"/>
      <c r="CE32" s="33" t="s">
        <v>103</v>
      </c>
      <c r="CF32" s="31"/>
      <c r="CG32" s="31"/>
      <c r="CH32" s="31"/>
      <c r="CI32" s="31"/>
      <c r="CJ32" s="31"/>
      <c r="CK32" s="31"/>
      <c r="CL32" s="31"/>
      <c r="CM32" s="31"/>
      <c r="CN32" s="31"/>
      <c r="CO32" s="31"/>
      <c r="CP32" s="31"/>
      <c r="CQ32" s="32"/>
    </row>
    <row r="33" spans="1:95" x14ac:dyDescent="0.2">
      <c r="A33" s="48"/>
      <c r="B33" s="68"/>
      <c r="C33" s="68"/>
      <c r="D33" s="33"/>
      <c r="E33" s="68"/>
      <c r="F33" s="68"/>
      <c r="G33" s="68"/>
      <c r="H33" s="68"/>
      <c r="I33" s="68"/>
      <c r="J33" s="68"/>
      <c r="K33" s="68"/>
      <c r="L33" s="68"/>
      <c r="M33" s="68"/>
      <c r="N33" s="68"/>
      <c r="O33" s="68"/>
      <c r="P33" s="68"/>
      <c r="Q33" s="68"/>
      <c r="R33" s="68"/>
      <c r="S33" s="310"/>
      <c r="T33" s="48"/>
      <c r="U33" s="68"/>
      <c r="V33" s="68"/>
      <c r="W33" s="33"/>
      <c r="X33" s="68"/>
      <c r="Y33" s="68"/>
      <c r="Z33" s="68"/>
      <c r="AA33" s="68"/>
      <c r="AB33" s="68"/>
      <c r="AC33" s="68"/>
      <c r="AD33" s="68"/>
      <c r="AE33" s="68"/>
      <c r="AF33" s="68"/>
      <c r="AG33" s="68"/>
      <c r="AH33" s="68"/>
      <c r="AI33" s="68"/>
      <c r="AJ33" s="68"/>
      <c r="AK33" s="68"/>
      <c r="AL33" s="310"/>
      <c r="AM33" s="48"/>
      <c r="AN33" s="68"/>
      <c r="AO33" s="68"/>
      <c r="AP33" s="33"/>
      <c r="AQ33" s="68"/>
      <c r="AR33" s="68"/>
      <c r="AS33" s="68"/>
      <c r="AT33" s="68"/>
      <c r="AU33" s="68"/>
      <c r="AV33" s="68"/>
      <c r="AW33" s="68"/>
      <c r="AX33" s="68"/>
      <c r="AY33" s="68"/>
      <c r="AZ33" s="68"/>
      <c r="BA33" s="68"/>
      <c r="BB33" s="68"/>
      <c r="BC33" s="68"/>
      <c r="BD33" s="68"/>
      <c r="BE33" s="310"/>
      <c r="BF33" s="48"/>
      <c r="BG33" s="68"/>
      <c r="BH33" s="68"/>
      <c r="BI33" s="33"/>
      <c r="BJ33" s="68"/>
      <c r="BK33" s="68"/>
      <c r="BL33" s="68"/>
      <c r="BM33" s="68"/>
      <c r="BN33" s="68"/>
      <c r="BO33" s="68"/>
      <c r="BP33" s="68"/>
      <c r="BQ33" s="68"/>
      <c r="BR33" s="68"/>
      <c r="BS33" s="68"/>
      <c r="BT33" s="68"/>
      <c r="BU33" s="68"/>
      <c r="BV33" s="68"/>
      <c r="BW33" s="68"/>
      <c r="BX33" s="310"/>
      <c r="BY33" s="30"/>
      <c r="BZ33" s="31"/>
      <c r="CA33" s="31"/>
      <c r="CB33" s="31"/>
      <c r="CC33" s="31"/>
      <c r="CD33" s="31"/>
      <c r="CE33" s="31"/>
      <c r="CF33" s="31"/>
      <c r="CG33" s="31"/>
      <c r="CH33" s="31"/>
      <c r="CI33" s="31"/>
      <c r="CJ33" s="31"/>
      <c r="CK33" s="31"/>
      <c r="CL33" s="31"/>
      <c r="CM33" s="31"/>
      <c r="CN33" s="31"/>
      <c r="CO33" s="31"/>
      <c r="CP33" s="31"/>
      <c r="CQ33" s="32"/>
    </row>
    <row r="34" spans="1:95" x14ac:dyDescent="0.2">
      <c r="A34" s="48"/>
      <c r="B34" s="68"/>
      <c r="C34" s="68"/>
      <c r="D34" s="68"/>
      <c r="E34" s="68"/>
      <c r="F34" s="68"/>
      <c r="G34" s="33" t="s">
        <v>380</v>
      </c>
      <c r="H34" s="33"/>
      <c r="I34" s="68"/>
      <c r="J34" s="68"/>
      <c r="K34" s="68"/>
      <c r="L34" s="68"/>
      <c r="M34" s="68"/>
      <c r="N34" s="68"/>
      <c r="O34" s="68"/>
      <c r="P34" s="68"/>
      <c r="Q34" s="68"/>
      <c r="R34" s="68"/>
      <c r="S34" s="310"/>
      <c r="T34" s="48"/>
      <c r="U34" s="68"/>
      <c r="V34" s="68"/>
      <c r="W34" s="68"/>
      <c r="X34" s="68"/>
      <c r="Y34" s="68"/>
      <c r="Z34" s="33" t="s">
        <v>380</v>
      </c>
      <c r="AA34" s="33"/>
      <c r="AB34" s="68"/>
      <c r="AC34" s="68"/>
      <c r="AD34" s="68"/>
      <c r="AE34" s="68"/>
      <c r="AF34" s="68"/>
      <c r="AG34" s="68"/>
      <c r="AH34" s="68"/>
      <c r="AI34" s="68"/>
      <c r="AJ34" s="68"/>
      <c r="AK34" s="68"/>
      <c r="AL34" s="310"/>
      <c r="AM34" s="48"/>
      <c r="AN34" s="68"/>
      <c r="AO34" s="68"/>
      <c r="AP34" s="68"/>
      <c r="AQ34" s="68"/>
      <c r="AR34" s="68"/>
      <c r="AS34" s="33" t="s">
        <v>380</v>
      </c>
      <c r="AT34" s="33"/>
      <c r="AU34" s="68"/>
      <c r="AV34" s="68"/>
      <c r="AW34" s="68"/>
      <c r="AX34" s="68"/>
      <c r="AY34" s="68"/>
      <c r="AZ34" s="68"/>
      <c r="BA34" s="68"/>
      <c r="BB34" s="68"/>
      <c r="BC34" s="68"/>
      <c r="BD34" s="68"/>
      <c r="BE34" s="310"/>
      <c r="BF34" s="48"/>
      <c r="BG34" s="68"/>
      <c r="BH34" s="68"/>
      <c r="BI34" s="68"/>
      <c r="BJ34" s="68"/>
      <c r="BK34" s="68"/>
      <c r="BL34" s="33" t="s">
        <v>380</v>
      </c>
      <c r="BM34" s="33"/>
      <c r="BN34" s="68"/>
      <c r="BO34" s="68"/>
      <c r="BP34" s="68"/>
      <c r="BQ34" s="68"/>
      <c r="BR34" s="68"/>
      <c r="BS34" s="68"/>
      <c r="BT34" s="68"/>
      <c r="BU34" s="68"/>
      <c r="BV34" s="68"/>
      <c r="BW34" s="68"/>
      <c r="BX34" s="310"/>
      <c r="BY34" s="30"/>
      <c r="BZ34" s="31"/>
      <c r="CA34" s="31"/>
      <c r="CB34" s="31"/>
      <c r="CC34" s="31"/>
      <c r="CD34" s="31"/>
      <c r="CE34" s="33" t="s">
        <v>380</v>
      </c>
      <c r="CF34" s="31"/>
      <c r="CG34" s="31"/>
      <c r="CH34" s="31"/>
      <c r="CI34" s="31"/>
      <c r="CJ34" s="31"/>
      <c r="CK34" s="31"/>
      <c r="CL34" s="31"/>
      <c r="CM34" s="31"/>
      <c r="CN34" s="31"/>
      <c r="CO34" s="31"/>
      <c r="CP34" s="31"/>
      <c r="CQ34" s="32"/>
    </row>
    <row r="35" spans="1:95" x14ac:dyDescent="0.2">
      <c r="A35" s="48"/>
      <c r="B35" s="68"/>
      <c r="C35" s="68"/>
      <c r="D35" s="68"/>
      <c r="E35" s="68"/>
      <c r="F35" s="68"/>
      <c r="G35" s="68"/>
      <c r="H35" s="68"/>
      <c r="I35" s="68"/>
      <c r="J35" s="68"/>
      <c r="K35" s="68"/>
      <c r="L35" s="68"/>
      <c r="M35" s="68"/>
      <c r="N35" s="68"/>
      <c r="O35" s="68"/>
      <c r="P35" s="68"/>
      <c r="Q35" s="68"/>
      <c r="R35" s="68"/>
      <c r="S35" s="310"/>
      <c r="T35" s="48"/>
      <c r="U35" s="68"/>
      <c r="V35" s="68"/>
      <c r="W35" s="68"/>
      <c r="X35" s="68"/>
      <c r="Y35" s="68"/>
      <c r="Z35" s="68"/>
      <c r="AA35" s="68"/>
      <c r="AB35" s="68"/>
      <c r="AC35" s="68"/>
      <c r="AD35" s="68"/>
      <c r="AE35" s="68"/>
      <c r="AF35" s="68"/>
      <c r="AG35" s="68"/>
      <c r="AH35" s="68"/>
      <c r="AI35" s="68"/>
      <c r="AJ35" s="68"/>
      <c r="AK35" s="68"/>
      <c r="AL35" s="310"/>
      <c r="AM35" s="48"/>
      <c r="AN35" s="68"/>
      <c r="AO35" s="68"/>
      <c r="AP35" s="68"/>
      <c r="AQ35" s="68"/>
      <c r="AR35" s="68"/>
      <c r="AS35" s="68"/>
      <c r="AT35" s="68"/>
      <c r="AU35" s="68"/>
      <c r="AV35" s="68"/>
      <c r="AW35" s="68"/>
      <c r="AX35" s="68"/>
      <c r="AY35" s="68"/>
      <c r="AZ35" s="68"/>
      <c r="BA35" s="68"/>
      <c r="BB35" s="68"/>
      <c r="BC35" s="68"/>
      <c r="BD35" s="68"/>
      <c r="BE35" s="310"/>
      <c r="BF35" s="48"/>
      <c r="BG35" s="68"/>
      <c r="BH35" s="68"/>
      <c r="BI35" s="68"/>
      <c r="BJ35" s="68"/>
      <c r="BK35" s="68"/>
      <c r="BL35" s="68"/>
      <c r="BM35" s="68"/>
      <c r="BN35" s="68"/>
      <c r="BO35" s="68"/>
      <c r="BP35" s="68"/>
      <c r="BQ35" s="68"/>
      <c r="BR35" s="68"/>
      <c r="BS35" s="68"/>
      <c r="BT35" s="68"/>
      <c r="BU35" s="68"/>
      <c r="BV35" s="68"/>
      <c r="BW35" s="68"/>
      <c r="BX35" s="310"/>
      <c r="BY35" s="30"/>
      <c r="BZ35" s="31"/>
      <c r="CA35" s="31"/>
      <c r="CB35" s="31"/>
      <c r="CC35" s="31"/>
      <c r="CD35" s="31"/>
      <c r="CE35" s="31"/>
      <c r="CF35" s="31"/>
      <c r="CG35" s="31"/>
      <c r="CH35" s="31"/>
      <c r="CI35" s="31"/>
      <c r="CJ35" s="31"/>
      <c r="CK35" s="31"/>
      <c r="CL35" s="31"/>
      <c r="CM35" s="31"/>
      <c r="CN35" s="31"/>
      <c r="CO35" s="31"/>
      <c r="CP35" s="31"/>
      <c r="CQ35" s="32"/>
    </row>
    <row r="36" spans="1:95" x14ac:dyDescent="0.2">
      <c r="A36" s="48"/>
      <c r="B36" s="68"/>
      <c r="C36" s="68"/>
      <c r="D36" s="68"/>
      <c r="E36" s="68"/>
      <c r="F36" s="68"/>
      <c r="G36" s="68"/>
      <c r="H36" s="68"/>
      <c r="I36" s="68"/>
      <c r="J36" s="68"/>
      <c r="K36" s="68"/>
      <c r="L36" s="68"/>
      <c r="M36" s="68"/>
      <c r="N36" s="68"/>
      <c r="O36" s="68"/>
      <c r="P36" s="68"/>
      <c r="Q36" s="68"/>
      <c r="R36" s="68"/>
      <c r="S36" s="310"/>
      <c r="T36" s="48"/>
      <c r="U36" s="68"/>
      <c r="V36" s="68"/>
      <c r="W36" s="68"/>
      <c r="X36" s="68"/>
      <c r="Y36" s="68"/>
      <c r="Z36" s="68"/>
      <c r="AA36" s="68"/>
      <c r="AB36" s="68"/>
      <c r="AC36" s="68"/>
      <c r="AD36" s="68"/>
      <c r="AE36" s="68"/>
      <c r="AF36" s="68"/>
      <c r="AG36" s="68"/>
      <c r="AH36" s="68"/>
      <c r="AI36" s="68"/>
      <c r="AJ36" s="68"/>
      <c r="AK36" s="68"/>
      <c r="AL36" s="310"/>
      <c r="AM36" s="48"/>
      <c r="AN36" s="68"/>
      <c r="AO36" s="68"/>
      <c r="AP36" s="68"/>
      <c r="AQ36" s="68"/>
      <c r="AR36" s="68"/>
      <c r="AS36" s="68"/>
      <c r="AT36" s="68"/>
      <c r="AU36" s="68"/>
      <c r="AV36" s="68"/>
      <c r="AW36" s="68"/>
      <c r="AX36" s="68"/>
      <c r="AY36" s="68"/>
      <c r="AZ36" s="68"/>
      <c r="BA36" s="68"/>
      <c r="BB36" s="68"/>
      <c r="BC36" s="68"/>
      <c r="BD36" s="68"/>
      <c r="BE36" s="310"/>
      <c r="BF36" s="48"/>
      <c r="BG36" s="68"/>
      <c r="BH36" s="68"/>
      <c r="BI36" s="68"/>
      <c r="BJ36" s="68"/>
      <c r="BK36" s="68"/>
      <c r="BL36" s="68"/>
      <c r="BM36" s="68"/>
      <c r="BN36" s="68"/>
      <c r="BO36" s="68"/>
      <c r="BP36" s="68"/>
      <c r="BQ36" s="68"/>
      <c r="BR36" s="68"/>
      <c r="BS36" s="68"/>
      <c r="BT36" s="68"/>
      <c r="BU36" s="68"/>
      <c r="BV36" s="68"/>
      <c r="BW36" s="68"/>
      <c r="BX36" s="310"/>
      <c r="BY36" s="30"/>
      <c r="BZ36" s="31"/>
      <c r="CA36" s="31"/>
      <c r="CB36" s="31"/>
      <c r="CC36" s="31"/>
      <c r="CD36" s="31"/>
      <c r="CE36" s="31"/>
      <c r="CF36" s="31"/>
      <c r="CG36" s="31"/>
      <c r="CH36" s="31"/>
      <c r="CI36" s="31"/>
      <c r="CJ36" s="31"/>
      <c r="CK36" s="31"/>
      <c r="CL36" s="31"/>
      <c r="CM36" s="31"/>
      <c r="CN36" s="31"/>
      <c r="CO36" s="31"/>
      <c r="CP36" s="31"/>
      <c r="CQ36" s="32"/>
    </row>
    <row r="37" spans="1:95" x14ac:dyDescent="0.2">
      <c r="A37" s="48"/>
      <c r="B37" s="68"/>
      <c r="C37" s="68"/>
      <c r="D37" s="68"/>
      <c r="E37" s="68"/>
      <c r="F37" s="68"/>
      <c r="G37" s="68"/>
      <c r="H37" s="68"/>
      <c r="I37" s="68"/>
      <c r="J37" s="68"/>
      <c r="K37" s="68"/>
      <c r="L37" s="68"/>
      <c r="M37" s="68"/>
      <c r="N37" s="68"/>
      <c r="O37" s="68"/>
      <c r="P37" s="68"/>
      <c r="Q37" s="68"/>
      <c r="R37" s="68"/>
      <c r="S37" s="310"/>
      <c r="T37" s="48"/>
      <c r="U37" s="68"/>
      <c r="V37" s="68"/>
      <c r="W37" s="68"/>
      <c r="X37" s="68"/>
      <c r="Y37" s="68"/>
      <c r="Z37" s="68"/>
      <c r="AA37" s="68"/>
      <c r="AB37" s="68"/>
      <c r="AC37" s="68"/>
      <c r="AD37" s="68"/>
      <c r="AE37" s="68"/>
      <c r="AF37" s="68"/>
      <c r="AG37" s="68"/>
      <c r="AH37" s="68"/>
      <c r="AI37" s="68"/>
      <c r="AJ37" s="68"/>
      <c r="AK37" s="68"/>
      <c r="AL37" s="310"/>
      <c r="AM37" s="48"/>
      <c r="AN37" s="68"/>
      <c r="AO37" s="68"/>
      <c r="AP37" s="68"/>
      <c r="AQ37" s="68"/>
      <c r="AR37" s="68"/>
      <c r="AS37" s="68"/>
      <c r="AT37" s="68"/>
      <c r="AU37" s="68"/>
      <c r="AV37" s="68"/>
      <c r="AW37" s="68"/>
      <c r="AX37" s="68"/>
      <c r="AY37" s="68"/>
      <c r="AZ37" s="68"/>
      <c r="BA37" s="68"/>
      <c r="BB37" s="68"/>
      <c r="BC37" s="68"/>
      <c r="BD37" s="68"/>
      <c r="BE37" s="310"/>
      <c r="BF37" s="48"/>
      <c r="BG37" s="68"/>
      <c r="BH37" s="68"/>
      <c r="BI37" s="68"/>
      <c r="BJ37" s="68"/>
      <c r="BK37" s="68"/>
      <c r="BL37" s="68"/>
      <c r="BM37" s="68"/>
      <c r="BN37" s="68"/>
      <c r="BO37" s="68"/>
      <c r="BP37" s="68"/>
      <c r="BQ37" s="68"/>
      <c r="BR37" s="68"/>
      <c r="BS37" s="68"/>
      <c r="BT37" s="68"/>
      <c r="BU37" s="68"/>
      <c r="BV37" s="68"/>
      <c r="BW37" s="68"/>
      <c r="BX37" s="310"/>
      <c r="BY37" s="30"/>
      <c r="BZ37" s="31"/>
      <c r="CA37" s="31"/>
      <c r="CB37" s="31"/>
      <c r="CC37" s="31"/>
      <c r="CD37" s="31"/>
      <c r="CE37" s="31"/>
      <c r="CF37" s="31"/>
      <c r="CG37" s="31"/>
      <c r="CH37" s="31"/>
      <c r="CI37" s="31"/>
      <c r="CJ37" s="31"/>
      <c r="CK37" s="31"/>
      <c r="CL37" s="31"/>
      <c r="CM37" s="31"/>
      <c r="CN37" s="31"/>
      <c r="CO37" s="31"/>
      <c r="CP37" s="31"/>
      <c r="CQ37" s="32"/>
    </row>
    <row r="38" spans="1:95" x14ac:dyDescent="0.2">
      <c r="A38" s="48"/>
      <c r="B38" s="68"/>
      <c r="C38" s="68"/>
      <c r="D38" s="68"/>
      <c r="E38" s="68"/>
      <c r="F38" s="68"/>
      <c r="G38" s="68"/>
      <c r="H38" s="68"/>
      <c r="I38" s="68"/>
      <c r="J38" s="68"/>
      <c r="K38" s="68"/>
      <c r="L38" s="68"/>
      <c r="M38" s="68"/>
      <c r="N38" s="68"/>
      <c r="O38" s="68"/>
      <c r="P38" s="68"/>
      <c r="Q38" s="68"/>
      <c r="R38" s="68"/>
      <c r="S38" s="310"/>
      <c r="T38" s="48"/>
      <c r="U38" s="68"/>
      <c r="V38" s="68"/>
      <c r="W38" s="68"/>
      <c r="X38" s="68"/>
      <c r="Y38" s="68"/>
      <c r="Z38" s="68"/>
      <c r="AA38" s="68"/>
      <c r="AB38" s="68"/>
      <c r="AC38" s="68"/>
      <c r="AD38" s="68"/>
      <c r="AE38" s="68"/>
      <c r="AF38" s="68"/>
      <c r="AG38" s="68"/>
      <c r="AH38" s="68"/>
      <c r="AI38" s="68"/>
      <c r="AJ38" s="68"/>
      <c r="AK38" s="68"/>
      <c r="AL38" s="310"/>
      <c r="AM38" s="48"/>
      <c r="AN38" s="68"/>
      <c r="AO38" s="68"/>
      <c r="AP38" s="68"/>
      <c r="AQ38" s="68"/>
      <c r="AR38" s="68"/>
      <c r="AS38" s="68"/>
      <c r="AT38" s="68"/>
      <c r="AU38" s="68"/>
      <c r="AV38" s="68"/>
      <c r="AW38" s="68"/>
      <c r="AX38" s="68"/>
      <c r="AY38" s="68"/>
      <c r="AZ38" s="68"/>
      <c r="BA38" s="68"/>
      <c r="BB38" s="68"/>
      <c r="BC38" s="68"/>
      <c r="BD38" s="68"/>
      <c r="BE38" s="310"/>
      <c r="BF38" s="48"/>
      <c r="BG38" s="68"/>
      <c r="BH38" s="68"/>
      <c r="BI38" s="68"/>
      <c r="BJ38" s="68"/>
      <c r="BK38" s="68"/>
      <c r="BL38" s="68"/>
      <c r="BM38" s="68"/>
      <c r="BN38" s="68"/>
      <c r="BO38" s="68"/>
      <c r="BP38" s="68"/>
      <c r="BQ38" s="68"/>
      <c r="BR38" s="68"/>
      <c r="BS38" s="68"/>
      <c r="BT38" s="68"/>
      <c r="BU38" s="68"/>
      <c r="BV38" s="68"/>
      <c r="BW38" s="68"/>
      <c r="BX38" s="310"/>
      <c r="BY38" s="30"/>
      <c r="BZ38" s="31"/>
      <c r="CA38" s="31"/>
      <c r="CB38" s="31"/>
      <c r="CC38" s="31"/>
      <c r="CD38" s="31"/>
      <c r="CE38" s="31"/>
      <c r="CF38" s="31"/>
      <c r="CG38" s="31"/>
      <c r="CH38" s="31"/>
      <c r="CI38" s="31"/>
      <c r="CJ38" s="31"/>
      <c r="CK38" s="31"/>
      <c r="CL38" s="31"/>
      <c r="CM38" s="31"/>
      <c r="CN38" s="31"/>
      <c r="CO38" s="31"/>
      <c r="CP38" s="31"/>
      <c r="CQ38" s="32"/>
    </row>
    <row r="39" spans="1:95" x14ac:dyDescent="0.2">
      <c r="A39" s="48"/>
      <c r="B39" s="68"/>
      <c r="C39" s="68"/>
      <c r="D39" s="68"/>
      <c r="E39" s="68"/>
      <c r="F39" s="68"/>
      <c r="G39" s="68"/>
      <c r="H39" s="68"/>
      <c r="I39" s="68"/>
      <c r="J39" s="68"/>
      <c r="K39" s="68"/>
      <c r="L39" s="68"/>
      <c r="M39" s="68"/>
      <c r="N39" s="68"/>
      <c r="O39" s="68"/>
      <c r="P39" s="68"/>
      <c r="Q39" s="68"/>
      <c r="R39" s="68"/>
      <c r="S39" s="310"/>
      <c r="T39" s="48"/>
      <c r="U39" s="68"/>
      <c r="V39" s="68"/>
      <c r="W39" s="68"/>
      <c r="X39" s="68"/>
      <c r="Y39" s="68"/>
      <c r="Z39" s="68"/>
      <c r="AA39" s="68"/>
      <c r="AB39" s="68"/>
      <c r="AC39" s="68"/>
      <c r="AD39" s="68"/>
      <c r="AE39" s="68"/>
      <c r="AF39" s="68"/>
      <c r="AG39" s="68"/>
      <c r="AH39" s="68"/>
      <c r="AI39" s="68"/>
      <c r="AJ39" s="68"/>
      <c r="AK39" s="68"/>
      <c r="AL39" s="310"/>
      <c r="AM39" s="48"/>
      <c r="AN39" s="68"/>
      <c r="AO39" s="68"/>
      <c r="AP39" s="68"/>
      <c r="AQ39" s="68"/>
      <c r="AR39" s="68"/>
      <c r="AS39" s="68"/>
      <c r="AT39" s="68"/>
      <c r="AU39" s="68"/>
      <c r="AV39" s="68"/>
      <c r="AW39" s="68"/>
      <c r="AX39" s="68"/>
      <c r="AY39" s="68"/>
      <c r="AZ39" s="68"/>
      <c r="BA39" s="68"/>
      <c r="BB39" s="68"/>
      <c r="BC39" s="68"/>
      <c r="BD39" s="68"/>
      <c r="BE39" s="310"/>
      <c r="BF39" s="48"/>
      <c r="BG39" s="68"/>
      <c r="BH39" s="68"/>
      <c r="BI39" s="68"/>
      <c r="BJ39" s="68"/>
      <c r="BK39" s="68"/>
      <c r="BL39" s="68"/>
      <c r="BM39" s="68"/>
      <c r="BN39" s="68"/>
      <c r="BO39" s="68"/>
      <c r="BP39" s="68"/>
      <c r="BQ39" s="68"/>
      <c r="BR39" s="68"/>
      <c r="BS39" s="68"/>
      <c r="BT39" s="68"/>
      <c r="BU39" s="68"/>
      <c r="BV39" s="68"/>
      <c r="BW39" s="68"/>
      <c r="BX39" s="310"/>
      <c r="BY39" s="30"/>
      <c r="BZ39" s="31"/>
      <c r="CA39" s="31"/>
      <c r="CB39" s="31"/>
      <c r="CC39" s="31"/>
      <c r="CD39" s="31"/>
      <c r="CE39" s="31"/>
      <c r="CF39" s="31"/>
      <c r="CG39" s="31"/>
      <c r="CH39" s="31"/>
      <c r="CI39" s="31"/>
      <c r="CJ39" s="31"/>
      <c r="CK39" s="31"/>
      <c r="CL39" s="31"/>
      <c r="CM39" s="31"/>
      <c r="CN39" s="31"/>
      <c r="CO39" s="31"/>
      <c r="CP39" s="31"/>
      <c r="CQ39" s="32"/>
    </row>
    <row r="40" spans="1:95" x14ac:dyDescent="0.2">
      <c r="A40" s="48"/>
      <c r="B40" s="68"/>
      <c r="C40" s="68"/>
      <c r="D40" s="68"/>
      <c r="E40" s="68"/>
      <c r="F40" s="68"/>
      <c r="G40" s="68"/>
      <c r="H40" s="68"/>
      <c r="I40" s="68"/>
      <c r="J40" s="68"/>
      <c r="K40" s="68"/>
      <c r="L40" s="68"/>
      <c r="M40" s="68"/>
      <c r="N40" s="68"/>
      <c r="O40" s="68"/>
      <c r="P40" s="68"/>
      <c r="Q40" s="68"/>
      <c r="R40" s="68"/>
      <c r="S40" s="310"/>
      <c r="T40" s="48"/>
      <c r="U40" s="68"/>
      <c r="V40" s="68"/>
      <c r="W40" s="68"/>
      <c r="X40" s="68"/>
      <c r="Y40" s="68"/>
      <c r="Z40" s="68"/>
      <c r="AA40" s="68"/>
      <c r="AB40" s="68"/>
      <c r="AC40" s="68"/>
      <c r="AD40" s="68"/>
      <c r="AE40" s="68"/>
      <c r="AF40" s="68"/>
      <c r="AG40" s="68"/>
      <c r="AH40" s="68"/>
      <c r="AI40" s="68"/>
      <c r="AJ40" s="68"/>
      <c r="AK40" s="68"/>
      <c r="AL40" s="310"/>
      <c r="AM40" s="48"/>
      <c r="AN40" s="68"/>
      <c r="AO40" s="68"/>
      <c r="AP40" s="68"/>
      <c r="AQ40" s="68"/>
      <c r="AR40" s="68"/>
      <c r="AS40" s="68"/>
      <c r="AT40" s="68"/>
      <c r="AU40" s="68"/>
      <c r="AV40" s="68"/>
      <c r="AW40" s="68"/>
      <c r="AX40" s="68"/>
      <c r="AY40" s="68"/>
      <c r="AZ40" s="68"/>
      <c r="BA40" s="68"/>
      <c r="BB40" s="68"/>
      <c r="BC40" s="68"/>
      <c r="BD40" s="68"/>
      <c r="BE40" s="310"/>
      <c r="BF40" s="48"/>
      <c r="BG40" s="68"/>
      <c r="BH40" s="68"/>
      <c r="BI40" s="68"/>
      <c r="BJ40" s="68"/>
      <c r="BK40" s="68"/>
      <c r="BL40" s="68"/>
      <c r="BM40" s="68"/>
      <c r="BN40" s="68"/>
      <c r="BO40" s="68"/>
      <c r="BP40" s="68"/>
      <c r="BQ40" s="68"/>
      <c r="BR40" s="68"/>
      <c r="BS40" s="68"/>
      <c r="BT40" s="68"/>
      <c r="BU40" s="68"/>
      <c r="BV40" s="68"/>
      <c r="BW40" s="68"/>
      <c r="BX40" s="310"/>
      <c r="BY40" s="30"/>
      <c r="BZ40" s="31"/>
      <c r="CA40" s="31"/>
      <c r="CB40" s="31"/>
      <c r="CC40" s="31"/>
      <c r="CD40" s="31"/>
      <c r="CE40" s="31"/>
      <c r="CF40" s="31"/>
      <c r="CG40" s="31"/>
      <c r="CH40" s="31"/>
      <c r="CI40" s="31"/>
      <c r="CJ40" s="31"/>
      <c r="CK40" s="31"/>
      <c r="CL40" s="31"/>
      <c r="CM40" s="31"/>
      <c r="CN40" s="31"/>
      <c r="CO40" s="31"/>
      <c r="CP40" s="31"/>
      <c r="CQ40" s="32"/>
    </row>
    <row r="41" spans="1:95" x14ac:dyDescent="0.2">
      <c r="A41" s="48"/>
      <c r="B41" s="68"/>
      <c r="C41" s="68"/>
      <c r="D41" s="68"/>
      <c r="E41" s="68"/>
      <c r="F41" s="68"/>
      <c r="G41" s="68"/>
      <c r="H41" s="68"/>
      <c r="I41" s="68"/>
      <c r="J41" s="68"/>
      <c r="K41" s="68"/>
      <c r="L41" s="68"/>
      <c r="M41" s="68"/>
      <c r="N41" s="68"/>
      <c r="O41" s="68"/>
      <c r="P41" s="68"/>
      <c r="Q41" s="68"/>
      <c r="R41" s="68"/>
      <c r="S41" s="310"/>
      <c r="T41" s="48"/>
      <c r="U41" s="68"/>
      <c r="V41" s="68"/>
      <c r="W41" s="68"/>
      <c r="X41" s="68"/>
      <c r="Y41" s="68"/>
      <c r="Z41" s="68"/>
      <c r="AA41" s="68"/>
      <c r="AB41" s="68"/>
      <c r="AC41" s="68"/>
      <c r="AD41" s="68"/>
      <c r="AE41" s="68"/>
      <c r="AF41" s="68"/>
      <c r="AG41" s="68"/>
      <c r="AH41" s="68"/>
      <c r="AI41" s="68"/>
      <c r="AJ41" s="68"/>
      <c r="AK41" s="68"/>
      <c r="AL41" s="310"/>
      <c r="AM41" s="48"/>
      <c r="AN41" s="68"/>
      <c r="AO41" s="68"/>
      <c r="AP41" s="68"/>
      <c r="AQ41" s="68"/>
      <c r="AR41" s="68"/>
      <c r="AS41" s="68"/>
      <c r="AT41" s="68"/>
      <c r="AU41" s="68"/>
      <c r="AV41" s="68"/>
      <c r="AW41" s="68"/>
      <c r="AX41" s="68"/>
      <c r="AY41" s="68"/>
      <c r="AZ41" s="68"/>
      <c r="BA41" s="68"/>
      <c r="BB41" s="68"/>
      <c r="BC41" s="68"/>
      <c r="BD41" s="68"/>
      <c r="BE41" s="310"/>
      <c r="BF41" s="48"/>
      <c r="BG41" s="68"/>
      <c r="BH41" s="68"/>
      <c r="BI41" s="68"/>
      <c r="BJ41" s="68"/>
      <c r="BK41" s="68"/>
      <c r="BL41" s="68"/>
      <c r="BM41" s="68"/>
      <c r="BN41" s="68"/>
      <c r="BO41" s="68"/>
      <c r="BP41" s="68"/>
      <c r="BQ41" s="68"/>
      <c r="BR41" s="68"/>
      <c r="BS41" s="68"/>
      <c r="BT41" s="68"/>
      <c r="BU41" s="68"/>
      <c r="BV41" s="68"/>
      <c r="BW41" s="68"/>
      <c r="BX41" s="310"/>
      <c r="BY41" s="30"/>
      <c r="BZ41" s="31"/>
      <c r="CA41" s="31"/>
      <c r="CB41" s="31"/>
      <c r="CC41" s="31"/>
      <c r="CD41" s="31"/>
      <c r="CE41" s="31"/>
      <c r="CF41" s="31"/>
      <c r="CG41" s="31"/>
      <c r="CH41" s="31"/>
      <c r="CI41" s="31"/>
      <c r="CJ41" s="31"/>
      <c r="CK41" s="31"/>
      <c r="CL41" s="31"/>
      <c r="CM41" s="31"/>
      <c r="CN41" s="31"/>
      <c r="CO41" s="31"/>
      <c r="CP41" s="31"/>
      <c r="CQ41" s="32"/>
    </row>
    <row r="42" spans="1:95" x14ac:dyDescent="0.2">
      <c r="A42" s="50"/>
      <c r="B42" s="51"/>
      <c r="C42" s="51"/>
      <c r="D42" s="51"/>
      <c r="E42" s="51"/>
      <c r="F42" s="51"/>
      <c r="G42" s="51"/>
      <c r="H42" s="51"/>
      <c r="I42" s="51"/>
      <c r="J42" s="51"/>
      <c r="K42" s="51"/>
      <c r="L42" s="51"/>
      <c r="M42" s="51"/>
      <c r="N42" s="51"/>
      <c r="O42" s="51"/>
      <c r="P42" s="51"/>
      <c r="Q42" s="51"/>
      <c r="R42" s="51"/>
      <c r="S42" s="311"/>
      <c r="T42" s="50"/>
      <c r="U42" s="51"/>
      <c r="V42" s="51"/>
      <c r="W42" s="51"/>
      <c r="X42" s="51"/>
      <c r="Y42" s="51"/>
      <c r="Z42" s="51"/>
      <c r="AA42" s="51"/>
      <c r="AB42" s="51"/>
      <c r="AC42" s="51"/>
      <c r="AD42" s="51"/>
      <c r="AE42" s="51"/>
      <c r="AF42" s="51"/>
      <c r="AG42" s="51"/>
      <c r="AH42" s="51"/>
      <c r="AI42" s="51"/>
      <c r="AJ42" s="51"/>
      <c r="AK42" s="51"/>
      <c r="AL42" s="311"/>
      <c r="AM42" s="50"/>
      <c r="AN42" s="51"/>
      <c r="AO42" s="51"/>
      <c r="AP42" s="51"/>
      <c r="AQ42" s="51"/>
      <c r="AR42" s="51"/>
      <c r="AS42" s="51"/>
      <c r="AT42" s="51"/>
      <c r="AU42" s="51"/>
      <c r="AV42" s="51"/>
      <c r="AW42" s="51"/>
      <c r="AX42" s="51"/>
      <c r="AY42" s="51"/>
      <c r="AZ42" s="51"/>
      <c r="BA42" s="51"/>
      <c r="BB42" s="51"/>
      <c r="BC42" s="51"/>
      <c r="BD42" s="51"/>
      <c r="BE42" s="311"/>
      <c r="BF42" s="50"/>
      <c r="BG42" s="51"/>
      <c r="BH42" s="51"/>
      <c r="BI42" s="51"/>
      <c r="BJ42" s="51"/>
      <c r="BK42" s="51"/>
      <c r="BL42" s="51"/>
      <c r="BM42" s="51"/>
      <c r="BN42" s="51"/>
      <c r="BO42" s="51"/>
      <c r="BP42" s="51"/>
      <c r="BQ42" s="51"/>
      <c r="BR42" s="51"/>
      <c r="BS42" s="51"/>
      <c r="BT42" s="51"/>
      <c r="BU42" s="51"/>
      <c r="BV42" s="51"/>
      <c r="BW42" s="51"/>
      <c r="BX42" s="311"/>
      <c r="BY42" s="38"/>
      <c r="BZ42" s="36"/>
      <c r="CA42" s="36"/>
      <c r="CB42" s="36"/>
      <c r="CC42" s="36"/>
      <c r="CD42" s="36"/>
      <c r="CE42" s="36"/>
      <c r="CF42" s="36"/>
      <c r="CG42" s="36"/>
      <c r="CH42" s="36"/>
      <c r="CI42" s="36"/>
      <c r="CJ42" s="36"/>
      <c r="CK42" s="36"/>
      <c r="CL42" s="36"/>
      <c r="CM42" s="36"/>
      <c r="CN42" s="36"/>
      <c r="CO42" s="36"/>
      <c r="CP42" s="36"/>
      <c r="CQ42" s="39"/>
    </row>
    <row r="43" spans="1:95" x14ac:dyDescent="0.2">
      <c r="A43" s="130" t="s">
        <v>104</v>
      </c>
      <c r="B43" s="131"/>
      <c r="C43" s="131"/>
      <c r="D43" s="131"/>
      <c r="E43" s="131"/>
      <c r="F43" s="131"/>
      <c r="G43" s="131"/>
      <c r="H43" s="131"/>
      <c r="I43" s="131"/>
      <c r="J43" s="131"/>
      <c r="K43" s="131"/>
      <c r="L43" s="131"/>
      <c r="M43" s="131"/>
      <c r="N43" s="131"/>
      <c r="O43" s="131"/>
      <c r="P43" s="131"/>
      <c r="Q43" s="131"/>
      <c r="R43" s="131"/>
      <c r="S43" s="132"/>
      <c r="T43" s="130" t="s">
        <v>104</v>
      </c>
      <c r="U43" s="131"/>
      <c r="V43" s="131"/>
      <c r="W43" s="131"/>
      <c r="X43" s="131"/>
      <c r="Y43" s="131"/>
      <c r="Z43" s="131"/>
      <c r="AA43" s="131"/>
      <c r="AB43" s="131"/>
      <c r="AC43" s="131"/>
      <c r="AD43" s="131"/>
      <c r="AE43" s="131"/>
      <c r="AF43" s="131"/>
      <c r="AG43" s="131"/>
      <c r="AH43" s="131"/>
      <c r="AI43" s="131"/>
      <c r="AJ43" s="131"/>
      <c r="AK43" s="131"/>
      <c r="AL43" s="132"/>
      <c r="AM43" s="130" t="s">
        <v>104</v>
      </c>
      <c r="AN43" s="131"/>
      <c r="AO43" s="131"/>
      <c r="AP43" s="131"/>
      <c r="AQ43" s="131"/>
      <c r="AR43" s="131"/>
      <c r="AS43" s="131"/>
      <c r="AT43" s="131"/>
      <c r="AU43" s="131"/>
      <c r="AV43" s="131"/>
      <c r="AW43" s="131"/>
      <c r="AX43" s="131"/>
      <c r="AY43" s="131"/>
      <c r="AZ43" s="131"/>
      <c r="BA43" s="131"/>
      <c r="BB43" s="131"/>
      <c r="BC43" s="131"/>
      <c r="BD43" s="131"/>
      <c r="BE43" s="132"/>
      <c r="BF43" s="130" t="s">
        <v>104</v>
      </c>
      <c r="BG43" s="131"/>
      <c r="BH43" s="131"/>
      <c r="BI43" s="131"/>
      <c r="BJ43" s="131"/>
      <c r="BK43" s="131"/>
      <c r="BL43" s="131"/>
      <c r="BM43" s="131"/>
      <c r="BN43" s="131"/>
      <c r="BO43" s="131"/>
      <c r="BP43" s="131"/>
      <c r="BQ43" s="131"/>
      <c r="BR43" s="131"/>
      <c r="BS43" s="131"/>
      <c r="BT43" s="131"/>
      <c r="BU43" s="131"/>
      <c r="BV43" s="131"/>
      <c r="BW43" s="131"/>
      <c r="BX43" s="132"/>
      <c r="BY43" s="130" t="s">
        <v>146</v>
      </c>
      <c r="BZ43" s="133"/>
      <c r="CA43" s="133"/>
      <c r="CB43" s="133"/>
      <c r="CC43" s="133"/>
      <c r="CD43" s="133"/>
      <c r="CE43" s="133"/>
      <c r="CF43" s="133"/>
      <c r="CG43" s="133"/>
      <c r="CH43" s="133"/>
      <c r="CI43" s="133"/>
      <c r="CJ43" s="133"/>
      <c r="CK43" s="133"/>
      <c r="CL43" s="133"/>
      <c r="CM43" s="133"/>
      <c r="CN43" s="133"/>
      <c r="CO43" s="133"/>
      <c r="CP43" s="133"/>
      <c r="CQ43" s="134"/>
    </row>
    <row r="44" spans="1:95" x14ac:dyDescent="0.2">
      <c r="A44" s="130"/>
      <c r="B44" s="131"/>
      <c r="C44" s="131"/>
      <c r="D44" s="131"/>
      <c r="E44" s="131"/>
      <c r="F44" s="131"/>
      <c r="G44" s="131"/>
      <c r="H44" s="131"/>
      <c r="I44" s="131"/>
      <c r="J44" s="131"/>
      <c r="K44" s="131"/>
      <c r="L44" s="131"/>
      <c r="M44" s="131"/>
      <c r="N44" s="131"/>
      <c r="O44" s="131"/>
      <c r="P44" s="131"/>
      <c r="Q44" s="131"/>
      <c r="R44" s="131"/>
      <c r="S44" s="132"/>
      <c r="T44" s="130"/>
      <c r="U44" s="131"/>
      <c r="V44" s="131"/>
      <c r="W44" s="131"/>
      <c r="X44" s="131"/>
      <c r="Y44" s="131"/>
      <c r="Z44" s="131"/>
      <c r="AA44" s="131"/>
      <c r="AB44" s="131"/>
      <c r="AC44" s="131"/>
      <c r="AD44" s="131"/>
      <c r="AE44" s="131"/>
      <c r="AF44" s="131"/>
      <c r="AG44" s="131"/>
      <c r="AH44" s="131"/>
      <c r="AI44" s="131"/>
      <c r="AJ44" s="131"/>
      <c r="AK44" s="131"/>
      <c r="AL44" s="132"/>
      <c r="AM44" s="130"/>
      <c r="AN44" s="131"/>
      <c r="AO44" s="131"/>
      <c r="AP44" s="131"/>
      <c r="AQ44" s="131"/>
      <c r="AR44" s="131"/>
      <c r="AS44" s="131"/>
      <c r="AT44" s="131"/>
      <c r="AU44" s="131"/>
      <c r="AV44" s="131"/>
      <c r="AW44" s="131"/>
      <c r="AX44" s="131"/>
      <c r="AY44" s="131"/>
      <c r="AZ44" s="131"/>
      <c r="BA44" s="131"/>
      <c r="BB44" s="131"/>
      <c r="BC44" s="131"/>
      <c r="BD44" s="131"/>
      <c r="BE44" s="132"/>
      <c r="BF44" s="130"/>
      <c r="BG44" s="131"/>
      <c r="BH44" s="131"/>
      <c r="BI44" s="131"/>
      <c r="BJ44" s="131"/>
      <c r="BK44" s="131"/>
      <c r="BL44" s="131"/>
      <c r="BM44" s="131"/>
      <c r="BN44" s="131"/>
      <c r="BO44" s="131"/>
      <c r="BP44" s="131"/>
      <c r="BQ44" s="131"/>
      <c r="BR44" s="131"/>
      <c r="BS44" s="131"/>
      <c r="BT44" s="131"/>
      <c r="BU44" s="131"/>
      <c r="BV44" s="131"/>
      <c r="BW44" s="131"/>
      <c r="BX44" s="132"/>
      <c r="BY44" s="130"/>
      <c r="BZ44" s="133"/>
      <c r="CA44" s="133"/>
      <c r="CB44" s="133"/>
      <c r="CC44" s="133"/>
      <c r="CD44" s="133"/>
      <c r="CE44" s="133"/>
      <c r="CF44" s="133"/>
      <c r="CG44" s="133"/>
      <c r="CH44" s="133"/>
      <c r="CI44" s="133"/>
      <c r="CJ44" s="133"/>
      <c r="CK44" s="133"/>
      <c r="CL44" s="133"/>
      <c r="CM44" s="133"/>
      <c r="CN44" s="133"/>
      <c r="CO44" s="133"/>
      <c r="CP44" s="133"/>
      <c r="CQ44" s="134"/>
    </row>
    <row r="45" spans="1:95"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c r="AM45" s="135" t="s">
        <v>105</v>
      </c>
      <c r="AN45" s="136"/>
      <c r="AO45" s="136"/>
      <c r="AP45" s="136"/>
      <c r="AQ45" s="136"/>
      <c r="AR45" s="136"/>
      <c r="AS45" s="136"/>
      <c r="AT45" s="136"/>
      <c r="AU45" s="136"/>
      <c r="AV45" s="136"/>
      <c r="AW45" s="136"/>
      <c r="AX45" s="136"/>
      <c r="AY45" s="136"/>
      <c r="AZ45" s="136"/>
      <c r="BA45" s="136"/>
      <c r="BB45" s="136"/>
      <c r="BC45" s="136"/>
      <c r="BD45" s="136"/>
      <c r="BE45" s="137"/>
      <c r="BF45" s="135" t="s">
        <v>105</v>
      </c>
      <c r="BG45" s="136"/>
      <c r="BH45" s="136"/>
      <c r="BI45" s="136"/>
      <c r="BJ45" s="136"/>
      <c r="BK45" s="136"/>
      <c r="BL45" s="136"/>
      <c r="BM45" s="136"/>
      <c r="BN45" s="136"/>
      <c r="BO45" s="136"/>
      <c r="BP45" s="136"/>
      <c r="BQ45" s="136"/>
      <c r="BR45" s="136"/>
      <c r="BS45" s="136"/>
      <c r="BT45" s="136"/>
      <c r="BU45" s="136"/>
      <c r="BV45" s="136"/>
      <c r="BW45" s="136"/>
      <c r="BX45" s="137"/>
      <c r="BY45" s="135" t="s">
        <v>105</v>
      </c>
      <c r="BZ45" s="136"/>
      <c r="CA45" s="136"/>
      <c r="CB45" s="136"/>
      <c r="CC45" s="136"/>
      <c r="CD45" s="136"/>
      <c r="CE45" s="136"/>
      <c r="CF45" s="136"/>
      <c r="CG45" s="136"/>
      <c r="CH45" s="136"/>
      <c r="CI45" s="136"/>
      <c r="CJ45" s="136"/>
      <c r="CK45" s="136"/>
      <c r="CL45" s="136"/>
      <c r="CM45" s="136"/>
      <c r="CN45" s="136"/>
      <c r="CO45" s="136"/>
      <c r="CP45" s="136"/>
      <c r="CQ45" s="137"/>
    </row>
    <row r="46" spans="1:95" ht="14.25" customHeight="1" x14ac:dyDescent="0.2">
      <c r="A46" s="683" t="s">
        <v>111</v>
      </c>
      <c r="B46" s="684"/>
      <c r="C46" s="689">
        <v>0</v>
      </c>
      <c r="D46" s="690"/>
      <c r="E46" s="684" t="s">
        <v>112</v>
      </c>
      <c r="F46" s="684"/>
      <c r="G46" s="689">
        <v>0</v>
      </c>
      <c r="H46" s="690"/>
      <c r="I46" s="138"/>
      <c r="J46" s="136"/>
      <c r="K46" s="136"/>
      <c r="L46" s="136"/>
      <c r="M46" s="139" t="s">
        <v>148</v>
      </c>
      <c r="N46" s="694">
        <f>IF(C47&gt;0,(((G47-G46)/(C47-C46))^-1-IF(CL52&gt;0,CL52^-1,0))^-1,0)</f>
        <v>0</v>
      </c>
      <c r="O46" s="695"/>
      <c r="P46" s="696"/>
      <c r="Q46" s="697"/>
      <c r="R46" s="697"/>
      <c r="S46" s="137"/>
      <c r="T46" s="683" t="s">
        <v>111</v>
      </c>
      <c r="U46" s="684"/>
      <c r="V46" s="689">
        <v>0</v>
      </c>
      <c r="W46" s="690"/>
      <c r="X46" s="684" t="s">
        <v>112</v>
      </c>
      <c r="Y46" s="684"/>
      <c r="Z46" s="689">
        <v>0</v>
      </c>
      <c r="AA46" s="690"/>
      <c r="AB46" s="138"/>
      <c r="AC46" s="136"/>
      <c r="AD46" s="136"/>
      <c r="AE46" s="136"/>
      <c r="AF46" s="139" t="s">
        <v>148</v>
      </c>
      <c r="AG46" s="694">
        <f>IF(V47&gt;0,(((Z47-Z46)/(V47-V46))^-1-IF(CL52&gt;0,CL52^-1,0))^-1,0)</f>
        <v>0</v>
      </c>
      <c r="AH46" s="695"/>
      <c r="AI46" s="696"/>
      <c r="AJ46" s="697"/>
      <c r="AK46" s="697"/>
      <c r="AL46" s="137"/>
      <c r="AM46" s="683" t="s">
        <v>111</v>
      </c>
      <c r="AN46" s="684"/>
      <c r="AO46" s="689">
        <v>0</v>
      </c>
      <c r="AP46" s="690"/>
      <c r="AQ46" s="684" t="s">
        <v>112</v>
      </c>
      <c r="AR46" s="684"/>
      <c r="AS46" s="689">
        <v>0</v>
      </c>
      <c r="AT46" s="690"/>
      <c r="AU46" s="138"/>
      <c r="AV46" s="136"/>
      <c r="AW46" s="136"/>
      <c r="AX46" s="136"/>
      <c r="AY46" s="139" t="s">
        <v>148</v>
      </c>
      <c r="AZ46" s="694">
        <f>IF(AO47&gt;0,(((AS47-AS46)/(AO47-AO46))^-1-IF(CL52&gt;0,CL52^-1,0))^-1,0)</f>
        <v>0</v>
      </c>
      <c r="BA46" s="695"/>
      <c r="BB46" s="696"/>
      <c r="BC46" s="697"/>
      <c r="BD46" s="697"/>
      <c r="BE46" s="137"/>
      <c r="BF46" s="683" t="s">
        <v>111</v>
      </c>
      <c r="BG46" s="684"/>
      <c r="BH46" s="689">
        <v>0</v>
      </c>
      <c r="BI46" s="690"/>
      <c r="BJ46" s="684" t="s">
        <v>112</v>
      </c>
      <c r="BK46" s="684"/>
      <c r="BL46" s="689">
        <v>0</v>
      </c>
      <c r="BM46" s="690"/>
      <c r="BN46" s="138"/>
      <c r="BO46" s="136"/>
      <c r="BP46" s="136"/>
      <c r="BQ46" s="136"/>
      <c r="BR46" s="139" t="s">
        <v>148</v>
      </c>
      <c r="BS46" s="694">
        <f>IF(BH47&gt;0,(((BL47-BL46)/(BH47-BH46))^-1-IF(CL52&gt;0,CL52^-1,0))^-1,0)</f>
        <v>0</v>
      </c>
      <c r="BT46" s="695"/>
      <c r="BU46" s="696"/>
      <c r="BV46" s="697"/>
      <c r="BW46" s="697"/>
      <c r="BX46" s="137"/>
      <c r="BY46" s="683" t="s">
        <v>111</v>
      </c>
      <c r="BZ46" s="684"/>
      <c r="CA46" s="689">
        <v>0</v>
      </c>
      <c r="CB46" s="690"/>
      <c r="CC46" s="684" t="s">
        <v>112</v>
      </c>
      <c r="CD46" s="684"/>
      <c r="CE46" s="689">
        <v>0</v>
      </c>
      <c r="CF46" s="690"/>
      <c r="CG46" s="138"/>
      <c r="CH46" s="136"/>
      <c r="CI46" s="136"/>
      <c r="CJ46" s="136"/>
      <c r="CK46" s="139" t="s">
        <v>148</v>
      </c>
      <c r="CL46" s="666">
        <f>IF((CA47-CA46)&gt;0,(CE47-CE46)/(CA47-CA46),0)</f>
        <v>0</v>
      </c>
      <c r="CM46" s="667"/>
      <c r="CN46" s="136"/>
      <c r="CO46" s="136"/>
      <c r="CP46" s="136"/>
      <c r="CQ46" s="137"/>
    </row>
    <row r="47" spans="1:95" ht="14.25" customHeight="1" x14ac:dyDescent="0.2">
      <c r="A47" s="683" t="s">
        <v>113</v>
      </c>
      <c r="B47" s="684"/>
      <c r="C47" s="689">
        <v>0</v>
      </c>
      <c r="D47" s="690"/>
      <c r="E47" s="684" t="s">
        <v>114</v>
      </c>
      <c r="F47" s="684"/>
      <c r="G47" s="689">
        <v>0</v>
      </c>
      <c r="H47" s="690"/>
      <c r="I47" s="133"/>
      <c r="J47" s="105"/>
      <c r="K47" s="105"/>
      <c r="L47" s="105"/>
      <c r="M47" s="105"/>
      <c r="N47" s="105"/>
      <c r="O47" s="105"/>
      <c r="P47" s="136"/>
      <c r="Q47" s="136"/>
      <c r="R47" s="136"/>
      <c r="S47" s="137"/>
      <c r="T47" s="683" t="s">
        <v>113</v>
      </c>
      <c r="U47" s="684"/>
      <c r="V47" s="689">
        <v>0</v>
      </c>
      <c r="W47" s="690"/>
      <c r="X47" s="684" t="s">
        <v>114</v>
      </c>
      <c r="Y47" s="684"/>
      <c r="Z47" s="689">
        <v>0</v>
      </c>
      <c r="AA47" s="690"/>
      <c r="AB47" s="133"/>
      <c r="AC47" s="105"/>
      <c r="AD47" s="105"/>
      <c r="AE47" s="105"/>
      <c r="AF47" s="105"/>
      <c r="AG47" s="105"/>
      <c r="AH47" s="105"/>
      <c r="AI47" s="136"/>
      <c r="AJ47" s="136"/>
      <c r="AK47" s="136"/>
      <c r="AL47" s="137"/>
      <c r="AM47" s="683" t="s">
        <v>113</v>
      </c>
      <c r="AN47" s="684"/>
      <c r="AO47" s="689">
        <v>0</v>
      </c>
      <c r="AP47" s="690"/>
      <c r="AQ47" s="684" t="s">
        <v>114</v>
      </c>
      <c r="AR47" s="684"/>
      <c r="AS47" s="689">
        <v>0</v>
      </c>
      <c r="AT47" s="690"/>
      <c r="AU47" s="133"/>
      <c r="AV47" s="105"/>
      <c r="AW47" s="105"/>
      <c r="AX47" s="105"/>
      <c r="AY47" s="105"/>
      <c r="AZ47" s="105"/>
      <c r="BA47" s="105"/>
      <c r="BB47" s="136"/>
      <c r="BC47" s="136"/>
      <c r="BD47" s="136"/>
      <c r="BE47" s="137"/>
      <c r="BF47" s="683" t="s">
        <v>113</v>
      </c>
      <c r="BG47" s="684"/>
      <c r="BH47" s="689">
        <v>0</v>
      </c>
      <c r="BI47" s="690"/>
      <c r="BJ47" s="684" t="s">
        <v>114</v>
      </c>
      <c r="BK47" s="684"/>
      <c r="BL47" s="689">
        <v>0</v>
      </c>
      <c r="BM47" s="690"/>
      <c r="BN47" s="133"/>
      <c r="BO47" s="105"/>
      <c r="BP47" s="105"/>
      <c r="BQ47" s="105"/>
      <c r="BR47" s="105"/>
      <c r="BS47" s="105"/>
      <c r="BT47" s="105"/>
      <c r="BU47" s="136"/>
      <c r="BV47" s="136"/>
      <c r="BW47" s="136"/>
      <c r="BX47" s="137"/>
      <c r="BY47" s="683" t="s">
        <v>113</v>
      </c>
      <c r="BZ47" s="684"/>
      <c r="CA47" s="689">
        <v>0</v>
      </c>
      <c r="CB47" s="690"/>
      <c r="CC47" s="684" t="s">
        <v>114</v>
      </c>
      <c r="CD47" s="684"/>
      <c r="CE47" s="689">
        <v>0</v>
      </c>
      <c r="CF47" s="690"/>
      <c r="CG47" s="133"/>
      <c r="CH47" s="133"/>
      <c r="CI47" s="133"/>
      <c r="CJ47" s="133"/>
      <c r="CK47" s="133"/>
      <c r="CL47" s="133"/>
      <c r="CM47" s="133"/>
      <c r="CN47" s="136"/>
      <c r="CO47" s="136"/>
      <c r="CP47" s="136"/>
      <c r="CQ47" s="137"/>
    </row>
    <row r="48" spans="1:95" x14ac:dyDescent="0.2">
      <c r="A48" s="140"/>
      <c r="B48" s="136"/>
      <c r="C48" s="136"/>
      <c r="D48" s="136"/>
      <c r="E48" s="136"/>
      <c r="F48" s="136"/>
      <c r="G48" s="136"/>
      <c r="H48" s="136"/>
      <c r="I48" s="136"/>
      <c r="J48" s="136"/>
      <c r="K48" s="136"/>
      <c r="L48" s="136"/>
      <c r="M48" s="136"/>
      <c r="N48" s="136"/>
      <c r="O48" s="136"/>
      <c r="P48" s="136"/>
      <c r="Q48" s="136"/>
      <c r="R48" s="136"/>
      <c r="S48" s="137"/>
      <c r="T48" s="140"/>
      <c r="U48" s="136"/>
      <c r="V48" s="136"/>
      <c r="W48" s="136"/>
      <c r="X48" s="136"/>
      <c r="Y48" s="136"/>
      <c r="Z48" s="136"/>
      <c r="AA48" s="136"/>
      <c r="AB48" s="136"/>
      <c r="AC48" s="136"/>
      <c r="AD48" s="136"/>
      <c r="AE48" s="136"/>
      <c r="AF48" s="136"/>
      <c r="AG48" s="136"/>
      <c r="AH48" s="136"/>
      <c r="AI48" s="136"/>
      <c r="AJ48" s="136"/>
      <c r="AK48" s="136"/>
      <c r="AL48" s="137"/>
      <c r="AM48" s="140"/>
      <c r="AN48" s="136"/>
      <c r="AO48" s="136"/>
      <c r="AP48" s="136"/>
      <c r="AQ48" s="136"/>
      <c r="AR48" s="136"/>
      <c r="AS48" s="136"/>
      <c r="AT48" s="136"/>
      <c r="AU48" s="136"/>
      <c r="AV48" s="136"/>
      <c r="AW48" s="136"/>
      <c r="AX48" s="136"/>
      <c r="AY48" s="136"/>
      <c r="AZ48" s="136"/>
      <c r="BA48" s="136"/>
      <c r="BB48" s="136"/>
      <c r="BC48" s="136"/>
      <c r="BD48" s="136"/>
      <c r="BE48" s="137"/>
      <c r="BF48" s="140"/>
      <c r="BG48" s="136"/>
      <c r="BH48" s="136"/>
      <c r="BI48" s="136"/>
      <c r="BJ48" s="136"/>
      <c r="BK48" s="136"/>
      <c r="BL48" s="136"/>
      <c r="BM48" s="136"/>
      <c r="BN48" s="136"/>
      <c r="BO48" s="136"/>
      <c r="BP48" s="136"/>
      <c r="BQ48" s="136"/>
      <c r="BR48" s="136"/>
      <c r="BS48" s="136"/>
      <c r="BT48" s="136"/>
      <c r="BU48" s="136"/>
      <c r="BV48" s="136"/>
      <c r="BW48" s="136"/>
      <c r="BX48" s="137"/>
      <c r="BY48" s="130"/>
      <c r="BZ48" s="133"/>
      <c r="CA48" s="133"/>
      <c r="CB48" s="133"/>
      <c r="CC48" s="133"/>
      <c r="CD48" s="133"/>
      <c r="CE48" s="133"/>
      <c r="CF48" s="133"/>
      <c r="CG48" s="133"/>
      <c r="CH48" s="133"/>
      <c r="CI48" s="133"/>
      <c r="CJ48" s="133"/>
      <c r="CK48" s="133"/>
      <c r="CL48" s="133"/>
      <c r="CM48" s="133"/>
      <c r="CN48" s="133"/>
      <c r="CO48" s="133"/>
      <c r="CP48" s="133"/>
      <c r="CQ48" s="134"/>
    </row>
    <row r="49" spans="1:95" x14ac:dyDescent="0.2">
      <c r="A49" s="130" t="s">
        <v>122</v>
      </c>
      <c r="B49" s="136"/>
      <c r="C49" s="136"/>
      <c r="D49" s="136"/>
      <c r="E49" s="136"/>
      <c r="F49" s="136"/>
      <c r="G49" s="136"/>
      <c r="H49" s="136"/>
      <c r="I49" s="136"/>
      <c r="J49" s="136"/>
      <c r="K49" s="136"/>
      <c r="L49" s="136"/>
      <c r="M49" s="136"/>
      <c r="N49" s="136"/>
      <c r="O49" s="136"/>
      <c r="P49" s="136"/>
      <c r="Q49" s="136"/>
      <c r="R49" s="136"/>
      <c r="S49" s="137"/>
      <c r="T49" s="130" t="s">
        <v>122</v>
      </c>
      <c r="U49" s="136"/>
      <c r="V49" s="136"/>
      <c r="W49" s="136"/>
      <c r="X49" s="136"/>
      <c r="Y49" s="136"/>
      <c r="Z49" s="136"/>
      <c r="AA49" s="136"/>
      <c r="AB49" s="136"/>
      <c r="AC49" s="136"/>
      <c r="AD49" s="136"/>
      <c r="AE49" s="136"/>
      <c r="AF49" s="136"/>
      <c r="AG49" s="136"/>
      <c r="AH49" s="136"/>
      <c r="AI49" s="136"/>
      <c r="AJ49" s="136"/>
      <c r="AK49" s="136"/>
      <c r="AL49" s="137"/>
      <c r="AM49" s="130" t="s">
        <v>122</v>
      </c>
      <c r="AN49" s="136"/>
      <c r="AO49" s="136"/>
      <c r="AP49" s="136"/>
      <c r="AQ49" s="136"/>
      <c r="AR49" s="136"/>
      <c r="AS49" s="136"/>
      <c r="AT49" s="136"/>
      <c r="AU49" s="136"/>
      <c r="AV49" s="136"/>
      <c r="AW49" s="136"/>
      <c r="AX49" s="136"/>
      <c r="AY49" s="136"/>
      <c r="AZ49" s="136"/>
      <c r="BA49" s="136"/>
      <c r="BB49" s="136"/>
      <c r="BC49" s="136"/>
      <c r="BD49" s="136"/>
      <c r="BE49" s="137"/>
      <c r="BF49" s="130" t="s">
        <v>122</v>
      </c>
      <c r="BG49" s="136"/>
      <c r="BH49" s="136"/>
      <c r="BI49" s="136"/>
      <c r="BJ49" s="136"/>
      <c r="BK49" s="136"/>
      <c r="BL49" s="136"/>
      <c r="BM49" s="136"/>
      <c r="BN49" s="136"/>
      <c r="BO49" s="136"/>
      <c r="BP49" s="136"/>
      <c r="BQ49" s="136"/>
      <c r="BR49" s="136"/>
      <c r="BS49" s="136"/>
      <c r="BT49" s="136"/>
      <c r="BU49" s="136"/>
      <c r="BV49" s="136"/>
      <c r="BW49" s="136"/>
      <c r="BX49" s="137"/>
      <c r="BY49" s="130" t="s">
        <v>133</v>
      </c>
      <c r="BZ49" s="133"/>
      <c r="CA49" s="133"/>
      <c r="CB49" s="133"/>
      <c r="CC49" s="133"/>
      <c r="CD49" s="133"/>
      <c r="CE49" s="133"/>
      <c r="CF49" s="133"/>
      <c r="CG49" s="133"/>
      <c r="CH49" s="133"/>
      <c r="CI49" s="133"/>
      <c r="CJ49" s="133"/>
      <c r="CK49" s="133"/>
      <c r="CL49" s="133"/>
      <c r="CM49" s="133"/>
      <c r="CN49" s="133"/>
      <c r="CO49" s="133"/>
      <c r="CP49" s="133"/>
      <c r="CQ49" s="134"/>
    </row>
    <row r="50" spans="1:95" ht="15" customHeight="1" x14ac:dyDescent="0.2">
      <c r="A50" s="683" t="s">
        <v>115</v>
      </c>
      <c r="B50" s="684"/>
      <c r="C50" s="685">
        <v>0</v>
      </c>
      <c r="D50" s="686"/>
      <c r="E50" s="138"/>
      <c r="F50" s="136"/>
      <c r="G50" s="136"/>
      <c r="H50" s="136"/>
      <c r="I50" s="136"/>
      <c r="J50" s="136"/>
      <c r="K50" s="136"/>
      <c r="L50" s="136"/>
      <c r="M50" s="136"/>
      <c r="N50" s="136"/>
      <c r="O50" s="136"/>
      <c r="P50" s="136"/>
      <c r="Q50" s="136"/>
      <c r="R50" s="136"/>
      <c r="S50" s="137"/>
      <c r="T50" s="683" t="s">
        <v>115</v>
      </c>
      <c r="U50" s="684"/>
      <c r="V50" s="685">
        <v>0</v>
      </c>
      <c r="W50" s="686"/>
      <c r="X50" s="138"/>
      <c r="Y50" s="136"/>
      <c r="Z50" s="136"/>
      <c r="AA50" s="136"/>
      <c r="AB50" s="136"/>
      <c r="AC50" s="136"/>
      <c r="AD50" s="136"/>
      <c r="AE50" s="136"/>
      <c r="AF50" s="136"/>
      <c r="AG50" s="136"/>
      <c r="AH50" s="136"/>
      <c r="AI50" s="136"/>
      <c r="AJ50" s="136"/>
      <c r="AK50" s="136"/>
      <c r="AL50" s="137"/>
      <c r="AM50" s="683" t="s">
        <v>115</v>
      </c>
      <c r="AN50" s="684"/>
      <c r="AO50" s="685">
        <v>0</v>
      </c>
      <c r="AP50" s="686"/>
      <c r="AQ50" s="138"/>
      <c r="AR50" s="136"/>
      <c r="AS50" s="136"/>
      <c r="AT50" s="136"/>
      <c r="AU50" s="136"/>
      <c r="AV50" s="136"/>
      <c r="AW50" s="136"/>
      <c r="AX50" s="136"/>
      <c r="AY50" s="136"/>
      <c r="AZ50" s="136"/>
      <c r="BA50" s="136"/>
      <c r="BB50" s="136"/>
      <c r="BC50" s="136"/>
      <c r="BD50" s="136"/>
      <c r="BE50" s="137"/>
      <c r="BF50" s="683" t="s">
        <v>115</v>
      </c>
      <c r="BG50" s="684"/>
      <c r="BH50" s="685">
        <v>0</v>
      </c>
      <c r="BI50" s="686"/>
      <c r="BJ50" s="138"/>
      <c r="BK50" s="136"/>
      <c r="BL50" s="136"/>
      <c r="BM50" s="136"/>
      <c r="BN50" s="136"/>
      <c r="BO50" s="136"/>
      <c r="BP50" s="136"/>
      <c r="BQ50" s="136"/>
      <c r="BR50" s="136"/>
      <c r="BS50" s="136"/>
      <c r="BT50" s="136"/>
      <c r="BU50" s="136"/>
      <c r="BV50" s="136"/>
      <c r="BW50" s="136"/>
      <c r="BX50" s="137"/>
      <c r="BY50" s="130"/>
      <c r="BZ50" s="141" t="s">
        <v>141</v>
      </c>
      <c r="CA50" s="687">
        <f>C53</f>
        <v>400</v>
      </c>
      <c r="CB50" s="688"/>
      <c r="CC50" s="142" t="s">
        <v>144</v>
      </c>
      <c r="CD50" s="142"/>
      <c r="CE50" s="142"/>
      <c r="CF50" s="142"/>
      <c r="CG50" s="133"/>
      <c r="CH50" s="133"/>
      <c r="CI50" s="133"/>
      <c r="CJ50" s="133"/>
      <c r="CK50" s="139" t="s">
        <v>143</v>
      </c>
      <c r="CL50" s="676">
        <f>CA51*(1/64)*PI()*(CA52^4-CA53^4)*200000</f>
        <v>1744439000.4490404</v>
      </c>
      <c r="CM50" s="677"/>
      <c r="CN50" s="348">
        <f>CL50*48/CA50^3</f>
        <v>1308.3292503367802</v>
      </c>
      <c r="CO50" s="133"/>
      <c r="CP50" s="133"/>
      <c r="CQ50" s="134"/>
    </row>
    <row r="51" spans="1:95" ht="15" x14ac:dyDescent="0.2">
      <c r="A51" s="140"/>
      <c r="B51" s="136"/>
      <c r="C51" s="678"/>
      <c r="D51" s="678"/>
      <c r="E51" s="136"/>
      <c r="F51" s="136"/>
      <c r="G51" s="136"/>
      <c r="H51" s="136"/>
      <c r="I51" s="136"/>
      <c r="J51" s="136"/>
      <c r="K51" s="136"/>
      <c r="L51" s="136"/>
      <c r="M51" s="136"/>
      <c r="N51" s="136"/>
      <c r="O51" s="136"/>
      <c r="P51" s="136"/>
      <c r="Q51" s="136"/>
      <c r="R51" s="136"/>
      <c r="S51" s="137"/>
      <c r="T51" s="140"/>
      <c r="U51" s="136"/>
      <c r="V51" s="678"/>
      <c r="W51" s="678"/>
      <c r="X51" s="136"/>
      <c r="Y51" s="136"/>
      <c r="Z51" s="136"/>
      <c r="AA51" s="136"/>
      <c r="AB51" s="136"/>
      <c r="AC51" s="136"/>
      <c r="AD51" s="136"/>
      <c r="AE51" s="136"/>
      <c r="AF51" s="136"/>
      <c r="AG51" s="136"/>
      <c r="AH51" s="136"/>
      <c r="AI51" s="136"/>
      <c r="AJ51" s="136"/>
      <c r="AK51" s="136"/>
      <c r="AL51" s="137"/>
      <c r="AM51" s="140"/>
      <c r="AN51" s="136"/>
      <c r="AO51" s="678"/>
      <c r="AP51" s="678"/>
      <c r="AQ51" s="136"/>
      <c r="AR51" s="136"/>
      <c r="AS51" s="136"/>
      <c r="AT51" s="136"/>
      <c r="AU51" s="136"/>
      <c r="AV51" s="136"/>
      <c r="AW51" s="136"/>
      <c r="AX51" s="136"/>
      <c r="AY51" s="136"/>
      <c r="AZ51" s="136"/>
      <c r="BA51" s="136"/>
      <c r="BB51" s="136"/>
      <c r="BC51" s="136"/>
      <c r="BD51" s="136"/>
      <c r="BE51" s="137"/>
      <c r="BF51" s="140"/>
      <c r="BG51" s="136"/>
      <c r="BH51" s="678"/>
      <c r="BI51" s="678"/>
      <c r="BJ51" s="136"/>
      <c r="BK51" s="136"/>
      <c r="BL51" s="136"/>
      <c r="BM51" s="136"/>
      <c r="BN51" s="136"/>
      <c r="BO51" s="136"/>
      <c r="BP51" s="136"/>
      <c r="BQ51" s="136"/>
      <c r="BR51" s="136"/>
      <c r="BS51" s="136"/>
      <c r="BT51" s="136"/>
      <c r="BU51" s="136"/>
      <c r="BV51" s="136"/>
      <c r="BW51" s="136"/>
      <c r="BX51" s="137"/>
      <c r="BY51" s="130"/>
      <c r="BZ51" s="139" t="s">
        <v>134</v>
      </c>
      <c r="CA51" s="679">
        <v>1</v>
      </c>
      <c r="CB51" s="680"/>
      <c r="CC51" s="133" t="s">
        <v>147</v>
      </c>
      <c r="CD51" s="133"/>
      <c r="CE51" s="133"/>
      <c r="CF51" s="133"/>
      <c r="CG51" s="133"/>
      <c r="CH51" s="133"/>
      <c r="CI51" s="133"/>
      <c r="CJ51" s="133"/>
      <c r="CK51" s="139" t="s">
        <v>145</v>
      </c>
      <c r="CL51" s="676">
        <f>IF(CL46&gt;0,(CL46*CA50^3)/48,CL50)</f>
        <v>1744439000.4490404</v>
      </c>
      <c r="CM51" s="677"/>
      <c r="CN51" s="348">
        <f>CL51*48/CA50^3</f>
        <v>1308.3292503367802</v>
      </c>
      <c r="CO51" s="133"/>
      <c r="CP51" s="133"/>
      <c r="CQ51" s="134"/>
    </row>
    <row r="52" spans="1:95" ht="14.25" x14ac:dyDescent="0.25">
      <c r="A52" s="135" t="s">
        <v>140</v>
      </c>
      <c r="B52" s="136"/>
      <c r="C52" s="136"/>
      <c r="D52" s="136"/>
      <c r="E52" s="136"/>
      <c r="F52" s="136"/>
      <c r="G52" s="136"/>
      <c r="H52" s="136"/>
      <c r="I52" s="136"/>
      <c r="J52" s="136"/>
      <c r="K52" s="136"/>
      <c r="L52" s="136"/>
      <c r="M52" s="136"/>
      <c r="N52" s="136"/>
      <c r="O52" s="136"/>
      <c r="P52" s="136"/>
      <c r="Q52" s="136"/>
      <c r="R52" s="136"/>
      <c r="S52" s="137"/>
      <c r="T52" s="135" t="s">
        <v>140</v>
      </c>
      <c r="U52" s="136"/>
      <c r="V52" s="136"/>
      <c r="W52" s="136"/>
      <c r="X52" s="136"/>
      <c r="Y52" s="136"/>
      <c r="Z52" s="136"/>
      <c r="AA52" s="136"/>
      <c r="AB52" s="136"/>
      <c r="AC52" s="136"/>
      <c r="AD52" s="136"/>
      <c r="AE52" s="136"/>
      <c r="AF52" s="136"/>
      <c r="AG52" s="136"/>
      <c r="AH52" s="136"/>
      <c r="AI52" s="136"/>
      <c r="AJ52" s="136"/>
      <c r="AK52" s="136"/>
      <c r="AL52" s="137"/>
      <c r="AM52" s="135" t="s">
        <v>140</v>
      </c>
      <c r="AN52" s="136"/>
      <c r="AO52" s="136"/>
      <c r="AP52" s="136"/>
      <c r="AQ52" s="136"/>
      <c r="AR52" s="136"/>
      <c r="AS52" s="136"/>
      <c r="AT52" s="136"/>
      <c r="AU52" s="136"/>
      <c r="AV52" s="136"/>
      <c r="AW52" s="136"/>
      <c r="AX52" s="136"/>
      <c r="AY52" s="136"/>
      <c r="AZ52" s="136"/>
      <c r="BA52" s="136"/>
      <c r="BB52" s="136"/>
      <c r="BC52" s="136"/>
      <c r="BD52" s="136"/>
      <c r="BE52" s="137"/>
      <c r="BF52" s="135" t="s">
        <v>140</v>
      </c>
      <c r="BG52" s="136"/>
      <c r="BH52" s="136"/>
      <c r="BI52" s="136"/>
      <c r="BJ52" s="136"/>
      <c r="BK52" s="136"/>
      <c r="BL52" s="136"/>
      <c r="BM52" s="136"/>
      <c r="BN52" s="136"/>
      <c r="BO52" s="136"/>
      <c r="BP52" s="136"/>
      <c r="BQ52" s="136"/>
      <c r="BR52" s="136"/>
      <c r="BS52" s="136"/>
      <c r="BT52" s="136"/>
      <c r="BU52" s="136"/>
      <c r="BV52" s="136"/>
      <c r="BW52" s="136"/>
      <c r="BX52" s="137"/>
      <c r="BY52" s="130"/>
      <c r="BZ52" s="139" t="s">
        <v>137</v>
      </c>
      <c r="CA52" s="679">
        <v>25.4</v>
      </c>
      <c r="CB52" s="680"/>
      <c r="CC52" s="133" t="s">
        <v>135</v>
      </c>
      <c r="CD52" s="133"/>
      <c r="CE52" s="133"/>
      <c r="CF52" s="133"/>
      <c r="CG52" s="133"/>
      <c r="CH52" s="133"/>
      <c r="CI52" s="133"/>
      <c r="CJ52" s="133"/>
      <c r="CK52" s="139" t="s">
        <v>139</v>
      </c>
      <c r="CL52" s="681">
        <f>IF(CL51&gt;=CL50,0,(CN51^-1-CN50^-1)^-1)</f>
        <v>0</v>
      </c>
      <c r="CM52" s="682"/>
      <c r="CN52" s="133"/>
      <c r="CO52" s="133"/>
      <c r="CP52" s="133"/>
      <c r="CQ52" s="134"/>
    </row>
    <row r="53" spans="1:95" ht="12.75" customHeight="1" x14ac:dyDescent="0.25">
      <c r="A53" s="143"/>
      <c r="B53" s="144" t="s">
        <v>141</v>
      </c>
      <c r="C53" s="689">
        <v>400</v>
      </c>
      <c r="D53" s="690"/>
      <c r="E53" s="138" t="s">
        <v>142</v>
      </c>
      <c r="F53" s="136"/>
      <c r="G53" s="136"/>
      <c r="H53" s="136"/>
      <c r="I53" s="136"/>
      <c r="J53" s="136"/>
      <c r="K53" s="136"/>
      <c r="L53" s="136"/>
      <c r="M53" s="136"/>
      <c r="N53" s="136"/>
      <c r="O53" s="136"/>
      <c r="P53" s="136"/>
      <c r="Q53" s="136"/>
      <c r="R53" s="136"/>
      <c r="S53" s="137"/>
      <c r="T53" s="143"/>
      <c r="U53" s="144" t="s">
        <v>141</v>
      </c>
      <c r="V53" s="689">
        <v>400</v>
      </c>
      <c r="W53" s="690"/>
      <c r="X53" s="138" t="s">
        <v>142</v>
      </c>
      <c r="Y53" s="136"/>
      <c r="Z53" s="136"/>
      <c r="AA53" s="136"/>
      <c r="AB53" s="136"/>
      <c r="AC53" s="136"/>
      <c r="AD53" s="136"/>
      <c r="AE53" s="136"/>
      <c r="AF53" s="136"/>
      <c r="AG53" s="136"/>
      <c r="AH53" s="136"/>
      <c r="AI53" s="136"/>
      <c r="AJ53" s="136"/>
      <c r="AK53" s="136"/>
      <c r="AL53" s="137"/>
      <c r="AM53" s="143"/>
      <c r="AN53" s="144" t="s">
        <v>141</v>
      </c>
      <c r="AO53" s="689">
        <v>400</v>
      </c>
      <c r="AP53" s="690"/>
      <c r="AQ53" s="138" t="s">
        <v>142</v>
      </c>
      <c r="AR53" s="136"/>
      <c r="AS53" s="136"/>
      <c r="AT53" s="136"/>
      <c r="AU53" s="136"/>
      <c r="AV53" s="136"/>
      <c r="AW53" s="136"/>
      <c r="AX53" s="136"/>
      <c r="AY53" s="136"/>
      <c r="AZ53" s="136"/>
      <c r="BA53" s="136"/>
      <c r="BB53" s="136"/>
      <c r="BC53" s="136"/>
      <c r="BD53" s="136"/>
      <c r="BE53" s="137"/>
      <c r="BF53" s="143"/>
      <c r="BG53" s="144" t="s">
        <v>141</v>
      </c>
      <c r="BH53" s="689">
        <v>400</v>
      </c>
      <c r="BI53" s="690"/>
      <c r="BJ53" s="138" t="s">
        <v>142</v>
      </c>
      <c r="BK53" s="136"/>
      <c r="BL53" s="136"/>
      <c r="BM53" s="136"/>
      <c r="BN53" s="136"/>
      <c r="BO53" s="136"/>
      <c r="BP53" s="136"/>
      <c r="BQ53" s="136"/>
      <c r="BR53" s="136"/>
      <c r="BS53" s="136"/>
      <c r="BT53" s="136"/>
      <c r="BU53" s="136"/>
      <c r="BV53" s="136"/>
      <c r="BW53" s="136"/>
      <c r="BX53" s="137"/>
      <c r="BY53" s="130"/>
      <c r="BZ53" s="139" t="s">
        <v>138</v>
      </c>
      <c r="CA53" s="679">
        <v>22.1</v>
      </c>
      <c r="CB53" s="680"/>
      <c r="CC53" s="133" t="s">
        <v>136</v>
      </c>
      <c r="CD53" s="133"/>
      <c r="CE53" s="133"/>
      <c r="CF53" s="133"/>
      <c r="CG53" s="133"/>
      <c r="CH53" s="133"/>
      <c r="CI53" s="133"/>
      <c r="CJ53" s="133"/>
      <c r="CK53" s="133"/>
      <c r="CL53" s="133"/>
      <c r="CM53" s="133"/>
      <c r="CN53" s="133"/>
      <c r="CO53" s="133"/>
      <c r="CP53" s="133"/>
      <c r="CQ53" s="134"/>
    </row>
    <row r="54" spans="1:95" x14ac:dyDescent="0.2">
      <c r="A54" s="668" t="s">
        <v>107</v>
      </c>
      <c r="B54" s="669"/>
      <c r="C54" s="689">
        <v>275</v>
      </c>
      <c r="D54" s="690"/>
      <c r="E54" s="138" t="s">
        <v>100</v>
      </c>
      <c r="F54" s="136"/>
      <c r="G54" s="136"/>
      <c r="H54" s="136"/>
      <c r="I54" s="136"/>
      <c r="J54" s="136"/>
      <c r="K54" s="136"/>
      <c r="L54" s="136"/>
      <c r="M54" s="136"/>
      <c r="N54" s="136"/>
      <c r="O54" s="136"/>
      <c r="P54" s="136"/>
      <c r="Q54" s="136"/>
      <c r="R54" s="136"/>
      <c r="S54" s="137"/>
      <c r="T54" s="668" t="s">
        <v>107</v>
      </c>
      <c r="U54" s="669"/>
      <c r="V54" s="689">
        <v>275</v>
      </c>
      <c r="W54" s="690"/>
      <c r="X54" s="138" t="s">
        <v>100</v>
      </c>
      <c r="Y54" s="136"/>
      <c r="Z54" s="136"/>
      <c r="AA54" s="136"/>
      <c r="AB54" s="136"/>
      <c r="AC54" s="136"/>
      <c r="AD54" s="136"/>
      <c r="AE54" s="136"/>
      <c r="AF54" s="136"/>
      <c r="AG54" s="136"/>
      <c r="AH54" s="136"/>
      <c r="AI54" s="136"/>
      <c r="AJ54" s="136"/>
      <c r="AK54" s="136"/>
      <c r="AL54" s="137"/>
      <c r="AM54" s="668" t="s">
        <v>107</v>
      </c>
      <c r="AN54" s="669"/>
      <c r="AO54" s="689">
        <v>275</v>
      </c>
      <c r="AP54" s="690"/>
      <c r="AQ54" s="138" t="s">
        <v>100</v>
      </c>
      <c r="AR54" s="136"/>
      <c r="AS54" s="136"/>
      <c r="AT54" s="136"/>
      <c r="AU54" s="136"/>
      <c r="AV54" s="136"/>
      <c r="AW54" s="136"/>
      <c r="AX54" s="136"/>
      <c r="AY54" s="136"/>
      <c r="AZ54" s="136"/>
      <c r="BA54" s="136"/>
      <c r="BB54" s="136"/>
      <c r="BC54" s="136"/>
      <c r="BD54" s="136"/>
      <c r="BE54" s="137"/>
      <c r="BF54" s="668" t="s">
        <v>107</v>
      </c>
      <c r="BG54" s="669"/>
      <c r="BH54" s="689">
        <v>275</v>
      </c>
      <c r="BI54" s="690"/>
      <c r="BJ54" s="138" t="s">
        <v>100</v>
      </c>
      <c r="BK54" s="136"/>
      <c r="BL54" s="136"/>
      <c r="BM54" s="136"/>
      <c r="BN54" s="136"/>
      <c r="BO54" s="136"/>
      <c r="BP54" s="136"/>
      <c r="BQ54" s="136"/>
      <c r="BR54" s="136"/>
      <c r="BS54" s="136"/>
      <c r="BT54" s="136"/>
      <c r="BU54" s="136"/>
      <c r="BV54" s="136"/>
      <c r="BW54" s="136"/>
      <c r="BX54" s="137"/>
      <c r="BY54" s="130"/>
      <c r="BZ54" s="133"/>
      <c r="CA54" s="133"/>
      <c r="CB54" s="133"/>
      <c r="CC54" s="133"/>
      <c r="CD54" s="133"/>
      <c r="CE54" s="133"/>
      <c r="CF54" s="133"/>
      <c r="CG54" s="133"/>
      <c r="CH54" s="133"/>
      <c r="CI54" s="133"/>
      <c r="CJ54" s="133"/>
      <c r="CK54" s="133"/>
      <c r="CL54" s="133"/>
      <c r="CM54" s="133"/>
      <c r="CN54" s="133"/>
      <c r="CO54" s="133"/>
      <c r="CP54" s="133"/>
      <c r="CQ54" s="134"/>
    </row>
    <row r="55" spans="1:95" x14ac:dyDescent="0.2">
      <c r="A55" s="668" t="s">
        <v>108</v>
      </c>
      <c r="B55" s="669"/>
      <c r="C55" s="679">
        <v>10</v>
      </c>
      <c r="D55" s="680"/>
      <c r="E55" s="133" t="s">
        <v>227</v>
      </c>
      <c r="F55" s="133"/>
      <c r="G55" s="133"/>
      <c r="H55" s="133"/>
      <c r="I55" s="133"/>
      <c r="J55" s="133"/>
      <c r="K55" s="133"/>
      <c r="L55" s="133"/>
      <c r="M55" s="133"/>
      <c r="N55" s="133"/>
      <c r="O55" s="136"/>
      <c r="P55" s="136"/>
      <c r="Q55" s="136"/>
      <c r="R55" s="136"/>
      <c r="S55" s="137"/>
      <c r="T55" s="668" t="s">
        <v>108</v>
      </c>
      <c r="U55" s="669"/>
      <c r="V55" s="679">
        <v>10</v>
      </c>
      <c r="W55" s="680"/>
      <c r="X55" s="133" t="s">
        <v>227</v>
      </c>
      <c r="Y55" s="133"/>
      <c r="Z55" s="133"/>
      <c r="AA55" s="133"/>
      <c r="AB55" s="133"/>
      <c r="AC55" s="133"/>
      <c r="AD55" s="133"/>
      <c r="AE55" s="133"/>
      <c r="AF55" s="133"/>
      <c r="AG55" s="133"/>
      <c r="AH55" s="136"/>
      <c r="AI55" s="136"/>
      <c r="AJ55" s="136"/>
      <c r="AK55" s="136"/>
      <c r="AL55" s="137"/>
      <c r="AM55" s="668" t="s">
        <v>108</v>
      </c>
      <c r="AN55" s="669"/>
      <c r="AO55" s="679">
        <v>10</v>
      </c>
      <c r="AP55" s="680"/>
      <c r="AQ55" s="133" t="s">
        <v>227</v>
      </c>
      <c r="AR55" s="133"/>
      <c r="AS55" s="133"/>
      <c r="AT55" s="133"/>
      <c r="AU55" s="133"/>
      <c r="AV55" s="133"/>
      <c r="AW55" s="133"/>
      <c r="AX55" s="133"/>
      <c r="AY55" s="133"/>
      <c r="AZ55" s="133"/>
      <c r="BA55" s="136"/>
      <c r="BB55" s="136"/>
      <c r="BC55" s="136"/>
      <c r="BD55" s="136"/>
      <c r="BE55" s="137"/>
      <c r="BF55" s="668" t="s">
        <v>108</v>
      </c>
      <c r="BG55" s="669"/>
      <c r="BH55" s="679">
        <v>10</v>
      </c>
      <c r="BI55" s="680"/>
      <c r="BJ55" s="133" t="s">
        <v>227</v>
      </c>
      <c r="BK55" s="133"/>
      <c r="BL55" s="133"/>
      <c r="BM55" s="133"/>
      <c r="BN55" s="133"/>
      <c r="BO55" s="133"/>
      <c r="BP55" s="133"/>
      <c r="BQ55" s="133"/>
      <c r="BR55" s="133"/>
      <c r="BS55" s="133"/>
      <c r="BT55" s="136"/>
      <c r="BU55" s="136"/>
      <c r="BV55" s="136"/>
      <c r="BW55" s="136"/>
      <c r="BX55" s="137"/>
      <c r="BY55" s="130"/>
      <c r="BZ55" s="133"/>
      <c r="CA55" s="133"/>
      <c r="CB55" s="133"/>
      <c r="CC55" s="133"/>
      <c r="CD55" s="133"/>
      <c r="CE55" s="133"/>
      <c r="CF55" s="133"/>
      <c r="CG55" s="133"/>
      <c r="CH55" s="133"/>
      <c r="CI55" s="133"/>
      <c r="CJ55" s="133"/>
      <c r="CK55" s="133"/>
      <c r="CL55" s="133"/>
      <c r="CM55" s="133"/>
      <c r="CN55" s="133"/>
      <c r="CO55" s="133"/>
      <c r="CP55" s="133"/>
      <c r="CQ55" s="134"/>
    </row>
    <row r="56" spans="1:95" ht="15.75" customHeight="1" x14ac:dyDescent="0.25">
      <c r="A56" s="668" t="s">
        <v>116</v>
      </c>
      <c r="B56" s="669"/>
      <c r="C56" s="679">
        <v>1</v>
      </c>
      <c r="D56" s="680"/>
      <c r="E56" s="133" t="s">
        <v>228</v>
      </c>
      <c r="F56" s="133"/>
      <c r="G56" s="133"/>
      <c r="H56" s="133"/>
      <c r="I56" s="133"/>
      <c r="J56" s="133"/>
      <c r="K56" s="133"/>
      <c r="L56" s="133"/>
      <c r="M56" s="133"/>
      <c r="N56" s="133"/>
      <c r="O56" s="136"/>
      <c r="P56" s="136"/>
      <c r="Q56" s="136"/>
      <c r="R56" s="136"/>
      <c r="S56" s="137"/>
      <c r="T56" s="668" t="s">
        <v>116</v>
      </c>
      <c r="U56" s="669"/>
      <c r="V56" s="679">
        <v>1</v>
      </c>
      <c r="W56" s="680"/>
      <c r="X56" s="133" t="s">
        <v>228</v>
      </c>
      <c r="Y56" s="133"/>
      <c r="Z56" s="133"/>
      <c r="AA56" s="133"/>
      <c r="AB56" s="133"/>
      <c r="AC56" s="133"/>
      <c r="AD56" s="133"/>
      <c r="AE56" s="133"/>
      <c r="AF56" s="133"/>
      <c r="AG56" s="133"/>
      <c r="AH56" s="136"/>
      <c r="AI56" s="136"/>
      <c r="AJ56" s="136"/>
      <c r="AK56" s="136"/>
      <c r="AL56" s="137"/>
      <c r="AM56" s="668" t="s">
        <v>116</v>
      </c>
      <c r="AN56" s="669"/>
      <c r="AO56" s="679">
        <v>1</v>
      </c>
      <c r="AP56" s="680"/>
      <c r="AQ56" s="133" t="s">
        <v>228</v>
      </c>
      <c r="AR56" s="133"/>
      <c r="AS56" s="133"/>
      <c r="AT56" s="133"/>
      <c r="AU56" s="133"/>
      <c r="AV56" s="133"/>
      <c r="AW56" s="133"/>
      <c r="AX56" s="133"/>
      <c r="AY56" s="133"/>
      <c r="AZ56" s="133"/>
      <c r="BA56" s="136"/>
      <c r="BB56" s="136"/>
      <c r="BC56" s="136"/>
      <c r="BD56" s="136"/>
      <c r="BE56" s="137"/>
      <c r="BF56" s="668" t="s">
        <v>116</v>
      </c>
      <c r="BG56" s="669"/>
      <c r="BH56" s="679">
        <v>1</v>
      </c>
      <c r="BI56" s="680"/>
      <c r="BJ56" s="133" t="s">
        <v>228</v>
      </c>
      <c r="BK56" s="133"/>
      <c r="BL56" s="133"/>
      <c r="BM56" s="133"/>
      <c r="BN56" s="133"/>
      <c r="BO56" s="133"/>
      <c r="BP56" s="133"/>
      <c r="BQ56" s="133"/>
      <c r="BR56" s="133"/>
      <c r="BS56" s="133"/>
      <c r="BT56" s="136"/>
      <c r="BU56" s="136"/>
      <c r="BV56" s="136"/>
      <c r="BW56" s="136"/>
      <c r="BX56" s="137"/>
      <c r="BY56" s="130"/>
      <c r="BZ56" s="133"/>
      <c r="CA56" s="133"/>
      <c r="CB56" s="133"/>
      <c r="CC56" s="133"/>
      <c r="CD56" s="133"/>
      <c r="CE56" s="133"/>
      <c r="CF56" s="133"/>
      <c r="CG56" s="133"/>
      <c r="CH56" s="133"/>
      <c r="CI56" s="133"/>
      <c r="CJ56" s="146"/>
      <c r="CK56" s="133"/>
      <c r="CL56" s="133"/>
      <c r="CM56" s="133"/>
      <c r="CN56" s="133"/>
      <c r="CO56" s="133"/>
      <c r="CP56" s="133"/>
      <c r="CQ56" s="134"/>
    </row>
    <row r="57" spans="1:95" ht="15.75" customHeight="1" x14ac:dyDescent="0.25">
      <c r="A57" s="668" t="s">
        <v>117</v>
      </c>
      <c r="B57" s="669"/>
      <c r="C57" s="679">
        <v>1</v>
      </c>
      <c r="D57" s="680"/>
      <c r="E57" s="133" t="s">
        <v>229</v>
      </c>
      <c r="F57" s="133"/>
      <c r="G57" s="133"/>
      <c r="H57" s="133"/>
      <c r="I57" s="133"/>
      <c r="J57" s="133"/>
      <c r="K57" s="133"/>
      <c r="L57" s="133"/>
      <c r="M57" s="133"/>
      <c r="N57" s="133"/>
      <c r="O57" s="136"/>
      <c r="P57" s="136"/>
      <c r="Q57" s="136"/>
      <c r="R57" s="136"/>
      <c r="S57" s="137"/>
      <c r="T57" s="668" t="s">
        <v>117</v>
      </c>
      <c r="U57" s="669"/>
      <c r="V57" s="679">
        <v>1</v>
      </c>
      <c r="W57" s="680"/>
      <c r="X57" s="133" t="s">
        <v>229</v>
      </c>
      <c r="Y57" s="133"/>
      <c r="Z57" s="133"/>
      <c r="AA57" s="133"/>
      <c r="AB57" s="133"/>
      <c r="AC57" s="133"/>
      <c r="AD57" s="133"/>
      <c r="AE57" s="133"/>
      <c r="AF57" s="133"/>
      <c r="AG57" s="133"/>
      <c r="AH57" s="136"/>
      <c r="AI57" s="136"/>
      <c r="AJ57" s="136"/>
      <c r="AK57" s="136"/>
      <c r="AL57" s="137"/>
      <c r="AM57" s="668" t="s">
        <v>117</v>
      </c>
      <c r="AN57" s="669"/>
      <c r="AO57" s="679">
        <v>1</v>
      </c>
      <c r="AP57" s="680"/>
      <c r="AQ57" s="133" t="s">
        <v>229</v>
      </c>
      <c r="AR57" s="133"/>
      <c r="AS57" s="133"/>
      <c r="AT57" s="133"/>
      <c r="AU57" s="133"/>
      <c r="AV57" s="133"/>
      <c r="AW57" s="133"/>
      <c r="AX57" s="133"/>
      <c r="AY57" s="133"/>
      <c r="AZ57" s="133"/>
      <c r="BA57" s="136"/>
      <c r="BB57" s="136"/>
      <c r="BC57" s="136"/>
      <c r="BD57" s="136"/>
      <c r="BE57" s="137"/>
      <c r="BF57" s="668" t="s">
        <v>117</v>
      </c>
      <c r="BG57" s="669"/>
      <c r="BH57" s="679">
        <v>1</v>
      </c>
      <c r="BI57" s="680"/>
      <c r="BJ57" s="133" t="s">
        <v>229</v>
      </c>
      <c r="BK57" s="133"/>
      <c r="BL57" s="133"/>
      <c r="BM57" s="133"/>
      <c r="BN57" s="133"/>
      <c r="BO57" s="133"/>
      <c r="BP57" s="133"/>
      <c r="BQ57" s="133"/>
      <c r="BR57" s="133"/>
      <c r="BS57" s="133"/>
      <c r="BT57" s="136"/>
      <c r="BU57" s="136"/>
      <c r="BV57" s="136"/>
      <c r="BW57" s="136"/>
      <c r="BX57" s="137"/>
      <c r="BY57" s="130"/>
      <c r="BZ57" s="133"/>
      <c r="CA57" s="133"/>
      <c r="CB57" s="133"/>
      <c r="CC57" s="133"/>
      <c r="CD57" s="133"/>
      <c r="CE57" s="133"/>
      <c r="CF57" s="133"/>
      <c r="CG57" s="133"/>
      <c r="CH57" s="133"/>
      <c r="CI57" s="133"/>
      <c r="CJ57" s="146"/>
      <c r="CK57" s="133"/>
      <c r="CL57" s="133"/>
      <c r="CM57" s="133"/>
      <c r="CN57" s="133"/>
      <c r="CO57" s="133"/>
      <c r="CP57" s="133"/>
      <c r="CQ57" s="134"/>
    </row>
    <row r="58" spans="1:95" ht="15" x14ac:dyDescent="0.2">
      <c r="A58" s="147"/>
      <c r="B58" s="139" t="s">
        <v>118</v>
      </c>
      <c r="C58" s="672">
        <f>(C54*(((C55+C56+C57)^3)-(C55^3)))/12</f>
        <v>16683.333333333332</v>
      </c>
      <c r="D58" s="673"/>
      <c r="E58" s="133" t="s">
        <v>109</v>
      </c>
      <c r="F58" s="133"/>
      <c r="G58" s="133"/>
      <c r="H58" s="133"/>
      <c r="I58" s="133"/>
      <c r="J58" s="133"/>
      <c r="K58" s="133"/>
      <c r="L58" s="133"/>
      <c r="M58" s="133"/>
      <c r="N58" s="133"/>
      <c r="O58" s="136"/>
      <c r="P58" s="136"/>
      <c r="Q58" s="136"/>
      <c r="R58" s="136"/>
      <c r="S58" s="137"/>
      <c r="T58" s="147"/>
      <c r="U58" s="139" t="s">
        <v>118</v>
      </c>
      <c r="V58" s="672">
        <f>(V54*(((V55+V56+V57)^3)-(V55^3)))/12</f>
        <v>16683.333333333332</v>
      </c>
      <c r="W58" s="673"/>
      <c r="X58" s="133" t="s">
        <v>109</v>
      </c>
      <c r="Y58" s="133"/>
      <c r="Z58" s="133"/>
      <c r="AA58" s="133"/>
      <c r="AB58" s="133"/>
      <c r="AC58" s="133"/>
      <c r="AD58" s="133"/>
      <c r="AE58" s="133"/>
      <c r="AF58" s="133"/>
      <c r="AG58" s="133"/>
      <c r="AH58" s="136"/>
      <c r="AI58" s="136"/>
      <c r="AJ58" s="136"/>
      <c r="AK58" s="136"/>
      <c r="AL58" s="137"/>
      <c r="AM58" s="147"/>
      <c r="AN58" s="139" t="s">
        <v>118</v>
      </c>
      <c r="AO58" s="672">
        <f>(AO54*(((AO55+AO56+AO57)^3)-(AO55^3)))/12</f>
        <v>16683.333333333332</v>
      </c>
      <c r="AP58" s="673"/>
      <c r="AQ58" s="133" t="s">
        <v>109</v>
      </c>
      <c r="AR58" s="133"/>
      <c r="AS58" s="133"/>
      <c r="AT58" s="133"/>
      <c r="AU58" s="133"/>
      <c r="AV58" s="133"/>
      <c r="AW58" s="133"/>
      <c r="AX58" s="133"/>
      <c r="AY58" s="133"/>
      <c r="AZ58" s="133"/>
      <c r="BA58" s="136"/>
      <c r="BB58" s="136"/>
      <c r="BC58" s="136"/>
      <c r="BD58" s="136"/>
      <c r="BE58" s="137"/>
      <c r="BF58" s="147"/>
      <c r="BG58" s="139" t="s">
        <v>118</v>
      </c>
      <c r="BH58" s="672">
        <f>(BH54*(((BH55+BH56+BH57)^3)-(BH55^3)))/12</f>
        <v>16683.333333333332</v>
      </c>
      <c r="BI58" s="673"/>
      <c r="BJ58" s="133" t="s">
        <v>109</v>
      </c>
      <c r="BK58" s="133"/>
      <c r="BL58" s="133"/>
      <c r="BM58" s="133"/>
      <c r="BN58" s="133"/>
      <c r="BO58" s="133"/>
      <c r="BP58" s="133"/>
      <c r="BQ58" s="133"/>
      <c r="BR58" s="133"/>
      <c r="BS58" s="133"/>
      <c r="BT58" s="136"/>
      <c r="BU58" s="136"/>
      <c r="BV58" s="136"/>
      <c r="BW58" s="136"/>
      <c r="BX58" s="137"/>
      <c r="BY58" s="130"/>
      <c r="BZ58" s="133"/>
      <c r="CA58" s="133"/>
      <c r="CB58" s="133"/>
      <c r="CC58" s="133"/>
      <c r="CD58" s="133"/>
      <c r="CE58" s="133"/>
      <c r="CF58" s="133"/>
      <c r="CG58" s="133"/>
      <c r="CH58" s="133"/>
      <c r="CI58" s="133"/>
      <c r="CJ58" s="146"/>
      <c r="CK58" s="133"/>
      <c r="CL58" s="133"/>
      <c r="CM58" s="133"/>
      <c r="CN58" s="133"/>
      <c r="CO58" s="133"/>
      <c r="CP58" s="133"/>
      <c r="CQ58" s="134"/>
    </row>
    <row r="59" spans="1:95" x14ac:dyDescent="0.2">
      <c r="A59" s="140"/>
      <c r="B59" s="139" t="s">
        <v>110</v>
      </c>
      <c r="C59" s="674">
        <f>IF(C47&gt;0,0.001*((N46*(C47-C46)*C53^3)/(48*C58*(C47-C46))),0)</f>
        <v>0</v>
      </c>
      <c r="D59" s="675"/>
      <c r="E59" s="138" t="s">
        <v>230</v>
      </c>
      <c r="F59" s="136"/>
      <c r="G59" s="136"/>
      <c r="H59" s="136"/>
      <c r="I59" s="136"/>
      <c r="J59" s="136"/>
      <c r="K59" s="136"/>
      <c r="L59" s="136"/>
      <c r="M59" s="136"/>
      <c r="N59" s="136"/>
      <c r="O59" s="136"/>
      <c r="P59" s="136"/>
      <c r="Q59" s="136"/>
      <c r="R59" s="136"/>
      <c r="S59" s="137"/>
      <c r="T59" s="140"/>
      <c r="U59" s="139" t="s">
        <v>110</v>
      </c>
      <c r="V59" s="674">
        <f>IF(V47&gt;0,0.001*((AG46*(V47-V46)*V53^3)/(48*V58*(V47-V46))),0)</f>
        <v>0</v>
      </c>
      <c r="W59" s="675"/>
      <c r="X59" s="138" t="s">
        <v>230</v>
      </c>
      <c r="Y59" s="136"/>
      <c r="Z59" s="136"/>
      <c r="AA59" s="136"/>
      <c r="AB59" s="136"/>
      <c r="AC59" s="136"/>
      <c r="AD59" s="136"/>
      <c r="AE59" s="136"/>
      <c r="AF59" s="136"/>
      <c r="AG59" s="136"/>
      <c r="AH59" s="136"/>
      <c r="AI59" s="136"/>
      <c r="AJ59" s="136"/>
      <c r="AK59" s="136"/>
      <c r="AL59" s="137"/>
      <c r="AM59" s="140"/>
      <c r="AN59" s="139" t="s">
        <v>110</v>
      </c>
      <c r="AO59" s="674">
        <f>IF(AO47&gt;0,0.001*((AZ46*(AO47-AO46)*AO53^3)/(48*AO58*(AO47-AO46))),0)</f>
        <v>0</v>
      </c>
      <c r="AP59" s="675"/>
      <c r="AQ59" s="138" t="s">
        <v>230</v>
      </c>
      <c r="AR59" s="136"/>
      <c r="AS59" s="136"/>
      <c r="AT59" s="136"/>
      <c r="AU59" s="136"/>
      <c r="AV59" s="136"/>
      <c r="AW59" s="136"/>
      <c r="AX59" s="136"/>
      <c r="AY59" s="136"/>
      <c r="AZ59" s="136"/>
      <c r="BA59" s="136"/>
      <c r="BB59" s="136"/>
      <c r="BC59" s="136"/>
      <c r="BD59" s="136"/>
      <c r="BE59" s="137"/>
      <c r="BF59" s="140"/>
      <c r="BG59" s="139" t="s">
        <v>110</v>
      </c>
      <c r="BH59" s="674">
        <f>IF(BH47&gt;0,0.001*((BS46*(BH47-BH46)*BH53^3)/(48*BH58*(BH47-BH46))),0)</f>
        <v>0</v>
      </c>
      <c r="BI59" s="675"/>
      <c r="BJ59" s="138" t="s">
        <v>230</v>
      </c>
      <c r="BK59" s="136"/>
      <c r="BL59" s="136"/>
      <c r="BM59" s="136"/>
      <c r="BN59" s="136"/>
      <c r="BO59" s="136"/>
      <c r="BP59" s="136"/>
      <c r="BQ59" s="136"/>
      <c r="BR59" s="136"/>
      <c r="BS59" s="136"/>
      <c r="BT59" s="136"/>
      <c r="BU59" s="136"/>
      <c r="BV59" s="136"/>
      <c r="BW59" s="136"/>
      <c r="BX59" s="137"/>
      <c r="BY59" s="130"/>
      <c r="BZ59" s="133"/>
      <c r="CA59" s="133"/>
      <c r="CB59" s="133"/>
      <c r="CC59" s="133"/>
      <c r="CD59" s="133"/>
      <c r="CE59" s="133"/>
      <c r="CF59" s="133"/>
      <c r="CG59" s="133"/>
      <c r="CH59" s="133"/>
      <c r="CI59" s="133"/>
      <c r="CJ59" s="133"/>
      <c r="CK59" s="133"/>
      <c r="CL59" s="133"/>
      <c r="CM59" s="133"/>
      <c r="CN59" s="133"/>
      <c r="CO59" s="133"/>
      <c r="CP59" s="133"/>
      <c r="CQ59" s="134"/>
    </row>
    <row r="60" spans="1:95" x14ac:dyDescent="0.2">
      <c r="A60" s="148"/>
      <c r="B60" s="149" t="s">
        <v>170</v>
      </c>
      <c r="C60" s="666">
        <f>C50*C53*0.5*SUM(C55:D57)/(4*C58)</f>
        <v>0</v>
      </c>
      <c r="D60" s="667"/>
      <c r="E60" s="150" t="s">
        <v>231</v>
      </c>
      <c r="F60" s="151"/>
      <c r="G60" s="151"/>
      <c r="H60" s="151"/>
      <c r="I60" s="151"/>
      <c r="J60" s="151"/>
      <c r="K60" s="151"/>
      <c r="L60" s="151"/>
      <c r="M60" s="151"/>
      <c r="N60" s="151"/>
      <c r="O60" s="151"/>
      <c r="P60" s="151"/>
      <c r="Q60" s="151"/>
      <c r="R60" s="151"/>
      <c r="S60" s="152"/>
      <c r="T60" s="148"/>
      <c r="U60" s="149" t="s">
        <v>170</v>
      </c>
      <c r="V60" s="666">
        <f>V50*V53*0.5*SUM(V55:W57)/(4*V58)</f>
        <v>0</v>
      </c>
      <c r="W60" s="667"/>
      <c r="X60" s="150" t="s">
        <v>231</v>
      </c>
      <c r="Y60" s="151"/>
      <c r="Z60" s="151"/>
      <c r="AA60" s="151"/>
      <c r="AB60" s="151"/>
      <c r="AC60" s="151"/>
      <c r="AD60" s="151"/>
      <c r="AE60" s="151"/>
      <c r="AF60" s="151"/>
      <c r="AG60" s="151"/>
      <c r="AH60" s="151"/>
      <c r="AI60" s="151"/>
      <c r="AJ60" s="151"/>
      <c r="AK60" s="151"/>
      <c r="AL60" s="152"/>
      <c r="AM60" s="148"/>
      <c r="AN60" s="149" t="s">
        <v>170</v>
      </c>
      <c r="AO60" s="666">
        <f>AO50*AO53*0.5*SUM(AO55:AP57)/(4*AO58)</f>
        <v>0</v>
      </c>
      <c r="AP60" s="667"/>
      <c r="AQ60" s="150" t="s">
        <v>231</v>
      </c>
      <c r="AR60" s="151"/>
      <c r="AS60" s="151"/>
      <c r="AT60" s="151"/>
      <c r="AU60" s="151"/>
      <c r="AV60" s="151"/>
      <c r="AW60" s="151"/>
      <c r="AX60" s="151"/>
      <c r="AY60" s="151"/>
      <c r="AZ60" s="151"/>
      <c r="BA60" s="151"/>
      <c r="BB60" s="151"/>
      <c r="BC60" s="151"/>
      <c r="BD60" s="151"/>
      <c r="BE60" s="152"/>
      <c r="BF60" s="148"/>
      <c r="BG60" s="149" t="s">
        <v>170</v>
      </c>
      <c r="BH60" s="666">
        <f>BH50*BH53*0.5*SUM(BH55:BI57)/(4*BH58)</f>
        <v>0</v>
      </c>
      <c r="BI60" s="667"/>
      <c r="BJ60" s="150" t="s">
        <v>231</v>
      </c>
      <c r="BK60" s="151"/>
      <c r="BL60" s="151"/>
      <c r="BM60" s="151"/>
      <c r="BN60" s="151"/>
      <c r="BO60" s="151"/>
      <c r="BP60" s="151"/>
      <c r="BQ60" s="151"/>
      <c r="BR60" s="151"/>
      <c r="BS60" s="151"/>
      <c r="BT60" s="151"/>
      <c r="BU60" s="151"/>
      <c r="BV60" s="151"/>
      <c r="BW60" s="151"/>
      <c r="BX60" s="152"/>
      <c r="BY60" s="153"/>
      <c r="BZ60" s="154"/>
      <c r="CA60" s="154"/>
      <c r="CB60" s="154"/>
      <c r="CC60" s="154"/>
      <c r="CD60" s="154"/>
      <c r="CE60" s="154"/>
      <c r="CF60" s="154"/>
      <c r="CG60" s="154"/>
      <c r="CH60" s="154"/>
      <c r="CI60" s="154"/>
      <c r="CJ60" s="154"/>
      <c r="CK60" s="154"/>
      <c r="CL60" s="154"/>
      <c r="CM60" s="154"/>
      <c r="CN60" s="154"/>
      <c r="CO60" s="154"/>
      <c r="CP60" s="154"/>
      <c r="CQ60" s="155"/>
    </row>
    <row r="61" spans="1:95" x14ac:dyDescent="0.2">
      <c r="A61" s="24"/>
      <c r="B61" s="25"/>
      <c r="C61" s="25"/>
      <c r="D61" s="25"/>
      <c r="E61" s="25"/>
      <c r="F61" s="25"/>
      <c r="G61" s="25"/>
      <c r="H61" s="25"/>
      <c r="I61" s="25"/>
      <c r="J61" s="25"/>
      <c r="K61" s="25"/>
      <c r="L61" s="25"/>
      <c r="M61" s="25"/>
      <c r="N61" s="25"/>
      <c r="O61" s="25"/>
      <c r="P61" s="25"/>
      <c r="Q61" s="25"/>
      <c r="R61" s="25"/>
      <c r="S61" s="26"/>
      <c r="T61" s="24"/>
      <c r="U61" s="25"/>
      <c r="V61" s="25"/>
      <c r="W61" s="25"/>
      <c r="X61" s="25"/>
      <c r="Y61" s="25"/>
      <c r="Z61" s="25"/>
      <c r="AA61" s="25"/>
      <c r="AB61" s="25"/>
      <c r="AC61" s="25"/>
      <c r="AD61" s="25"/>
      <c r="AE61" s="25"/>
      <c r="AF61" s="25"/>
      <c r="AG61" s="25"/>
      <c r="AH61" s="25"/>
      <c r="AI61" s="25"/>
      <c r="AJ61" s="25"/>
      <c r="AK61" s="25"/>
      <c r="AL61" s="26"/>
      <c r="AM61" s="24"/>
      <c r="AN61" s="25"/>
      <c r="AO61" s="25"/>
      <c r="AP61" s="25"/>
      <c r="AQ61" s="25"/>
      <c r="AR61" s="25"/>
      <c r="AS61" s="25"/>
      <c r="AT61" s="25"/>
      <c r="AU61" s="25"/>
      <c r="AV61" s="25"/>
      <c r="AW61" s="25"/>
      <c r="AX61" s="25"/>
      <c r="AY61" s="25"/>
      <c r="AZ61" s="25"/>
      <c r="BA61" s="25"/>
      <c r="BB61" s="25"/>
      <c r="BC61" s="25"/>
      <c r="BD61" s="25"/>
      <c r="BE61" s="26"/>
      <c r="BF61" s="24"/>
      <c r="BG61" s="25"/>
      <c r="BH61" s="25"/>
      <c r="BI61" s="25"/>
      <c r="BJ61" s="25"/>
      <c r="BK61" s="25"/>
      <c r="BL61" s="25"/>
      <c r="BM61" s="25"/>
      <c r="BN61" s="25"/>
      <c r="BO61" s="25"/>
      <c r="BP61" s="25"/>
      <c r="BQ61" s="25"/>
      <c r="BR61" s="25"/>
      <c r="BS61" s="25"/>
      <c r="BT61" s="25"/>
      <c r="BU61" s="25"/>
      <c r="BV61" s="25"/>
      <c r="BW61" s="25"/>
      <c r="BX61" s="26"/>
      <c r="BY61" s="25"/>
      <c r="BZ61" s="25"/>
      <c r="CA61" s="25"/>
      <c r="CB61" s="25"/>
      <c r="CC61" s="25"/>
      <c r="CD61" s="25"/>
      <c r="CE61" s="25"/>
      <c r="CF61" s="25"/>
      <c r="CG61" s="25"/>
      <c r="CH61" s="25"/>
      <c r="CI61" s="25"/>
      <c r="CJ61" s="25"/>
      <c r="CK61" s="25"/>
      <c r="CL61" s="25"/>
      <c r="CM61" s="25"/>
      <c r="CN61" s="25"/>
      <c r="CO61" s="25"/>
      <c r="CP61" s="25"/>
      <c r="CQ61" s="26"/>
    </row>
    <row r="62" spans="1:95"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c r="AM62" s="309" t="s">
        <v>381</v>
      </c>
      <c r="AN62" s="31"/>
      <c r="AO62" s="31"/>
      <c r="AP62" s="31"/>
      <c r="AQ62" s="31"/>
      <c r="AR62" s="31"/>
      <c r="AS62" s="31"/>
      <c r="AT62" s="31"/>
      <c r="AU62" s="31"/>
      <c r="AV62" s="31"/>
      <c r="AW62" s="31"/>
      <c r="AX62" s="31"/>
      <c r="AY62" s="31"/>
      <c r="AZ62" s="31"/>
      <c r="BA62" s="31"/>
      <c r="BB62" s="31"/>
      <c r="BC62" s="31"/>
      <c r="BD62" s="31"/>
      <c r="BE62" s="32"/>
      <c r="BF62" s="309" t="s">
        <v>381</v>
      </c>
      <c r="BG62" s="31"/>
      <c r="BH62" s="31"/>
      <c r="BI62" s="31"/>
      <c r="BJ62" s="31"/>
      <c r="BK62" s="31"/>
      <c r="BL62" s="31"/>
      <c r="BM62" s="31"/>
      <c r="BN62" s="31"/>
      <c r="BO62" s="31"/>
      <c r="BP62" s="31"/>
      <c r="BQ62" s="31"/>
      <c r="BR62" s="31"/>
      <c r="BS62" s="31"/>
      <c r="BT62" s="31"/>
      <c r="BU62" s="31"/>
      <c r="BV62" s="31"/>
      <c r="BW62" s="31"/>
      <c r="BX62" s="32"/>
      <c r="BY62" s="309" t="s">
        <v>381</v>
      </c>
      <c r="BZ62" s="31"/>
      <c r="CA62" s="31"/>
      <c r="CB62" s="31"/>
      <c r="CC62" s="31"/>
      <c r="CD62" s="31"/>
      <c r="CE62" s="31"/>
      <c r="CF62" s="31"/>
      <c r="CG62" s="31"/>
      <c r="CH62" s="31"/>
      <c r="CI62" s="31"/>
      <c r="CJ62" s="31"/>
      <c r="CK62" s="31"/>
      <c r="CL62" s="31"/>
      <c r="CM62" s="31"/>
      <c r="CN62" s="31"/>
      <c r="CO62" s="31"/>
      <c r="CP62" s="31"/>
      <c r="CQ62" s="32"/>
    </row>
    <row r="63" spans="1:95"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c r="AM63" s="262" t="s">
        <v>525</v>
      </c>
      <c r="AN63" s="31"/>
      <c r="AO63" s="31"/>
      <c r="AP63" s="31"/>
      <c r="AQ63" s="31"/>
      <c r="AR63" s="31"/>
      <c r="AS63" s="31"/>
      <c r="AT63" s="31"/>
      <c r="AU63" s="31"/>
      <c r="AV63" s="31"/>
      <c r="AW63" s="31"/>
      <c r="AX63" s="31"/>
      <c r="AY63" s="31"/>
      <c r="AZ63" s="31"/>
      <c r="BA63" s="31"/>
      <c r="BB63" s="31"/>
      <c r="BC63" s="31"/>
      <c r="BD63" s="31"/>
      <c r="BE63" s="32"/>
      <c r="BF63" s="262" t="s">
        <v>525</v>
      </c>
      <c r="BG63" s="31"/>
      <c r="BH63" s="31"/>
      <c r="BI63" s="31"/>
      <c r="BJ63" s="31"/>
      <c r="BK63" s="31"/>
      <c r="BL63" s="31"/>
      <c r="BM63" s="31"/>
      <c r="BN63" s="31"/>
      <c r="BO63" s="31"/>
      <c r="BP63" s="31"/>
      <c r="BQ63" s="31"/>
      <c r="BR63" s="31"/>
      <c r="BS63" s="31"/>
      <c r="BT63" s="31"/>
      <c r="BU63" s="31"/>
      <c r="BV63" s="31"/>
      <c r="BW63" s="31"/>
      <c r="BX63" s="32"/>
      <c r="BY63" s="262" t="s">
        <v>525</v>
      </c>
      <c r="BZ63" s="31"/>
      <c r="CA63" s="31"/>
      <c r="CB63" s="31"/>
      <c r="CC63" s="31"/>
      <c r="CD63" s="31"/>
      <c r="CE63" s="31"/>
      <c r="CF63" s="31"/>
      <c r="CG63" s="31"/>
      <c r="CH63" s="31"/>
      <c r="CI63" s="31"/>
      <c r="CJ63" s="31"/>
      <c r="CK63" s="31"/>
      <c r="CL63" s="31"/>
      <c r="CM63" s="31"/>
      <c r="CN63" s="31"/>
      <c r="CO63" s="31"/>
      <c r="CP63" s="31"/>
      <c r="CQ63" s="32"/>
    </row>
    <row r="64" spans="1:95" x14ac:dyDescent="0.2">
      <c r="A64" s="30"/>
      <c r="B64" s="31"/>
      <c r="C64" s="31"/>
      <c r="D64" s="31"/>
      <c r="E64" s="31"/>
      <c r="F64" s="31"/>
      <c r="G64" s="31"/>
      <c r="H64" s="31"/>
      <c r="I64" s="31"/>
      <c r="J64" s="31"/>
      <c r="K64" s="31"/>
      <c r="L64" s="31"/>
      <c r="M64" s="31"/>
      <c r="N64" s="31"/>
      <c r="O64" s="31"/>
      <c r="P64" s="31"/>
      <c r="Q64" s="31"/>
      <c r="R64" s="31"/>
      <c r="S64" s="32"/>
      <c r="T64" s="30"/>
      <c r="U64" s="31"/>
      <c r="V64" s="31"/>
      <c r="W64" s="31"/>
      <c r="X64" s="31"/>
      <c r="Y64" s="31"/>
      <c r="Z64" s="31"/>
      <c r="AA64" s="31"/>
      <c r="AB64" s="31"/>
      <c r="AC64" s="31"/>
      <c r="AD64" s="31"/>
      <c r="AE64" s="31"/>
      <c r="AF64" s="31"/>
      <c r="AG64" s="31"/>
      <c r="AH64" s="31"/>
      <c r="AI64" s="31"/>
      <c r="AJ64" s="31"/>
      <c r="AK64" s="31"/>
      <c r="AL64" s="32"/>
      <c r="AM64" s="30"/>
      <c r="AN64" s="31"/>
      <c r="AO64" s="31"/>
      <c r="AP64" s="31"/>
      <c r="AQ64" s="31"/>
      <c r="AR64" s="31"/>
      <c r="AS64" s="31"/>
      <c r="AT64" s="31"/>
      <c r="AU64" s="31"/>
      <c r="AV64" s="31"/>
      <c r="AW64" s="31"/>
      <c r="AX64" s="31"/>
      <c r="AY64" s="31"/>
      <c r="AZ64" s="31"/>
      <c r="BA64" s="31"/>
      <c r="BB64" s="31"/>
      <c r="BC64" s="31"/>
      <c r="BD64" s="31"/>
      <c r="BE64" s="32"/>
      <c r="BF64" s="30"/>
      <c r="BG64" s="31"/>
      <c r="BH64" s="31"/>
      <c r="BI64" s="31"/>
      <c r="BJ64" s="31"/>
      <c r="BK64" s="31"/>
      <c r="BL64" s="31"/>
      <c r="BM64" s="31"/>
      <c r="BN64" s="31"/>
      <c r="BO64" s="31"/>
      <c r="BP64" s="31"/>
      <c r="BQ64" s="31"/>
      <c r="BR64" s="31"/>
      <c r="BS64" s="31"/>
      <c r="BT64" s="31"/>
      <c r="BU64" s="31"/>
      <c r="BV64" s="31"/>
      <c r="BW64" s="31"/>
      <c r="BX64" s="32"/>
      <c r="BY64" s="31"/>
      <c r="BZ64" s="31"/>
      <c r="CA64" s="31"/>
      <c r="CB64" s="31"/>
      <c r="CC64" s="31"/>
      <c r="CD64" s="31"/>
      <c r="CE64" s="31"/>
      <c r="CF64" s="31"/>
      <c r="CG64" s="31"/>
      <c r="CH64" s="31"/>
      <c r="CI64" s="31"/>
      <c r="CJ64" s="31"/>
      <c r="CK64" s="31"/>
      <c r="CL64" s="31"/>
      <c r="CM64" s="31"/>
      <c r="CN64" s="31"/>
      <c r="CO64" s="31"/>
      <c r="CP64" s="31"/>
      <c r="CQ64" s="32"/>
    </row>
    <row r="65" spans="1:95" x14ac:dyDescent="0.2">
      <c r="A65" s="30"/>
      <c r="B65" s="31"/>
      <c r="C65" s="31"/>
      <c r="D65" s="31"/>
      <c r="E65" s="31"/>
      <c r="F65" s="31"/>
      <c r="G65" s="31"/>
      <c r="H65" s="31"/>
      <c r="I65" s="31"/>
      <c r="J65" s="31"/>
      <c r="K65" s="31"/>
      <c r="L65" s="31"/>
      <c r="M65" s="31"/>
      <c r="N65" s="31"/>
      <c r="O65" s="31"/>
      <c r="P65" s="31"/>
      <c r="Q65" s="31"/>
      <c r="R65" s="31"/>
      <c r="S65" s="32"/>
      <c r="T65" s="30"/>
      <c r="U65" s="31"/>
      <c r="V65" s="31"/>
      <c r="W65" s="31"/>
      <c r="X65" s="31"/>
      <c r="Y65" s="31"/>
      <c r="Z65" s="31"/>
      <c r="AA65" s="31"/>
      <c r="AB65" s="31"/>
      <c r="AC65" s="31"/>
      <c r="AD65" s="31"/>
      <c r="AE65" s="31"/>
      <c r="AF65" s="31"/>
      <c r="AG65" s="31"/>
      <c r="AH65" s="31"/>
      <c r="AI65" s="31"/>
      <c r="AJ65" s="31"/>
      <c r="AK65" s="31"/>
      <c r="AL65" s="32"/>
      <c r="AM65" s="30"/>
      <c r="AN65" s="31"/>
      <c r="AO65" s="31"/>
      <c r="AP65" s="31"/>
      <c r="AQ65" s="31"/>
      <c r="AR65" s="31"/>
      <c r="AS65" s="31"/>
      <c r="AT65" s="31"/>
      <c r="AU65" s="31"/>
      <c r="AV65" s="31"/>
      <c r="AW65" s="31"/>
      <c r="AX65" s="31"/>
      <c r="AY65" s="31"/>
      <c r="AZ65" s="31"/>
      <c r="BA65" s="31"/>
      <c r="BB65" s="31"/>
      <c r="BC65" s="31"/>
      <c r="BD65" s="31"/>
      <c r="BE65" s="32"/>
      <c r="BF65" s="30"/>
      <c r="BG65" s="31"/>
      <c r="BH65" s="31"/>
      <c r="BI65" s="31"/>
      <c r="BJ65" s="31"/>
      <c r="BK65" s="31"/>
      <c r="BL65" s="31"/>
      <c r="BM65" s="31"/>
      <c r="BN65" s="31"/>
      <c r="BO65" s="31"/>
      <c r="BP65" s="31"/>
      <c r="BQ65" s="31"/>
      <c r="BR65" s="31"/>
      <c r="BS65" s="31"/>
      <c r="BT65" s="31"/>
      <c r="BU65" s="31"/>
      <c r="BV65" s="31"/>
      <c r="BW65" s="31"/>
      <c r="BX65" s="32"/>
      <c r="BY65" s="31"/>
      <c r="BZ65" s="31"/>
      <c r="CA65" s="31"/>
      <c r="CB65" s="31"/>
      <c r="CC65" s="31"/>
      <c r="CD65" s="31"/>
      <c r="CE65" s="31"/>
      <c r="CF65" s="31"/>
      <c r="CG65" s="31"/>
      <c r="CH65" s="31"/>
      <c r="CI65" s="31"/>
      <c r="CJ65" s="31"/>
      <c r="CK65" s="31"/>
      <c r="CL65" s="31"/>
      <c r="CM65" s="31"/>
      <c r="CN65" s="31"/>
      <c r="CO65" s="31"/>
      <c r="CP65" s="31"/>
      <c r="CQ65" s="32"/>
    </row>
    <row r="66" spans="1:95" x14ac:dyDescent="0.2">
      <c r="A66" s="30"/>
      <c r="B66" s="31"/>
      <c r="C66" s="31"/>
      <c r="D66" s="31"/>
      <c r="E66" s="31"/>
      <c r="F66" s="31"/>
      <c r="G66" s="31"/>
      <c r="H66" s="31"/>
      <c r="I66" s="31"/>
      <c r="J66" s="31"/>
      <c r="K66" s="31"/>
      <c r="L66" s="31"/>
      <c r="M66" s="31"/>
      <c r="N66" s="31"/>
      <c r="O66" s="31"/>
      <c r="P66" s="31"/>
      <c r="Q66" s="31"/>
      <c r="R66" s="31"/>
      <c r="S66" s="32"/>
      <c r="T66" s="30"/>
      <c r="U66" s="31"/>
      <c r="V66" s="31"/>
      <c r="W66" s="31"/>
      <c r="X66" s="31"/>
      <c r="Y66" s="31"/>
      <c r="Z66" s="31"/>
      <c r="AA66" s="31"/>
      <c r="AB66" s="31"/>
      <c r="AC66" s="31"/>
      <c r="AD66" s="31"/>
      <c r="AE66" s="31"/>
      <c r="AF66" s="31"/>
      <c r="AG66" s="31"/>
      <c r="AH66" s="31"/>
      <c r="AI66" s="31"/>
      <c r="AJ66" s="31"/>
      <c r="AK66" s="31"/>
      <c r="AL66" s="32"/>
      <c r="AM66" s="30"/>
      <c r="AN66" s="31"/>
      <c r="AO66" s="31"/>
      <c r="AP66" s="31"/>
      <c r="AQ66" s="31"/>
      <c r="AR66" s="31"/>
      <c r="AS66" s="31"/>
      <c r="AT66" s="31"/>
      <c r="AU66" s="31"/>
      <c r="AV66" s="31"/>
      <c r="AW66" s="31"/>
      <c r="AX66" s="31"/>
      <c r="AY66" s="31"/>
      <c r="AZ66" s="31"/>
      <c r="BA66" s="31"/>
      <c r="BB66" s="31"/>
      <c r="BC66" s="31"/>
      <c r="BD66" s="31"/>
      <c r="BE66" s="32"/>
      <c r="BF66" s="30"/>
      <c r="BG66" s="31"/>
      <c r="BH66" s="31"/>
      <c r="BI66" s="31"/>
      <c r="BJ66" s="31"/>
      <c r="BK66" s="31"/>
      <c r="BL66" s="31"/>
      <c r="BM66" s="31"/>
      <c r="BN66" s="31"/>
      <c r="BO66" s="31"/>
      <c r="BP66" s="31"/>
      <c r="BQ66" s="31"/>
      <c r="BR66" s="31"/>
      <c r="BS66" s="31"/>
      <c r="BT66" s="31"/>
      <c r="BU66" s="31"/>
      <c r="BV66" s="31"/>
      <c r="BW66" s="31"/>
      <c r="BX66" s="32"/>
      <c r="BY66" s="31"/>
      <c r="BZ66" s="31"/>
      <c r="CA66" s="31"/>
      <c r="CB66" s="31"/>
      <c r="CC66" s="31"/>
      <c r="CD66" s="31"/>
      <c r="CE66" s="31"/>
      <c r="CF66" s="31"/>
      <c r="CG66" s="31"/>
      <c r="CH66" s="31"/>
      <c r="CI66" s="31"/>
      <c r="CJ66" s="31"/>
      <c r="CK66" s="31"/>
      <c r="CL66" s="31"/>
      <c r="CM66" s="31"/>
      <c r="CN66" s="31"/>
      <c r="CO66" s="31"/>
      <c r="CP66" s="31"/>
      <c r="CQ66" s="32"/>
    </row>
    <row r="67" spans="1:95" x14ac:dyDescent="0.2">
      <c r="A67" s="30"/>
      <c r="B67" s="31"/>
      <c r="C67" s="31"/>
      <c r="D67" s="31"/>
      <c r="E67" s="31"/>
      <c r="F67" s="31"/>
      <c r="G67" s="31"/>
      <c r="H67" s="31"/>
      <c r="I67" s="31"/>
      <c r="J67" s="31"/>
      <c r="K67" s="31"/>
      <c r="L67" s="31"/>
      <c r="M67" s="31"/>
      <c r="N67" s="31"/>
      <c r="O67" s="31"/>
      <c r="P67" s="31"/>
      <c r="Q67" s="31"/>
      <c r="R67" s="31"/>
      <c r="S67" s="32"/>
      <c r="T67" s="30"/>
      <c r="U67" s="31"/>
      <c r="V67" s="31"/>
      <c r="W67" s="31"/>
      <c r="X67" s="31"/>
      <c r="Y67" s="31"/>
      <c r="Z67" s="31"/>
      <c r="AA67" s="31"/>
      <c r="AB67" s="31"/>
      <c r="AC67" s="31"/>
      <c r="AD67" s="31"/>
      <c r="AE67" s="31"/>
      <c r="AF67" s="31"/>
      <c r="AG67" s="31"/>
      <c r="AH67" s="31"/>
      <c r="AI67" s="31"/>
      <c r="AJ67" s="31"/>
      <c r="AK67" s="31"/>
      <c r="AL67" s="32"/>
      <c r="AM67" s="30"/>
      <c r="AN67" s="31"/>
      <c r="AO67" s="31"/>
      <c r="AP67" s="31"/>
      <c r="AQ67" s="31"/>
      <c r="AR67" s="31"/>
      <c r="AS67" s="31"/>
      <c r="AT67" s="31"/>
      <c r="AU67" s="31"/>
      <c r="AV67" s="31"/>
      <c r="AW67" s="31"/>
      <c r="AX67" s="31"/>
      <c r="AY67" s="31"/>
      <c r="AZ67" s="31"/>
      <c r="BA67" s="31"/>
      <c r="BB67" s="31"/>
      <c r="BC67" s="31"/>
      <c r="BD67" s="31"/>
      <c r="BE67" s="32"/>
      <c r="BF67" s="30"/>
      <c r="BG67" s="31"/>
      <c r="BH67" s="31"/>
      <c r="BI67" s="31"/>
      <c r="BJ67" s="31"/>
      <c r="BK67" s="31"/>
      <c r="BL67" s="31"/>
      <c r="BM67" s="31"/>
      <c r="BN67" s="31"/>
      <c r="BO67" s="31"/>
      <c r="BP67" s="31"/>
      <c r="BQ67" s="31"/>
      <c r="BR67" s="31"/>
      <c r="BS67" s="31"/>
      <c r="BT67" s="31"/>
      <c r="BU67" s="31"/>
      <c r="BV67" s="31"/>
      <c r="BW67" s="31"/>
      <c r="BX67" s="32"/>
      <c r="BY67" s="31"/>
      <c r="BZ67" s="31"/>
      <c r="CA67" s="31"/>
      <c r="CB67" s="31"/>
      <c r="CC67" s="31"/>
      <c r="CD67" s="31"/>
      <c r="CE67" s="31"/>
      <c r="CF67" s="31"/>
      <c r="CG67" s="31"/>
      <c r="CH67" s="31"/>
      <c r="CI67" s="31"/>
      <c r="CJ67" s="31"/>
      <c r="CK67" s="31"/>
      <c r="CL67" s="31"/>
      <c r="CM67" s="31"/>
      <c r="CN67" s="31"/>
      <c r="CO67" s="31"/>
      <c r="CP67" s="31"/>
      <c r="CQ67" s="32"/>
    </row>
    <row r="68" spans="1:95" x14ac:dyDescent="0.2">
      <c r="A68" s="30"/>
      <c r="B68" s="31"/>
      <c r="C68" s="31"/>
      <c r="D68" s="31"/>
      <c r="E68" s="31"/>
      <c r="F68" s="31"/>
      <c r="G68" s="31"/>
      <c r="H68" s="31"/>
      <c r="I68" s="31"/>
      <c r="J68" s="31"/>
      <c r="K68" s="31"/>
      <c r="L68" s="31"/>
      <c r="M68" s="31"/>
      <c r="N68" s="31"/>
      <c r="O68" s="31"/>
      <c r="P68" s="31"/>
      <c r="Q68" s="31"/>
      <c r="R68" s="31"/>
      <c r="S68" s="32"/>
      <c r="T68" s="30"/>
      <c r="U68" s="31"/>
      <c r="V68" s="31"/>
      <c r="W68" s="31"/>
      <c r="X68" s="31"/>
      <c r="Y68" s="31"/>
      <c r="Z68" s="31"/>
      <c r="AA68" s="31"/>
      <c r="AB68" s="31"/>
      <c r="AC68" s="31"/>
      <c r="AD68" s="31"/>
      <c r="AE68" s="31"/>
      <c r="AF68" s="31"/>
      <c r="AG68" s="31"/>
      <c r="AH68" s="31"/>
      <c r="AI68" s="31"/>
      <c r="AJ68" s="31"/>
      <c r="AK68" s="31"/>
      <c r="AL68" s="32"/>
      <c r="AM68" s="30"/>
      <c r="AN68" s="31"/>
      <c r="AO68" s="31"/>
      <c r="AP68" s="31"/>
      <c r="AQ68" s="31"/>
      <c r="AR68" s="31"/>
      <c r="AS68" s="31"/>
      <c r="AT68" s="31"/>
      <c r="AU68" s="31"/>
      <c r="AV68" s="31"/>
      <c r="AW68" s="31"/>
      <c r="AX68" s="31"/>
      <c r="AY68" s="31"/>
      <c r="AZ68" s="31"/>
      <c r="BA68" s="31"/>
      <c r="BB68" s="31"/>
      <c r="BC68" s="31"/>
      <c r="BD68" s="31"/>
      <c r="BE68" s="32"/>
      <c r="BF68" s="30"/>
      <c r="BG68" s="31"/>
      <c r="BH68" s="31"/>
      <c r="BI68" s="31"/>
      <c r="BJ68" s="31"/>
      <c r="BK68" s="31"/>
      <c r="BL68" s="31"/>
      <c r="BM68" s="31"/>
      <c r="BN68" s="31"/>
      <c r="BO68" s="31"/>
      <c r="BP68" s="31"/>
      <c r="BQ68" s="31"/>
      <c r="BR68" s="31"/>
      <c r="BS68" s="31"/>
      <c r="BT68" s="31"/>
      <c r="BU68" s="31"/>
      <c r="BV68" s="31"/>
      <c r="BW68" s="31"/>
      <c r="BX68" s="32"/>
      <c r="BY68" s="31"/>
      <c r="BZ68" s="31"/>
      <c r="CA68" s="31"/>
      <c r="CB68" s="31"/>
      <c r="CC68" s="31"/>
      <c r="CD68" s="31"/>
      <c r="CE68" s="31"/>
      <c r="CF68" s="31"/>
      <c r="CG68" s="31"/>
      <c r="CH68" s="31"/>
      <c r="CI68" s="31"/>
      <c r="CJ68" s="31"/>
      <c r="CK68" s="31"/>
      <c r="CL68" s="31"/>
      <c r="CM68" s="31"/>
      <c r="CN68" s="31"/>
      <c r="CO68" s="31"/>
      <c r="CP68" s="31"/>
      <c r="CQ68" s="32"/>
    </row>
    <row r="69" spans="1:95" x14ac:dyDescent="0.2">
      <c r="A69" s="30"/>
      <c r="B69" s="31"/>
      <c r="C69" s="31"/>
      <c r="D69" s="31"/>
      <c r="E69" s="31"/>
      <c r="F69" s="31"/>
      <c r="G69" s="31"/>
      <c r="H69" s="31"/>
      <c r="I69" s="31"/>
      <c r="J69" s="31"/>
      <c r="K69" s="31"/>
      <c r="L69" s="31"/>
      <c r="M69" s="31"/>
      <c r="N69" s="31"/>
      <c r="O69" s="31"/>
      <c r="P69" s="31"/>
      <c r="Q69" s="31"/>
      <c r="R69" s="31"/>
      <c r="S69" s="32"/>
      <c r="T69" s="30"/>
      <c r="U69" s="31"/>
      <c r="V69" s="31"/>
      <c r="W69" s="31"/>
      <c r="X69" s="31"/>
      <c r="Y69" s="31"/>
      <c r="Z69" s="31"/>
      <c r="AA69" s="31"/>
      <c r="AB69" s="31"/>
      <c r="AC69" s="31"/>
      <c r="AD69" s="31"/>
      <c r="AE69" s="31"/>
      <c r="AF69" s="31"/>
      <c r="AG69" s="31"/>
      <c r="AH69" s="31"/>
      <c r="AI69" s="31"/>
      <c r="AJ69" s="31"/>
      <c r="AK69" s="31"/>
      <c r="AL69" s="32"/>
      <c r="AM69" s="30"/>
      <c r="AN69" s="31"/>
      <c r="AO69" s="31"/>
      <c r="AP69" s="31"/>
      <c r="AQ69" s="31"/>
      <c r="AR69" s="31"/>
      <c r="AS69" s="31"/>
      <c r="AT69" s="31"/>
      <c r="AU69" s="31"/>
      <c r="AV69" s="31"/>
      <c r="AW69" s="31"/>
      <c r="AX69" s="31"/>
      <c r="AY69" s="31"/>
      <c r="AZ69" s="31"/>
      <c r="BA69" s="31"/>
      <c r="BB69" s="31"/>
      <c r="BC69" s="31"/>
      <c r="BD69" s="31"/>
      <c r="BE69" s="32"/>
      <c r="BF69" s="30"/>
      <c r="BG69" s="31"/>
      <c r="BH69" s="31"/>
      <c r="BI69" s="31"/>
      <c r="BJ69" s="31"/>
      <c r="BK69" s="31"/>
      <c r="BL69" s="31"/>
      <c r="BM69" s="31"/>
      <c r="BN69" s="31"/>
      <c r="BO69" s="31"/>
      <c r="BP69" s="31"/>
      <c r="BQ69" s="31"/>
      <c r="BR69" s="31"/>
      <c r="BS69" s="31"/>
      <c r="BT69" s="31"/>
      <c r="BU69" s="31"/>
      <c r="BV69" s="31"/>
      <c r="BW69" s="31"/>
      <c r="BX69" s="32"/>
      <c r="BY69" s="31"/>
      <c r="BZ69" s="31"/>
      <c r="CA69" s="31"/>
      <c r="CB69" s="31"/>
      <c r="CC69" s="31"/>
      <c r="CD69" s="31"/>
      <c r="CE69" s="31"/>
      <c r="CF69" s="31"/>
      <c r="CG69" s="31"/>
      <c r="CH69" s="31"/>
      <c r="CI69" s="31"/>
      <c r="CJ69" s="31"/>
      <c r="CK69" s="31"/>
      <c r="CL69" s="31"/>
      <c r="CM69" s="31"/>
      <c r="CN69" s="31"/>
      <c r="CO69" s="31"/>
      <c r="CP69" s="31"/>
      <c r="CQ69" s="32"/>
    </row>
    <row r="70" spans="1:95" x14ac:dyDescent="0.2">
      <c r="A70" s="30"/>
      <c r="B70" s="31"/>
      <c r="C70" s="31"/>
      <c r="D70" s="31"/>
      <c r="E70" s="31"/>
      <c r="F70" s="31"/>
      <c r="G70" s="31"/>
      <c r="H70" s="31"/>
      <c r="I70" s="31"/>
      <c r="J70" s="31"/>
      <c r="K70" s="31"/>
      <c r="L70" s="31"/>
      <c r="M70" s="31"/>
      <c r="N70" s="31"/>
      <c r="O70" s="31"/>
      <c r="P70" s="31"/>
      <c r="Q70" s="31"/>
      <c r="R70" s="31"/>
      <c r="S70" s="32"/>
      <c r="T70" s="30"/>
      <c r="U70" s="31"/>
      <c r="V70" s="31"/>
      <c r="W70" s="31"/>
      <c r="X70" s="31"/>
      <c r="Y70" s="31"/>
      <c r="Z70" s="31"/>
      <c r="AA70" s="31"/>
      <c r="AB70" s="31"/>
      <c r="AC70" s="31"/>
      <c r="AD70" s="31"/>
      <c r="AE70" s="31"/>
      <c r="AF70" s="31"/>
      <c r="AG70" s="31"/>
      <c r="AH70" s="31"/>
      <c r="AI70" s="31"/>
      <c r="AJ70" s="31"/>
      <c r="AK70" s="31"/>
      <c r="AL70" s="32"/>
      <c r="AM70" s="30"/>
      <c r="AN70" s="31"/>
      <c r="AO70" s="31"/>
      <c r="AP70" s="31"/>
      <c r="AQ70" s="31"/>
      <c r="AR70" s="31"/>
      <c r="AS70" s="31"/>
      <c r="AT70" s="31"/>
      <c r="AU70" s="31"/>
      <c r="AV70" s="31"/>
      <c r="AW70" s="31"/>
      <c r="AX70" s="31"/>
      <c r="AY70" s="31"/>
      <c r="AZ70" s="31"/>
      <c r="BA70" s="31"/>
      <c r="BB70" s="31"/>
      <c r="BC70" s="31"/>
      <c r="BD70" s="31"/>
      <c r="BE70" s="32"/>
      <c r="BF70" s="30"/>
      <c r="BG70" s="31"/>
      <c r="BH70" s="31"/>
      <c r="BI70" s="31"/>
      <c r="BJ70" s="31"/>
      <c r="BK70" s="31"/>
      <c r="BL70" s="31"/>
      <c r="BM70" s="31"/>
      <c r="BN70" s="31"/>
      <c r="BO70" s="31"/>
      <c r="BP70" s="31"/>
      <c r="BQ70" s="31"/>
      <c r="BR70" s="31"/>
      <c r="BS70" s="31"/>
      <c r="BT70" s="31"/>
      <c r="BU70" s="31"/>
      <c r="BV70" s="31"/>
      <c r="BW70" s="31"/>
      <c r="BX70" s="32"/>
      <c r="BY70" s="31"/>
      <c r="BZ70" s="31"/>
      <c r="CA70" s="31"/>
      <c r="CB70" s="31"/>
      <c r="CC70" s="31"/>
      <c r="CD70" s="31"/>
      <c r="CE70" s="31"/>
      <c r="CF70" s="31"/>
      <c r="CG70" s="31"/>
      <c r="CH70" s="31"/>
      <c r="CI70" s="31"/>
      <c r="CJ70" s="31"/>
      <c r="CK70" s="31"/>
      <c r="CL70" s="31"/>
      <c r="CM70" s="31"/>
      <c r="CN70" s="31"/>
      <c r="CO70" s="31"/>
      <c r="CP70" s="31"/>
      <c r="CQ70" s="32"/>
    </row>
    <row r="71" spans="1:95" x14ac:dyDescent="0.2">
      <c r="A71" s="30"/>
      <c r="B71" s="31"/>
      <c r="C71" s="31"/>
      <c r="D71" s="31"/>
      <c r="E71" s="31"/>
      <c r="F71" s="31"/>
      <c r="G71" s="31"/>
      <c r="H71" s="31"/>
      <c r="I71" s="31"/>
      <c r="J71" s="31"/>
      <c r="K71" s="31"/>
      <c r="L71" s="31"/>
      <c r="M71" s="31"/>
      <c r="N71" s="31"/>
      <c r="O71" s="31"/>
      <c r="P71" s="31"/>
      <c r="Q71" s="31"/>
      <c r="R71" s="31"/>
      <c r="S71" s="32"/>
      <c r="T71" s="30"/>
      <c r="U71" s="31"/>
      <c r="V71" s="31"/>
      <c r="W71" s="31"/>
      <c r="X71" s="31"/>
      <c r="Y71" s="31"/>
      <c r="Z71" s="31"/>
      <c r="AA71" s="31"/>
      <c r="AB71" s="31"/>
      <c r="AC71" s="31"/>
      <c r="AD71" s="31"/>
      <c r="AE71" s="31"/>
      <c r="AF71" s="31"/>
      <c r="AG71" s="31"/>
      <c r="AH71" s="31"/>
      <c r="AI71" s="31"/>
      <c r="AJ71" s="31"/>
      <c r="AK71" s="31"/>
      <c r="AL71" s="32"/>
      <c r="AM71" s="30"/>
      <c r="AN71" s="31"/>
      <c r="AO71" s="31"/>
      <c r="AP71" s="31"/>
      <c r="AQ71" s="31"/>
      <c r="AR71" s="31"/>
      <c r="AS71" s="31"/>
      <c r="AT71" s="31"/>
      <c r="AU71" s="31"/>
      <c r="AV71" s="31"/>
      <c r="AW71" s="31"/>
      <c r="AX71" s="31"/>
      <c r="AY71" s="31"/>
      <c r="AZ71" s="31"/>
      <c r="BA71" s="31"/>
      <c r="BB71" s="31"/>
      <c r="BC71" s="31"/>
      <c r="BD71" s="31"/>
      <c r="BE71" s="32"/>
      <c r="BF71" s="30"/>
      <c r="BG71" s="31"/>
      <c r="BH71" s="31"/>
      <c r="BI71" s="31"/>
      <c r="BJ71" s="31"/>
      <c r="BK71" s="31"/>
      <c r="BL71" s="31"/>
      <c r="BM71" s="31"/>
      <c r="BN71" s="31"/>
      <c r="BO71" s="31"/>
      <c r="BP71" s="31"/>
      <c r="BQ71" s="31"/>
      <c r="BR71" s="31"/>
      <c r="BS71" s="31"/>
      <c r="BT71" s="31"/>
      <c r="BU71" s="31"/>
      <c r="BV71" s="31"/>
      <c r="BW71" s="31"/>
      <c r="BX71" s="32"/>
      <c r="BY71" s="31"/>
      <c r="BZ71" s="31"/>
      <c r="CA71" s="31"/>
      <c r="CB71" s="31"/>
      <c r="CC71" s="31"/>
      <c r="CD71" s="31"/>
      <c r="CE71" s="31"/>
      <c r="CF71" s="31"/>
      <c r="CG71" s="31"/>
      <c r="CH71" s="31"/>
      <c r="CI71" s="31"/>
      <c r="CJ71" s="31"/>
      <c r="CK71" s="31"/>
      <c r="CL71" s="31"/>
      <c r="CM71" s="31"/>
      <c r="CN71" s="31"/>
      <c r="CO71" s="31"/>
      <c r="CP71" s="31"/>
      <c r="CQ71" s="32"/>
    </row>
    <row r="72" spans="1:95" x14ac:dyDescent="0.2">
      <c r="A72" s="30"/>
      <c r="B72" s="31"/>
      <c r="C72" s="31"/>
      <c r="D72" s="31"/>
      <c r="E72" s="31"/>
      <c r="F72" s="31"/>
      <c r="G72" s="31"/>
      <c r="H72" s="31"/>
      <c r="I72" s="31"/>
      <c r="J72" s="31"/>
      <c r="K72" s="31"/>
      <c r="L72" s="31"/>
      <c r="M72" s="31"/>
      <c r="N72" s="31"/>
      <c r="O72" s="31"/>
      <c r="P72" s="31"/>
      <c r="Q72" s="31"/>
      <c r="R72" s="31"/>
      <c r="S72" s="32"/>
      <c r="T72" s="30"/>
      <c r="U72" s="31"/>
      <c r="V72" s="31"/>
      <c r="W72" s="31"/>
      <c r="X72" s="31"/>
      <c r="Y72" s="31"/>
      <c r="Z72" s="31"/>
      <c r="AA72" s="31"/>
      <c r="AB72" s="31"/>
      <c r="AC72" s="31"/>
      <c r="AD72" s="31"/>
      <c r="AE72" s="31"/>
      <c r="AF72" s="31"/>
      <c r="AG72" s="31"/>
      <c r="AH72" s="31"/>
      <c r="AI72" s="31"/>
      <c r="AJ72" s="31"/>
      <c r="AK72" s="31"/>
      <c r="AL72" s="32"/>
      <c r="AM72" s="30"/>
      <c r="AN72" s="31"/>
      <c r="AO72" s="31"/>
      <c r="AP72" s="31"/>
      <c r="AQ72" s="31"/>
      <c r="AR72" s="31"/>
      <c r="AS72" s="31"/>
      <c r="AT72" s="31"/>
      <c r="AU72" s="31"/>
      <c r="AV72" s="31"/>
      <c r="AW72" s="31"/>
      <c r="AX72" s="31"/>
      <c r="AY72" s="31"/>
      <c r="AZ72" s="31"/>
      <c r="BA72" s="31"/>
      <c r="BB72" s="31"/>
      <c r="BC72" s="31"/>
      <c r="BD72" s="31"/>
      <c r="BE72" s="32"/>
      <c r="BF72" s="30"/>
      <c r="BG72" s="31"/>
      <c r="BH72" s="31"/>
      <c r="BI72" s="31"/>
      <c r="BJ72" s="31"/>
      <c r="BK72" s="31"/>
      <c r="BL72" s="31"/>
      <c r="BM72" s="31"/>
      <c r="BN72" s="31"/>
      <c r="BO72" s="31"/>
      <c r="BP72" s="31"/>
      <c r="BQ72" s="31"/>
      <c r="BR72" s="31"/>
      <c r="BS72" s="31"/>
      <c r="BT72" s="31"/>
      <c r="BU72" s="31"/>
      <c r="BV72" s="31"/>
      <c r="BW72" s="31"/>
      <c r="BX72" s="32"/>
      <c r="BY72" s="31"/>
      <c r="BZ72" s="31"/>
      <c r="CA72" s="31"/>
      <c r="CB72" s="31"/>
      <c r="CC72" s="31"/>
      <c r="CD72" s="31"/>
      <c r="CE72" s="31"/>
      <c r="CF72" s="31"/>
      <c r="CG72" s="31"/>
      <c r="CH72" s="31"/>
      <c r="CI72" s="31"/>
      <c r="CJ72" s="31"/>
      <c r="CK72" s="31"/>
      <c r="CL72" s="31"/>
      <c r="CM72" s="31"/>
      <c r="CN72" s="31"/>
      <c r="CO72" s="31"/>
      <c r="CP72" s="31"/>
      <c r="CQ72" s="32"/>
    </row>
    <row r="73" spans="1:95" x14ac:dyDescent="0.2">
      <c r="A73" s="30"/>
      <c r="B73" s="31"/>
      <c r="C73" s="31"/>
      <c r="D73" s="31"/>
      <c r="E73" s="31"/>
      <c r="F73" s="31"/>
      <c r="G73" s="31"/>
      <c r="H73" s="31"/>
      <c r="I73" s="31"/>
      <c r="J73" s="31"/>
      <c r="K73" s="31"/>
      <c r="L73" s="31"/>
      <c r="M73" s="31"/>
      <c r="N73" s="31"/>
      <c r="O73" s="31"/>
      <c r="P73" s="31"/>
      <c r="Q73" s="31"/>
      <c r="R73" s="31"/>
      <c r="S73" s="32"/>
      <c r="T73" s="30"/>
      <c r="U73" s="31"/>
      <c r="V73" s="31"/>
      <c r="W73" s="31"/>
      <c r="X73" s="31"/>
      <c r="Y73" s="31"/>
      <c r="Z73" s="31"/>
      <c r="AA73" s="31"/>
      <c r="AB73" s="31"/>
      <c r="AC73" s="31"/>
      <c r="AD73" s="31"/>
      <c r="AE73" s="31"/>
      <c r="AF73" s="31"/>
      <c r="AG73" s="31"/>
      <c r="AH73" s="31"/>
      <c r="AI73" s="31"/>
      <c r="AJ73" s="31"/>
      <c r="AK73" s="31"/>
      <c r="AL73" s="32"/>
      <c r="AM73" s="30"/>
      <c r="AN73" s="31"/>
      <c r="AO73" s="31"/>
      <c r="AP73" s="31"/>
      <c r="AQ73" s="31"/>
      <c r="AR73" s="31"/>
      <c r="AS73" s="31"/>
      <c r="AT73" s="31"/>
      <c r="AU73" s="31"/>
      <c r="AV73" s="31"/>
      <c r="AW73" s="31"/>
      <c r="AX73" s="31"/>
      <c r="AY73" s="31"/>
      <c r="AZ73" s="31"/>
      <c r="BA73" s="31"/>
      <c r="BB73" s="31"/>
      <c r="BC73" s="31"/>
      <c r="BD73" s="31"/>
      <c r="BE73" s="32"/>
      <c r="BF73" s="30"/>
      <c r="BG73" s="31"/>
      <c r="BH73" s="31"/>
      <c r="BI73" s="31"/>
      <c r="BJ73" s="31"/>
      <c r="BK73" s="31"/>
      <c r="BL73" s="31"/>
      <c r="BM73" s="31"/>
      <c r="BN73" s="31"/>
      <c r="BO73" s="31"/>
      <c r="BP73" s="31"/>
      <c r="BQ73" s="31"/>
      <c r="BR73" s="31"/>
      <c r="BS73" s="31"/>
      <c r="BT73" s="31"/>
      <c r="BU73" s="31"/>
      <c r="BV73" s="31"/>
      <c r="BW73" s="31"/>
      <c r="BX73" s="32"/>
      <c r="BY73" s="31"/>
      <c r="BZ73" s="31"/>
      <c r="CA73" s="31"/>
      <c r="CB73" s="31"/>
      <c r="CC73" s="31"/>
      <c r="CD73" s="31"/>
      <c r="CE73" s="31"/>
      <c r="CF73" s="31"/>
      <c r="CG73" s="31"/>
      <c r="CH73" s="31"/>
      <c r="CI73" s="31"/>
      <c r="CJ73" s="31"/>
      <c r="CK73" s="31"/>
      <c r="CL73" s="31"/>
      <c r="CM73" s="31"/>
      <c r="CN73" s="31"/>
      <c r="CO73" s="31"/>
      <c r="CP73" s="31"/>
      <c r="CQ73" s="32"/>
    </row>
    <row r="74" spans="1:95" x14ac:dyDescent="0.2">
      <c r="A74" s="30"/>
      <c r="B74" s="31"/>
      <c r="C74" s="31"/>
      <c r="D74" s="31"/>
      <c r="E74" s="31"/>
      <c r="F74" s="31"/>
      <c r="G74" s="31"/>
      <c r="H74" s="31"/>
      <c r="I74" s="31"/>
      <c r="J74" s="31"/>
      <c r="K74" s="31"/>
      <c r="L74" s="31"/>
      <c r="M74" s="31"/>
      <c r="N74" s="31"/>
      <c r="O74" s="31"/>
      <c r="P74" s="31"/>
      <c r="Q74" s="31"/>
      <c r="R74" s="31"/>
      <c r="S74" s="32"/>
      <c r="T74" s="30"/>
      <c r="U74" s="31"/>
      <c r="V74" s="31"/>
      <c r="W74" s="31"/>
      <c r="X74" s="31"/>
      <c r="Y74" s="31"/>
      <c r="Z74" s="31"/>
      <c r="AA74" s="31"/>
      <c r="AB74" s="31"/>
      <c r="AC74" s="31"/>
      <c r="AD74" s="31"/>
      <c r="AE74" s="31"/>
      <c r="AF74" s="31"/>
      <c r="AG74" s="31"/>
      <c r="AH74" s="31"/>
      <c r="AI74" s="31"/>
      <c r="AJ74" s="31"/>
      <c r="AK74" s="31"/>
      <c r="AL74" s="32"/>
      <c r="AM74" s="30"/>
      <c r="AN74" s="31"/>
      <c r="AO74" s="31"/>
      <c r="AP74" s="31"/>
      <c r="AQ74" s="31"/>
      <c r="AR74" s="31"/>
      <c r="AS74" s="31"/>
      <c r="AT74" s="31"/>
      <c r="AU74" s="31"/>
      <c r="AV74" s="31"/>
      <c r="AW74" s="31"/>
      <c r="AX74" s="31"/>
      <c r="AY74" s="31"/>
      <c r="AZ74" s="31"/>
      <c r="BA74" s="31"/>
      <c r="BB74" s="31"/>
      <c r="BC74" s="31"/>
      <c r="BD74" s="31"/>
      <c r="BE74" s="32"/>
      <c r="BF74" s="30"/>
      <c r="BG74" s="31"/>
      <c r="BH74" s="31"/>
      <c r="BI74" s="31"/>
      <c r="BJ74" s="31"/>
      <c r="BK74" s="31"/>
      <c r="BL74" s="31"/>
      <c r="BM74" s="31"/>
      <c r="BN74" s="31"/>
      <c r="BO74" s="31"/>
      <c r="BP74" s="31"/>
      <c r="BQ74" s="31"/>
      <c r="BR74" s="31"/>
      <c r="BS74" s="31"/>
      <c r="BT74" s="31"/>
      <c r="BU74" s="31"/>
      <c r="BV74" s="31"/>
      <c r="BW74" s="31"/>
      <c r="BX74" s="32"/>
      <c r="BY74" s="31"/>
      <c r="BZ74" s="31"/>
      <c r="CA74" s="31"/>
      <c r="CB74" s="31"/>
      <c r="CC74" s="31"/>
      <c r="CD74" s="31"/>
      <c r="CE74" s="31"/>
      <c r="CF74" s="31"/>
      <c r="CG74" s="31"/>
      <c r="CH74" s="31"/>
      <c r="CI74" s="31"/>
      <c r="CJ74" s="31"/>
      <c r="CK74" s="31"/>
      <c r="CL74" s="31"/>
      <c r="CM74" s="31"/>
      <c r="CN74" s="31"/>
      <c r="CO74" s="31"/>
      <c r="CP74" s="31"/>
      <c r="CQ74" s="32"/>
    </row>
    <row r="75" spans="1:95" x14ac:dyDescent="0.2">
      <c r="A75" s="30"/>
      <c r="B75" s="31"/>
      <c r="C75" s="31"/>
      <c r="D75" s="31"/>
      <c r="E75" s="31"/>
      <c r="F75" s="31"/>
      <c r="G75" s="31"/>
      <c r="H75" s="31"/>
      <c r="I75" s="31"/>
      <c r="J75" s="31"/>
      <c r="K75" s="31"/>
      <c r="L75" s="31"/>
      <c r="M75" s="31"/>
      <c r="N75" s="31"/>
      <c r="O75" s="31"/>
      <c r="P75" s="31"/>
      <c r="Q75" s="31"/>
      <c r="R75" s="31"/>
      <c r="S75" s="32"/>
      <c r="T75" s="30"/>
      <c r="U75" s="31"/>
      <c r="V75" s="31"/>
      <c r="W75" s="31"/>
      <c r="X75" s="31"/>
      <c r="Y75" s="31"/>
      <c r="Z75" s="31"/>
      <c r="AA75" s="31"/>
      <c r="AB75" s="31"/>
      <c r="AC75" s="31"/>
      <c r="AD75" s="31"/>
      <c r="AE75" s="31"/>
      <c r="AF75" s="31"/>
      <c r="AG75" s="31"/>
      <c r="AH75" s="31"/>
      <c r="AI75" s="31"/>
      <c r="AJ75" s="31"/>
      <c r="AK75" s="31"/>
      <c r="AL75" s="32"/>
      <c r="AM75" s="30"/>
      <c r="AN75" s="31"/>
      <c r="AO75" s="31"/>
      <c r="AP75" s="31"/>
      <c r="AQ75" s="31"/>
      <c r="AR75" s="31"/>
      <c r="AS75" s="31"/>
      <c r="AT75" s="31"/>
      <c r="AU75" s="31"/>
      <c r="AV75" s="31"/>
      <c r="AW75" s="31"/>
      <c r="AX75" s="31"/>
      <c r="AY75" s="31"/>
      <c r="AZ75" s="31"/>
      <c r="BA75" s="31"/>
      <c r="BB75" s="31"/>
      <c r="BC75" s="31"/>
      <c r="BD75" s="31"/>
      <c r="BE75" s="32"/>
      <c r="BF75" s="30"/>
      <c r="BG75" s="31"/>
      <c r="BH75" s="31"/>
      <c r="BI75" s="31"/>
      <c r="BJ75" s="31"/>
      <c r="BK75" s="31"/>
      <c r="BL75" s="31"/>
      <c r="BM75" s="31"/>
      <c r="BN75" s="31"/>
      <c r="BO75" s="31"/>
      <c r="BP75" s="31"/>
      <c r="BQ75" s="31"/>
      <c r="BR75" s="31"/>
      <c r="BS75" s="31"/>
      <c r="BT75" s="31"/>
      <c r="BU75" s="31"/>
      <c r="BV75" s="31"/>
      <c r="BW75" s="31"/>
      <c r="BX75" s="32"/>
      <c r="BY75" s="31"/>
      <c r="BZ75" s="31"/>
      <c r="CA75" s="31"/>
      <c r="CB75" s="31"/>
      <c r="CC75" s="31"/>
      <c r="CD75" s="31"/>
      <c r="CE75" s="31"/>
      <c r="CF75" s="31"/>
      <c r="CG75" s="31"/>
      <c r="CH75" s="31"/>
      <c r="CI75" s="31"/>
      <c r="CJ75" s="31"/>
      <c r="CK75" s="31"/>
      <c r="CL75" s="31"/>
      <c r="CM75" s="31"/>
      <c r="CN75" s="31"/>
      <c r="CO75" s="31"/>
      <c r="CP75" s="31"/>
      <c r="CQ75" s="32"/>
    </row>
    <row r="76" spans="1:95" x14ac:dyDescent="0.2">
      <c r="A76" s="30"/>
      <c r="B76" s="31"/>
      <c r="C76" s="31"/>
      <c r="D76" s="31"/>
      <c r="E76" s="31"/>
      <c r="F76" s="31"/>
      <c r="G76" s="31"/>
      <c r="H76" s="31"/>
      <c r="I76" s="31"/>
      <c r="J76" s="31"/>
      <c r="K76" s="31"/>
      <c r="L76" s="31"/>
      <c r="M76" s="31"/>
      <c r="N76" s="31"/>
      <c r="O76" s="31"/>
      <c r="P76" s="31"/>
      <c r="Q76" s="31"/>
      <c r="R76" s="31"/>
      <c r="S76" s="32"/>
      <c r="T76" s="30"/>
      <c r="U76" s="31"/>
      <c r="V76" s="31"/>
      <c r="W76" s="31"/>
      <c r="X76" s="31"/>
      <c r="Y76" s="31"/>
      <c r="Z76" s="31"/>
      <c r="AA76" s="31"/>
      <c r="AB76" s="31"/>
      <c r="AC76" s="31"/>
      <c r="AD76" s="31"/>
      <c r="AE76" s="31"/>
      <c r="AF76" s="31"/>
      <c r="AG76" s="31"/>
      <c r="AH76" s="31"/>
      <c r="AI76" s="31"/>
      <c r="AJ76" s="31"/>
      <c r="AK76" s="31"/>
      <c r="AL76" s="32"/>
      <c r="AM76" s="30"/>
      <c r="AN76" s="31"/>
      <c r="AO76" s="31"/>
      <c r="AP76" s="31"/>
      <c r="AQ76" s="31"/>
      <c r="AR76" s="31"/>
      <c r="AS76" s="31"/>
      <c r="AT76" s="31"/>
      <c r="AU76" s="31"/>
      <c r="AV76" s="31"/>
      <c r="AW76" s="31"/>
      <c r="AX76" s="31"/>
      <c r="AY76" s="31"/>
      <c r="AZ76" s="31"/>
      <c r="BA76" s="31"/>
      <c r="BB76" s="31"/>
      <c r="BC76" s="31"/>
      <c r="BD76" s="31"/>
      <c r="BE76" s="32"/>
      <c r="BF76" s="30"/>
      <c r="BG76" s="31"/>
      <c r="BH76" s="31"/>
      <c r="BI76" s="31"/>
      <c r="BJ76" s="31"/>
      <c r="BK76" s="31"/>
      <c r="BL76" s="31"/>
      <c r="BM76" s="31"/>
      <c r="BN76" s="31"/>
      <c r="BO76" s="31"/>
      <c r="BP76" s="31"/>
      <c r="BQ76" s="31"/>
      <c r="BR76" s="31"/>
      <c r="BS76" s="31"/>
      <c r="BT76" s="31"/>
      <c r="BU76" s="31"/>
      <c r="BV76" s="31"/>
      <c r="BW76" s="31"/>
      <c r="BX76" s="32"/>
      <c r="BY76" s="31"/>
      <c r="BZ76" s="31"/>
      <c r="CA76" s="31"/>
      <c r="CB76" s="31"/>
      <c r="CC76" s="31"/>
      <c r="CD76" s="31"/>
      <c r="CE76" s="31"/>
      <c r="CF76" s="31"/>
      <c r="CG76" s="31"/>
      <c r="CH76" s="31"/>
      <c r="CI76" s="31"/>
      <c r="CJ76" s="31"/>
      <c r="CK76" s="31"/>
      <c r="CL76" s="31"/>
      <c r="CM76" s="31"/>
      <c r="CN76" s="31"/>
      <c r="CO76" s="31"/>
      <c r="CP76" s="31"/>
      <c r="CQ76" s="32"/>
    </row>
    <row r="77" spans="1:95" x14ac:dyDescent="0.2">
      <c r="A77" s="30"/>
      <c r="B77" s="31"/>
      <c r="C77" s="31"/>
      <c r="D77" s="31"/>
      <c r="E77" s="31"/>
      <c r="F77" s="31"/>
      <c r="G77" s="31"/>
      <c r="H77" s="31"/>
      <c r="I77" s="31"/>
      <c r="J77" s="31"/>
      <c r="K77" s="31"/>
      <c r="L77" s="31"/>
      <c r="M77" s="31"/>
      <c r="N77" s="31"/>
      <c r="O77" s="31"/>
      <c r="P77" s="31"/>
      <c r="Q77" s="31"/>
      <c r="R77" s="31"/>
      <c r="S77" s="32"/>
      <c r="T77" s="30"/>
      <c r="U77" s="31"/>
      <c r="V77" s="31"/>
      <c r="W77" s="31"/>
      <c r="X77" s="31"/>
      <c r="Y77" s="31"/>
      <c r="Z77" s="31"/>
      <c r="AA77" s="31"/>
      <c r="AB77" s="31"/>
      <c r="AC77" s="31"/>
      <c r="AD77" s="31"/>
      <c r="AE77" s="31"/>
      <c r="AF77" s="31"/>
      <c r="AG77" s="31"/>
      <c r="AH77" s="31"/>
      <c r="AI77" s="31"/>
      <c r="AJ77" s="31"/>
      <c r="AK77" s="31"/>
      <c r="AL77" s="32"/>
      <c r="AM77" s="30"/>
      <c r="AN77" s="31"/>
      <c r="AO77" s="31"/>
      <c r="AP77" s="31"/>
      <c r="AQ77" s="31"/>
      <c r="AR77" s="31"/>
      <c r="AS77" s="31"/>
      <c r="AT77" s="31"/>
      <c r="AU77" s="31"/>
      <c r="AV77" s="31"/>
      <c r="AW77" s="31"/>
      <c r="AX77" s="31"/>
      <c r="AY77" s="31"/>
      <c r="AZ77" s="31"/>
      <c r="BA77" s="31"/>
      <c r="BB77" s="31"/>
      <c r="BC77" s="31"/>
      <c r="BD77" s="31"/>
      <c r="BE77" s="32"/>
      <c r="BF77" s="30"/>
      <c r="BG77" s="31"/>
      <c r="BH77" s="31"/>
      <c r="BI77" s="31"/>
      <c r="BJ77" s="31"/>
      <c r="BK77" s="31"/>
      <c r="BL77" s="31"/>
      <c r="BM77" s="31"/>
      <c r="BN77" s="31"/>
      <c r="BO77" s="31"/>
      <c r="BP77" s="31"/>
      <c r="BQ77" s="31"/>
      <c r="BR77" s="31"/>
      <c r="BS77" s="31"/>
      <c r="BT77" s="31"/>
      <c r="BU77" s="31"/>
      <c r="BV77" s="31"/>
      <c r="BW77" s="31"/>
      <c r="BX77" s="32"/>
      <c r="BY77" s="31"/>
      <c r="BZ77" s="31"/>
      <c r="CA77" s="31"/>
      <c r="CB77" s="31"/>
      <c r="CC77" s="31"/>
      <c r="CD77" s="31"/>
      <c r="CE77" s="31"/>
      <c r="CF77" s="31"/>
      <c r="CG77" s="31"/>
      <c r="CH77" s="31"/>
      <c r="CI77" s="31"/>
      <c r="CJ77" s="31"/>
      <c r="CK77" s="31"/>
      <c r="CL77" s="31"/>
      <c r="CM77" s="31"/>
      <c r="CN77" s="31"/>
      <c r="CO77" s="31"/>
      <c r="CP77" s="31"/>
      <c r="CQ77" s="32"/>
    </row>
    <row r="78" spans="1:95" x14ac:dyDescent="0.2">
      <c r="A78" s="30"/>
      <c r="B78" s="31"/>
      <c r="C78" s="31"/>
      <c r="D78" s="31"/>
      <c r="E78" s="31"/>
      <c r="F78" s="31"/>
      <c r="G78" s="31"/>
      <c r="H78" s="31"/>
      <c r="I78" s="31"/>
      <c r="J78" s="31"/>
      <c r="K78" s="31"/>
      <c r="L78" s="31"/>
      <c r="M78" s="31"/>
      <c r="N78" s="31"/>
      <c r="O78" s="31"/>
      <c r="P78" s="31"/>
      <c r="Q78" s="31"/>
      <c r="R78" s="31"/>
      <c r="S78" s="32"/>
      <c r="T78" s="30"/>
      <c r="U78" s="31"/>
      <c r="V78" s="31"/>
      <c r="W78" s="31"/>
      <c r="X78" s="31"/>
      <c r="Y78" s="31"/>
      <c r="Z78" s="31"/>
      <c r="AA78" s="31"/>
      <c r="AB78" s="31"/>
      <c r="AC78" s="31"/>
      <c r="AD78" s="31"/>
      <c r="AE78" s="31"/>
      <c r="AF78" s="31"/>
      <c r="AG78" s="31"/>
      <c r="AH78" s="31"/>
      <c r="AI78" s="31"/>
      <c r="AJ78" s="31"/>
      <c r="AK78" s="31"/>
      <c r="AL78" s="32"/>
      <c r="AM78" s="30"/>
      <c r="AN78" s="31"/>
      <c r="AO78" s="31"/>
      <c r="AP78" s="31"/>
      <c r="AQ78" s="31"/>
      <c r="AR78" s="31"/>
      <c r="AS78" s="31"/>
      <c r="AT78" s="31"/>
      <c r="AU78" s="31"/>
      <c r="AV78" s="31"/>
      <c r="AW78" s="31"/>
      <c r="AX78" s="31"/>
      <c r="AY78" s="31"/>
      <c r="AZ78" s="31"/>
      <c r="BA78" s="31"/>
      <c r="BB78" s="31"/>
      <c r="BC78" s="31"/>
      <c r="BD78" s="31"/>
      <c r="BE78" s="32"/>
      <c r="BF78" s="30"/>
      <c r="BG78" s="31"/>
      <c r="BH78" s="31"/>
      <c r="BI78" s="31"/>
      <c r="BJ78" s="31"/>
      <c r="BK78" s="31"/>
      <c r="BL78" s="31"/>
      <c r="BM78" s="31"/>
      <c r="BN78" s="31"/>
      <c r="BO78" s="31"/>
      <c r="BP78" s="31"/>
      <c r="BQ78" s="31"/>
      <c r="BR78" s="31"/>
      <c r="BS78" s="31"/>
      <c r="BT78" s="31"/>
      <c r="BU78" s="31"/>
      <c r="BV78" s="31"/>
      <c r="BW78" s="31"/>
      <c r="BX78" s="32"/>
      <c r="BY78" s="31"/>
      <c r="BZ78" s="31"/>
      <c r="CA78" s="31"/>
      <c r="CB78" s="31"/>
      <c r="CC78" s="31"/>
      <c r="CD78" s="31"/>
      <c r="CE78" s="31"/>
      <c r="CF78" s="31"/>
      <c r="CG78" s="31"/>
      <c r="CH78" s="31"/>
      <c r="CI78" s="31"/>
      <c r="CJ78" s="31"/>
      <c r="CK78" s="31"/>
      <c r="CL78" s="31"/>
      <c r="CM78" s="31"/>
      <c r="CN78" s="31"/>
      <c r="CO78" s="31"/>
      <c r="CP78" s="31"/>
      <c r="CQ78" s="32"/>
    </row>
    <row r="79" spans="1:95" x14ac:dyDescent="0.2">
      <c r="A79" s="30"/>
      <c r="B79" s="31"/>
      <c r="C79" s="31"/>
      <c r="D79" s="31"/>
      <c r="E79" s="31"/>
      <c r="F79" s="31"/>
      <c r="G79" s="31"/>
      <c r="H79" s="31"/>
      <c r="I79" s="31"/>
      <c r="J79" s="31"/>
      <c r="K79" s="31"/>
      <c r="L79" s="31"/>
      <c r="M79" s="31"/>
      <c r="N79" s="31"/>
      <c r="O79" s="31"/>
      <c r="P79" s="31"/>
      <c r="Q79" s="31"/>
      <c r="R79" s="31"/>
      <c r="S79" s="32"/>
      <c r="T79" s="30"/>
      <c r="U79" s="31"/>
      <c r="V79" s="31"/>
      <c r="W79" s="31"/>
      <c r="X79" s="31"/>
      <c r="Y79" s="31"/>
      <c r="Z79" s="31"/>
      <c r="AA79" s="31"/>
      <c r="AB79" s="31"/>
      <c r="AC79" s="31"/>
      <c r="AD79" s="31"/>
      <c r="AE79" s="31"/>
      <c r="AF79" s="31"/>
      <c r="AG79" s="31"/>
      <c r="AH79" s="31"/>
      <c r="AI79" s="31"/>
      <c r="AJ79" s="31"/>
      <c r="AK79" s="31"/>
      <c r="AL79" s="32"/>
      <c r="AM79" s="30"/>
      <c r="AN79" s="31"/>
      <c r="AO79" s="31"/>
      <c r="AP79" s="31"/>
      <c r="AQ79" s="31"/>
      <c r="AR79" s="31"/>
      <c r="AS79" s="31"/>
      <c r="AT79" s="31"/>
      <c r="AU79" s="31"/>
      <c r="AV79" s="31"/>
      <c r="AW79" s="31"/>
      <c r="AX79" s="31"/>
      <c r="AY79" s="31"/>
      <c r="AZ79" s="31"/>
      <c r="BA79" s="31"/>
      <c r="BB79" s="31"/>
      <c r="BC79" s="31"/>
      <c r="BD79" s="31"/>
      <c r="BE79" s="32"/>
      <c r="BF79" s="30"/>
      <c r="BG79" s="31"/>
      <c r="BH79" s="31"/>
      <c r="BI79" s="31"/>
      <c r="BJ79" s="31"/>
      <c r="BK79" s="31"/>
      <c r="BL79" s="31"/>
      <c r="BM79" s="31"/>
      <c r="BN79" s="31"/>
      <c r="BO79" s="31"/>
      <c r="BP79" s="31"/>
      <c r="BQ79" s="31"/>
      <c r="BR79" s="31"/>
      <c r="BS79" s="31"/>
      <c r="BT79" s="31"/>
      <c r="BU79" s="31"/>
      <c r="BV79" s="31"/>
      <c r="BW79" s="31"/>
      <c r="BX79" s="32"/>
      <c r="BY79" s="31"/>
      <c r="BZ79" s="31"/>
      <c r="CA79" s="31"/>
      <c r="CB79" s="31"/>
      <c r="CC79" s="31"/>
      <c r="CD79" s="31"/>
      <c r="CE79" s="31"/>
      <c r="CF79" s="31"/>
      <c r="CG79" s="31"/>
      <c r="CH79" s="31"/>
      <c r="CI79" s="31"/>
      <c r="CJ79" s="31"/>
      <c r="CK79" s="31"/>
      <c r="CL79" s="31"/>
      <c r="CM79" s="31"/>
      <c r="CN79" s="31"/>
      <c r="CO79" s="31"/>
      <c r="CP79" s="31"/>
      <c r="CQ79" s="32"/>
    </row>
    <row r="80" spans="1:95" x14ac:dyDescent="0.2">
      <c r="A80" s="30"/>
      <c r="B80" s="31"/>
      <c r="C80" s="31"/>
      <c r="D80" s="31"/>
      <c r="E80" s="31"/>
      <c r="F80" s="31"/>
      <c r="G80" s="31"/>
      <c r="H80" s="31"/>
      <c r="I80" s="31"/>
      <c r="J80" s="31"/>
      <c r="K80" s="31"/>
      <c r="L80" s="31"/>
      <c r="M80" s="31"/>
      <c r="N80" s="31"/>
      <c r="O80" s="31"/>
      <c r="P80" s="31"/>
      <c r="Q80" s="31"/>
      <c r="R80" s="31"/>
      <c r="S80" s="32"/>
      <c r="T80" s="30"/>
      <c r="U80" s="31"/>
      <c r="V80" s="31"/>
      <c r="W80" s="31"/>
      <c r="X80" s="31"/>
      <c r="Y80" s="31"/>
      <c r="Z80" s="31"/>
      <c r="AA80" s="31"/>
      <c r="AB80" s="31"/>
      <c r="AC80" s="31"/>
      <c r="AD80" s="31"/>
      <c r="AE80" s="31"/>
      <c r="AF80" s="31"/>
      <c r="AG80" s="31"/>
      <c r="AH80" s="31"/>
      <c r="AI80" s="31"/>
      <c r="AJ80" s="31"/>
      <c r="AK80" s="31"/>
      <c r="AL80" s="32"/>
      <c r="AM80" s="30"/>
      <c r="AN80" s="31"/>
      <c r="AO80" s="31"/>
      <c r="AP80" s="31"/>
      <c r="AQ80" s="31"/>
      <c r="AR80" s="31"/>
      <c r="AS80" s="31"/>
      <c r="AT80" s="31"/>
      <c r="AU80" s="31"/>
      <c r="AV80" s="31"/>
      <c r="AW80" s="31"/>
      <c r="AX80" s="31"/>
      <c r="AY80" s="31"/>
      <c r="AZ80" s="31"/>
      <c r="BA80" s="31"/>
      <c r="BB80" s="31"/>
      <c r="BC80" s="31"/>
      <c r="BD80" s="31"/>
      <c r="BE80" s="32"/>
      <c r="BF80" s="30"/>
      <c r="BG80" s="31"/>
      <c r="BH80" s="31"/>
      <c r="BI80" s="31"/>
      <c r="BJ80" s="31"/>
      <c r="BK80" s="31"/>
      <c r="BL80" s="31"/>
      <c r="BM80" s="31"/>
      <c r="BN80" s="31"/>
      <c r="BO80" s="31"/>
      <c r="BP80" s="31"/>
      <c r="BQ80" s="31"/>
      <c r="BR80" s="31"/>
      <c r="BS80" s="31"/>
      <c r="BT80" s="31"/>
      <c r="BU80" s="31"/>
      <c r="BV80" s="31"/>
      <c r="BW80" s="31"/>
      <c r="BX80" s="32"/>
      <c r="BY80" s="31"/>
      <c r="BZ80" s="31"/>
      <c r="CA80" s="31"/>
      <c r="CB80" s="31"/>
      <c r="CC80" s="31"/>
      <c r="CD80" s="31"/>
      <c r="CE80" s="31"/>
      <c r="CF80" s="31"/>
      <c r="CG80" s="31"/>
      <c r="CH80" s="31"/>
      <c r="CI80" s="31"/>
      <c r="CJ80" s="31"/>
      <c r="CK80" s="31"/>
      <c r="CL80" s="31"/>
      <c r="CM80" s="31"/>
      <c r="CN80" s="31"/>
      <c r="CO80" s="31"/>
      <c r="CP80" s="31"/>
      <c r="CQ80" s="32"/>
    </row>
    <row r="81" spans="1:95" x14ac:dyDescent="0.2">
      <c r="A81" s="30"/>
      <c r="B81" s="31"/>
      <c r="C81" s="31"/>
      <c r="D81" s="31"/>
      <c r="E81" s="31"/>
      <c r="F81" s="31"/>
      <c r="G81" s="31"/>
      <c r="H81" s="31"/>
      <c r="I81" s="31"/>
      <c r="J81" s="31"/>
      <c r="K81" s="31"/>
      <c r="L81" s="31"/>
      <c r="M81" s="31"/>
      <c r="N81" s="31"/>
      <c r="O81" s="31"/>
      <c r="P81" s="31"/>
      <c r="Q81" s="31"/>
      <c r="R81" s="31"/>
      <c r="S81" s="32"/>
      <c r="T81" s="30"/>
      <c r="U81" s="31"/>
      <c r="V81" s="31"/>
      <c r="W81" s="31"/>
      <c r="X81" s="31"/>
      <c r="Y81" s="31"/>
      <c r="Z81" s="31"/>
      <c r="AA81" s="31"/>
      <c r="AB81" s="31"/>
      <c r="AC81" s="31"/>
      <c r="AD81" s="31"/>
      <c r="AE81" s="31"/>
      <c r="AF81" s="31"/>
      <c r="AG81" s="31"/>
      <c r="AH81" s="31"/>
      <c r="AI81" s="31"/>
      <c r="AJ81" s="31"/>
      <c r="AK81" s="31"/>
      <c r="AL81" s="32"/>
      <c r="AM81" s="30"/>
      <c r="AN81" s="31"/>
      <c r="AO81" s="31"/>
      <c r="AP81" s="31"/>
      <c r="AQ81" s="31"/>
      <c r="AR81" s="31"/>
      <c r="AS81" s="31"/>
      <c r="AT81" s="31"/>
      <c r="AU81" s="31"/>
      <c r="AV81" s="31"/>
      <c r="AW81" s="31"/>
      <c r="AX81" s="31"/>
      <c r="AY81" s="31"/>
      <c r="AZ81" s="31"/>
      <c r="BA81" s="31"/>
      <c r="BB81" s="31"/>
      <c r="BC81" s="31"/>
      <c r="BD81" s="31"/>
      <c r="BE81" s="32"/>
      <c r="BF81" s="30"/>
      <c r="BG81" s="31"/>
      <c r="BH81" s="31"/>
      <c r="BI81" s="31"/>
      <c r="BJ81" s="31"/>
      <c r="BK81" s="31"/>
      <c r="BL81" s="31"/>
      <c r="BM81" s="31"/>
      <c r="BN81" s="31"/>
      <c r="BO81" s="31"/>
      <c r="BP81" s="31"/>
      <c r="BQ81" s="31"/>
      <c r="BR81" s="31"/>
      <c r="BS81" s="31"/>
      <c r="BT81" s="31"/>
      <c r="BU81" s="31"/>
      <c r="BV81" s="31"/>
      <c r="BW81" s="31"/>
      <c r="BX81" s="32"/>
      <c r="BY81" s="31"/>
      <c r="BZ81" s="31"/>
      <c r="CA81" s="31"/>
      <c r="CB81" s="31"/>
      <c r="CC81" s="31"/>
      <c r="CD81" s="31"/>
      <c r="CE81" s="31"/>
      <c r="CF81" s="31"/>
      <c r="CG81" s="31"/>
      <c r="CH81" s="31"/>
      <c r="CI81" s="31"/>
      <c r="CJ81" s="31"/>
      <c r="CK81" s="31"/>
      <c r="CL81" s="31"/>
      <c r="CM81" s="31"/>
      <c r="CN81" s="31"/>
      <c r="CO81" s="31"/>
      <c r="CP81" s="31"/>
      <c r="CQ81" s="32"/>
    </row>
    <row r="82" spans="1:95" x14ac:dyDescent="0.2">
      <c r="A82" s="30"/>
      <c r="B82" s="31"/>
      <c r="C82" s="31"/>
      <c r="D82" s="31"/>
      <c r="E82" s="31"/>
      <c r="F82" s="31"/>
      <c r="G82" s="31"/>
      <c r="H82" s="31"/>
      <c r="I82" s="31"/>
      <c r="J82" s="31"/>
      <c r="K82" s="31"/>
      <c r="L82" s="31"/>
      <c r="M82" s="31"/>
      <c r="N82" s="31"/>
      <c r="O82" s="31"/>
      <c r="P82" s="31"/>
      <c r="Q82" s="31"/>
      <c r="R82" s="31"/>
      <c r="S82" s="32"/>
      <c r="T82" s="30"/>
      <c r="U82" s="31"/>
      <c r="V82" s="31"/>
      <c r="W82" s="31"/>
      <c r="X82" s="31"/>
      <c r="Y82" s="31"/>
      <c r="Z82" s="31"/>
      <c r="AA82" s="31"/>
      <c r="AB82" s="31"/>
      <c r="AC82" s="31"/>
      <c r="AD82" s="31"/>
      <c r="AE82" s="31"/>
      <c r="AF82" s="31"/>
      <c r="AG82" s="31"/>
      <c r="AH82" s="31"/>
      <c r="AI82" s="31"/>
      <c r="AJ82" s="31"/>
      <c r="AK82" s="31"/>
      <c r="AL82" s="32"/>
      <c r="AM82" s="30"/>
      <c r="AN82" s="31"/>
      <c r="AO82" s="31"/>
      <c r="AP82" s="31"/>
      <c r="AQ82" s="31"/>
      <c r="AR82" s="31"/>
      <c r="AS82" s="31"/>
      <c r="AT82" s="31"/>
      <c r="AU82" s="31"/>
      <c r="AV82" s="31"/>
      <c r="AW82" s="31"/>
      <c r="AX82" s="31"/>
      <c r="AY82" s="31"/>
      <c r="AZ82" s="31"/>
      <c r="BA82" s="31"/>
      <c r="BB82" s="31"/>
      <c r="BC82" s="31"/>
      <c r="BD82" s="31"/>
      <c r="BE82" s="32"/>
      <c r="BF82" s="30"/>
      <c r="BG82" s="31"/>
      <c r="BH82" s="31"/>
      <c r="BI82" s="31"/>
      <c r="BJ82" s="31"/>
      <c r="BK82" s="31"/>
      <c r="BL82" s="31"/>
      <c r="BM82" s="31"/>
      <c r="BN82" s="31"/>
      <c r="BO82" s="31"/>
      <c r="BP82" s="31"/>
      <c r="BQ82" s="31"/>
      <c r="BR82" s="31"/>
      <c r="BS82" s="31"/>
      <c r="BT82" s="31"/>
      <c r="BU82" s="31"/>
      <c r="BV82" s="31"/>
      <c r="BW82" s="31"/>
      <c r="BX82" s="32"/>
      <c r="BY82" s="31"/>
      <c r="BZ82" s="31"/>
      <c r="CA82" s="31"/>
      <c r="CB82" s="31"/>
      <c r="CC82" s="31"/>
      <c r="CD82" s="31"/>
      <c r="CE82" s="31"/>
      <c r="CF82" s="31"/>
      <c r="CG82" s="31"/>
      <c r="CH82" s="31"/>
      <c r="CI82" s="31"/>
      <c r="CJ82" s="31"/>
      <c r="CK82" s="31"/>
      <c r="CL82" s="31"/>
      <c r="CM82" s="31"/>
      <c r="CN82" s="31"/>
      <c r="CO82" s="31"/>
      <c r="CP82" s="31"/>
      <c r="CQ82" s="32"/>
    </row>
    <row r="83" spans="1:95" x14ac:dyDescent="0.2">
      <c r="A83" s="30"/>
      <c r="B83" s="31"/>
      <c r="C83" s="31"/>
      <c r="D83" s="31"/>
      <c r="E83" s="31"/>
      <c r="F83" s="31"/>
      <c r="G83" s="31"/>
      <c r="H83" s="31"/>
      <c r="I83" s="31"/>
      <c r="J83" s="31"/>
      <c r="K83" s="31"/>
      <c r="L83" s="31"/>
      <c r="M83" s="31"/>
      <c r="N83" s="31"/>
      <c r="O83" s="31"/>
      <c r="P83" s="31"/>
      <c r="Q83" s="31"/>
      <c r="R83" s="31"/>
      <c r="S83" s="32"/>
      <c r="T83" s="30"/>
      <c r="U83" s="31"/>
      <c r="V83" s="31"/>
      <c r="W83" s="31"/>
      <c r="X83" s="31"/>
      <c r="Y83" s="31"/>
      <c r="Z83" s="31"/>
      <c r="AA83" s="31"/>
      <c r="AB83" s="31"/>
      <c r="AC83" s="31"/>
      <c r="AD83" s="31"/>
      <c r="AE83" s="31"/>
      <c r="AF83" s="31"/>
      <c r="AG83" s="31"/>
      <c r="AH83" s="31"/>
      <c r="AI83" s="31"/>
      <c r="AJ83" s="31"/>
      <c r="AK83" s="31"/>
      <c r="AL83" s="32"/>
      <c r="AM83" s="30"/>
      <c r="AN83" s="31"/>
      <c r="AO83" s="31"/>
      <c r="AP83" s="31"/>
      <c r="AQ83" s="31"/>
      <c r="AR83" s="31"/>
      <c r="AS83" s="31"/>
      <c r="AT83" s="31"/>
      <c r="AU83" s="31"/>
      <c r="AV83" s="31"/>
      <c r="AW83" s="31"/>
      <c r="AX83" s="31"/>
      <c r="AY83" s="31"/>
      <c r="AZ83" s="31"/>
      <c r="BA83" s="31"/>
      <c r="BB83" s="31"/>
      <c r="BC83" s="31"/>
      <c r="BD83" s="31"/>
      <c r="BE83" s="32"/>
      <c r="BF83" s="30"/>
      <c r="BG83" s="31"/>
      <c r="BH83" s="31"/>
      <c r="BI83" s="31"/>
      <c r="BJ83" s="31"/>
      <c r="BK83" s="31"/>
      <c r="BL83" s="31"/>
      <c r="BM83" s="31"/>
      <c r="BN83" s="31"/>
      <c r="BO83" s="31"/>
      <c r="BP83" s="31"/>
      <c r="BQ83" s="31"/>
      <c r="BR83" s="31"/>
      <c r="BS83" s="31"/>
      <c r="BT83" s="31"/>
      <c r="BU83" s="31"/>
      <c r="BV83" s="31"/>
      <c r="BW83" s="31"/>
      <c r="BX83" s="32"/>
      <c r="BY83" s="31"/>
      <c r="BZ83" s="31"/>
      <c r="CA83" s="31"/>
      <c r="CB83" s="31"/>
      <c r="CC83" s="31"/>
      <c r="CD83" s="31"/>
      <c r="CE83" s="31"/>
      <c r="CF83" s="31"/>
      <c r="CG83" s="31"/>
      <c r="CH83" s="31"/>
      <c r="CI83" s="31"/>
      <c r="CJ83" s="31"/>
      <c r="CK83" s="31"/>
      <c r="CL83" s="31"/>
      <c r="CM83" s="31"/>
      <c r="CN83" s="31"/>
      <c r="CO83" s="31"/>
      <c r="CP83" s="31"/>
      <c r="CQ83" s="32"/>
    </row>
    <row r="84" spans="1:95" x14ac:dyDescent="0.2">
      <c r="A84" s="30"/>
      <c r="B84" s="31"/>
      <c r="C84" s="31"/>
      <c r="D84" s="31"/>
      <c r="E84" s="31"/>
      <c r="F84" s="31"/>
      <c r="G84" s="31"/>
      <c r="H84" s="31"/>
      <c r="I84" s="31"/>
      <c r="J84" s="31"/>
      <c r="K84" s="31"/>
      <c r="L84" s="31"/>
      <c r="M84" s="31"/>
      <c r="N84" s="31"/>
      <c r="O84" s="31"/>
      <c r="P84" s="31"/>
      <c r="Q84" s="31"/>
      <c r="R84" s="31"/>
      <c r="S84" s="32"/>
      <c r="T84" s="30"/>
      <c r="U84" s="31"/>
      <c r="V84" s="31"/>
      <c r="W84" s="31"/>
      <c r="X84" s="31"/>
      <c r="Y84" s="31"/>
      <c r="Z84" s="31"/>
      <c r="AA84" s="31"/>
      <c r="AB84" s="31"/>
      <c r="AC84" s="31"/>
      <c r="AD84" s="31"/>
      <c r="AE84" s="31"/>
      <c r="AF84" s="31"/>
      <c r="AG84" s="31"/>
      <c r="AH84" s="31"/>
      <c r="AI84" s="31"/>
      <c r="AJ84" s="31"/>
      <c r="AK84" s="31"/>
      <c r="AL84" s="32"/>
      <c r="AM84" s="30"/>
      <c r="AN84" s="31"/>
      <c r="AO84" s="31"/>
      <c r="AP84" s="31"/>
      <c r="AQ84" s="31"/>
      <c r="AR84" s="31"/>
      <c r="AS84" s="31"/>
      <c r="AT84" s="31"/>
      <c r="AU84" s="31"/>
      <c r="AV84" s="31"/>
      <c r="AW84" s="31"/>
      <c r="AX84" s="31"/>
      <c r="AY84" s="31"/>
      <c r="AZ84" s="31"/>
      <c r="BA84" s="31"/>
      <c r="BB84" s="31"/>
      <c r="BC84" s="31"/>
      <c r="BD84" s="31"/>
      <c r="BE84" s="32"/>
      <c r="BF84" s="30"/>
      <c r="BG84" s="31"/>
      <c r="BH84" s="31"/>
      <c r="BI84" s="31"/>
      <c r="BJ84" s="31"/>
      <c r="BK84" s="31"/>
      <c r="BL84" s="31"/>
      <c r="BM84" s="31"/>
      <c r="BN84" s="31"/>
      <c r="BO84" s="31"/>
      <c r="BP84" s="31"/>
      <c r="BQ84" s="31"/>
      <c r="BR84" s="31"/>
      <c r="BS84" s="31"/>
      <c r="BT84" s="31"/>
      <c r="BU84" s="31"/>
      <c r="BV84" s="31"/>
      <c r="BW84" s="31"/>
      <c r="BX84" s="32"/>
      <c r="BY84" s="31"/>
      <c r="BZ84" s="31"/>
      <c r="CA84" s="31"/>
      <c r="CB84" s="31"/>
      <c r="CC84" s="31"/>
      <c r="CD84" s="31"/>
      <c r="CE84" s="31"/>
      <c r="CF84" s="31"/>
      <c r="CG84" s="31"/>
      <c r="CH84" s="31"/>
      <c r="CI84" s="31"/>
      <c r="CJ84" s="31"/>
      <c r="CK84" s="31"/>
      <c r="CL84" s="31"/>
      <c r="CM84" s="31"/>
      <c r="CN84" s="31"/>
      <c r="CO84" s="31"/>
      <c r="CP84" s="31"/>
      <c r="CQ84" s="32"/>
    </row>
    <row r="85" spans="1:95" x14ac:dyDescent="0.2">
      <c r="A85" s="30"/>
      <c r="B85" s="31"/>
      <c r="C85" s="31"/>
      <c r="D85" s="31"/>
      <c r="E85" s="31"/>
      <c r="F85" s="31"/>
      <c r="G85" s="31"/>
      <c r="H85" s="31"/>
      <c r="I85" s="31"/>
      <c r="J85" s="31"/>
      <c r="K85" s="31"/>
      <c r="L85" s="31"/>
      <c r="M85" s="31"/>
      <c r="N85" s="31"/>
      <c r="O85" s="31"/>
      <c r="P85" s="31"/>
      <c r="Q85" s="31"/>
      <c r="R85" s="31"/>
      <c r="S85" s="32"/>
      <c r="T85" s="30"/>
      <c r="U85" s="31"/>
      <c r="V85" s="31"/>
      <c r="W85" s="31"/>
      <c r="X85" s="31"/>
      <c r="Y85" s="31"/>
      <c r="Z85" s="31"/>
      <c r="AA85" s="31"/>
      <c r="AB85" s="31"/>
      <c r="AC85" s="31"/>
      <c r="AD85" s="31"/>
      <c r="AE85" s="31"/>
      <c r="AF85" s="31"/>
      <c r="AG85" s="31"/>
      <c r="AH85" s="31"/>
      <c r="AI85" s="31"/>
      <c r="AJ85" s="31"/>
      <c r="AK85" s="31"/>
      <c r="AL85" s="32"/>
      <c r="AM85" s="30"/>
      <c r="AN85" s="31"/>
      <c r="AO85" s="31"/>
      <c r="AP85" s="31"/>
      <c r="AQ85" s="31"/>
      <c r="AR85" s="31"/>
      <c r="AS85" s="31"/>
      <c r="AT85" s="31"/>
      <c r="AU85" s="31"/>
      <c r="AV85" s="31"/>
      <c r="AW85" s="31"/>
      <c r="AX85" s="31"/>
      <c r="AY85" s="31"/>
      <c r="AZ85" s="31"/>
      <c r="BA85" s="31"/>
      <c r="BB85" s="31"/>
      <c r="BC85" s="31"/>
      <c r="BD85" s="31"/>
      <c r="BE85" s="32"/>
      <c r="BF85" s="30"/>
      <c r="BG85" s="31"/>
      <c r="BH85" s="31"/>
      <c r="BI85" s="31"/>
      <c r="BJ85" s="31"/>
      <c r="BK85" s="31"/>
      <c r="BL85" s="31"/>
      <c r="BM85" s="31"/>
      <c r="BN85" s="31"/>
      <c r="BO85" s="31"/>
      <c r="BP85" s="31"/>
      <c r="BQ85" s="31"/>
      <c r="BR85" s="31"/>
      <c r="BS85" s="31"/>
      <c r="BT85" s="31"/>
      <c r="BU85" s="31"/>
      <c r="BV85" s="31"/>
      <c r="BW85" s="31"/>
      <c r="BX85" s="32"/>
      <c r="BY85" s="31"/>
      <c r="BZ85" s="31"/>
      <c r="CA85" s="31"/>
      <c r="CB85" s="31"/>
      <c r="CC85" s="31"/>
      <c r="CD85" s="31"/>
      <c r="CE85" s="31"/>
      <c r="CF85" s="31"/>
      <c r="CG85" s="31"/>
      <c r="CH85" s="31"/>
      <c r="CI85" s="31"/>
      <c r="CJ85" s="31"/>
      <c r="CK85" s="31"/>
      <c r="CL85" s="31"/>
      <c r="CM85" s="31"/>
      <c r="CN85" s="31"/>
      <c r="CO85" s="31"/>
      <c r="CP85" s="31"/>
      <c r="CQ85" s="32"/>
    </row>
    <row r="86" spans="1:95" x14ac:dyDescent="0.2">
      <c r="A86" s="30"/>
      <c r="B86" s="31"/>
      <c r="C86" s="31"/>
      <c r="D86" s="31"/>
      <c r="E86" s="31"/>
      <c r="F86" s="31"/>
      <c r="G86" s="31"/>
      <c r="H86" s="31"/>
      <c r="I86" s="31"/>
      <c r="J86" s="31"/>
      <c r="K86" s="31"/>
      <c r="L86" s="31"/>
      <c r="M86" s="31"/>
      <c r="N86" s="31"/>
      <c r="O86" s="31"/>
      <c r="P86" s="31"/>
      <c r="Q86" s="31"/>
      <c r="R86" s="31"/>
      <c r="S86" s="32"/>
      <c r="T86" s="30"/>
      <c r="U86" s="31"/>
      <c r="V86" s="31"/>
      <c r="W86" s="31"/>
      <c r="X86" s="31"/>
      <c r="Y86" s="31"/>
      <c r="Z86" s="31"/>
      <c r="AA86" s="31"/>
      <c r="AB86" s="31"/>
      <c r="AC86" s="31"/>
      <c r="AD86" s="31"/>
      <c r="AE86" s="31"/>
      <c r="AF86" s="31"/>
      <c r="AG86" s="31"/>
      <c r="AH86" s="31"/>
      <c r="AI86" s="31"/>
      <c r="AJ86" s="31"/>
      <c r="AK86" s="31"/>
      <c r="AL86" s="32"/>
      <c r="AM86" s="30"/>
      <c r="AN86" s="31"/>
      <c r="AO86" s="31"/>
      <c r="AP86" s="31"/>
      <c r="AQ86" s="31"/>
      <c r="AR86" s="31"/>
      <c r="AS86" s="31"/>
      <c r="AT86" s="31"/>
      <c r="AU86" s="31"/>
      <c r="AV86" s="31"/>
      <c r="AW86" s="31"/>
      <c r="AX86" s="31"/>
      <c r="AY86" s="31"/>
      <c r="AZ86" s="31"/>
      <c r="BA86" s="31"/>
      <c r="BB86" s="31"/>
      <c r="BC86" s="31"/>
      <c r="BD86" s="31"/>
      <c r="BE86" s="32"/>
      <c r="BF86" s="30"/>
      <c r="BG86" s="31"/>
      <c r="BH86" s="31"/>
      <c r="BI86" s="31"/>
      <c r="BJ86" s="31"/>
      <c r="BK86" s="31"/>
      <c r="BL86" s="31"/>
      <c r="BM86" s="31"/>
      <c r="BN86" s="31"/>
      <c r="BO86" s="31"/>
      <c r="BP86" s="31"/>
      <c r="BQ86" s="31"/>
      <c r="BR86" s="31"/>
      <c r="BS86" s="31"/>
      <c r="BT86" s="31"/>
      <c r="BU86" s="31"/>
      <c r="BV86" s="31"/>
      <c r="BW86" s="31"/>
      <c r="BX86" s="32"/>
      <c r="BY86" s="31"/>
      <c r="BZ86" s="31"/>
      <c r="CA86" s="31"/>
      <c r="CB86" s="31"/>
      <c r="CC86" s="31"/>
      <c r="CD86" s="31"/>
      <c r="CE86" s="31"/>
      <c r="CF86" s="31"/>
      <c r="CG86" s="31"/>
      <c r="CH86" s="31"/>
      <c r="CI86" s="31"/>
      <c r="CJ86" s="31"/>
      <c r="CK86" s="31"/>
      <c r="CL86" s="31"/>
      <c r="CM86" s="31"/>
      <c r="CN86" s="31"/>
      <c r="CO86" s="31"/>
      <c r="CP86" s="31"/>
      <c r="CQ86" s="32"/>
    </row>
    <row r="87" spans="1:95" x14ac:dyDescent="0.2">
      <c r="A87" s="30"/>
      <c r="B87" s="31"/>
      <c r="C87" s="31"/>
      <c r="D87" s="31"/>
      <c r="E87" s="31"/>
      <c r="F87" s="31"/>
      <c r="G87" s="31"/>
      <c r="H87" s="31"/>
      <c r="I87" s="31"/>
      <c r="J87" s="31"/>
      <c r="K87" s="31"/>
      <c r="L87" s="31"/>
      <c r="M87" s="31"/>
      <c r="N87" s="31"/>
      <c r="O87" s="31"/>
      <c r="P87" s="31"/>
      <c r="Q87" s="31"/>
      <c r="R87" s="31"/>
      <c r="S87" s="32"/>
      <c r="T87" s="30"/>
      <c r="U87" s="31"/>
      <c r="V87" s="31"/>
      <c r="W87" s="31"/>
      <c r="X87" s="31"/>
      <c r="Y87" s="31"/>
      <c r="Z87" s="31"/>
      <c r="AA87" s="31"/>
      <c r="AB87" s="31"/>
      <c r="AC87" s="31"/>
      <c r="AD87" s="31"/>
      <c r="AE87" s="31"/>
      <c r="AF87" s="31"/>
      <c r="AG87" s="31"/>
      <c r="AH87" s="31"/>
      <c r="AI87" s="31"/>
      <c r="AJ87" s="31"/>
      <c r="AK87" s="31"/>
      <c r="AL87" s="32"/>
      <c r="AM87" s="30"/>
      <c r="AN87" s="31"/>
      <c r="AO87" s="31"/>
      <c r="AP87" s="31"/>
      <c r="AQ87" s="31"/>
      <c r="AR87" s="31"/>
      <c r="AS87" s="31"/>
      <c r="AT87" s="31"/>
      <c r="AU87" s="31"/>
      <c r="AV87" s="31"/>
      <c r="AW87" s="31"/>
      <c r="AX87" s="31"/>
      <c r="AY87" s="31"/>
      <c r="AZ87" s="31"/>
      <c r="BA87" s="31"/>
      <c r="BB87" s="31"/>
      <c r="BC87" s="31"/>
      <c r="BD87" s="31"/>
      <c r="BE87" s="32"/>
      <c r="BF87" s="30"/>
      <c r="BG87" s="31"/>
      <c r="BH87" s="31"/>
      <c r="BI87" s="31"/>
      <c r="BJ87" s="31"/>
      <c r="BK87" s="31"/>
      <c r="BL87" s="31"/>
      <c r="BM87" s="31"/>
      <c r="BN87" s="31"/>
      <c r="BO87" s="31"/>
      <c r="BP87" s="31"/>
      <c r="BQ87" s="31"/>
      <c r="BR87" s="31"/>
      <c r="BS87" s="31"/>
      <c r="BT87" s="31"/>
      <c r="BU87" s="31"/>
      <c r="BV87" s="31"/>
      <c r="BW87" s="31"/>
      <c r="BX87" s="32"/>
      <c r="BY87" s="31"/>
      <c r="BZ87" s="31"/>
      <c r="CA87" s="31"/>
      <c r="CB87" s="31"/>
      <c r="CC87" s="31"/>
      <c r="CD87" s="31"/>
      <c r="CE87" s="31"/>
      <c r="CF87" s="31"/>
      <c r="CG87" s="31"/>
      <c r="CH87" s="31"/>
      <c r="CI87" s="31"/>
      <c r="CJ87" s="31"/>
      <c r="CK87" s="31"/>
      <c r="CL87" s="31"/>
      <c r="CM87" s="31"/>
      <c r="CN87" s="31"/>
      <c r="CO87" s="31"/>
      <c r="CP87" s="31"/>
      <c r="CQ87" s="32"/>
    </row>
    <row r="88" spans="1:95" x14ac:dyDescent="0.2">
      <c r="A88" s="30"/>
      <c r="B88" s="31"/>
      <c r="C88" s="31"/>
      <c r="D88" s="31"/>
      <c r="E88" s="31"/>
      <c r="F88" s="31"/>
      <c r="G88" s="31"/>
      <c r="H88" s="31"/>
      <c r="I88" s="31"/>
      <c r="J88" s="31"/>
      <c r="K88" s="31"/>
      <c r="L88" s="31"/>
      <c r="M88" s="31"/>
      <c r="N88" s="31"/>
      <c r="O88" s="31"/>
      <c r="P88" s="31"/>
      <c r="Q88" s="31"/>
      <c r="R88" s="31"/>
      <c r="S88" s="32"/>
      <c r="T88" s="30"/>
      <c r="U88" s="31"/>
      <c r="V88" s="31"/>
      <c r="W88" s="31"/>
      <c r="X88" s="31"/>
      <c r="Y88" s="31"/>
      <c r="Z88" s="31"/>
      <c r="AA88" s="31"/>
      <c r="AB88" s="31"/>
      <c r="AC88" s="31"/>
      <c r="AD88" s="31"/>
      <c r="AE88" s="31"/>
      <c r="AF88" s="31"/>
      <c r="AG88" s="31"/>
      <c r="AH88" s="31"/>
      <c r="AI88" s="31"/>
      <c r="AJ88" s="31"/>
      <c r="AK88" s="31"/>
      <c r="AL88" s="32"/>
      <c r="AM88" s="30"/>
      <c r="AN88" s="31"/>
      <c r="AO88" s="31"/>
      <c r="AP88" s="31"/>
      <c r="AQ88" s="31"/>
      <c r="AR88" s="31"/>
      <c r="AS88" s="31"/>
      <c r="AT88" s="31"/>
      <c r="AU88" s="31"/>
      <c r="AV88" s="31"/>
      <c r="AW88" s="31"/>
      <c r="AX88" s="31"/>
      <c r="AY88" s="31"/>
      <c r="AZ88" s="31"/>
      <c r="BA88" s="31"/>
      <c r="BB88" s="31"/>
      <c r="BC88" s="31"/>
      <c r="BD88" s="31"/>
      <c r="BE88" s="32"/>
      <c r="BF88" s="30"/>
      <c r="BG88" s="31"/>
      <c r="BH88" s="31"/>
      <c r="BI88" s="31"/>
      <c r="BJ88" s="31"/>
      <c r="BK88" s="31"/>
      <c r="BL88" s="31"/>
      <c r="BM88" s="31"/>
      <c r="BN88" s="31"/>
      <c r="BO88" s="31"/>
      <c r="BP88" s="31"/>
      <c r="BQ88" s="31"/>
      <c r="BR88" s="31"/>
      <c r="BS88" s="31"/>
      <c r="BT88" s="31"/>
      <c r="BU88" s="31"/>
      <c r="BV88" s="31"/>
      <c r="BW88" s="31"/>
      <c r="BX88" s="32"/>
      <c r="BY88" s="31"/>
      <c r="BZ88" s="31"/>
      <c r="CA88" s="31"/>
      <c r="CB88" s="31"/>
      <c r="CC88" s="31"/>
      <c r="CD88" s="31"/>
      <c r="CE88" s="31"/>
      <c r="CF88" s="31"/>
      <c r="CG88" s="31"/>
      <c r="CH88" s="31"/>
      <c r="CI88" s="31"/>
      <c r="CJ88" s="31"/>
      <c r="CK88" s="31"/>
      <c r="CL88" s="31"/>
      <c r="CM88" s="31"/>
      <c r="CN88" s="31"/>
      <c r="CO88" s="31"/>
      <c r="CP88" s="31"/>
      <c r="CQ88" s="32"/>
    </row>
    <row r="89" spans="1:95" x14ac:dyDescent="0.2">
      <c r="A89" s="30"/>
      <c r="B89" s="31"/>
      <c r="C89" s="31"/>
      <c r="D89" s="31"/>
      <c r="E89" s="31"/>
      <c r="F89" s="31"/>
      <c r="G89" s="31"/>
      <c r="H89" s="31"/>
      <c r="I89" s="31"/>
      <c r="J89" s="31"/>
      <c r="K89" s="31"/>
      <c r="L89" s="31"/>
      <c r="M89" s="31"/>
      <c r="N89" s="31"/>
      <c r="O89" s="31"/>
      <c r="P89" s="31"/>
      <c r="Q89" s="31"/>
      <c r="R89" s="31"/>
      <c r="S89" s="32"/>
      <c r="T89" s="30"/>
      <c r="U89" s="31"/>
      <c r="V89" s="31"/>
      <c r="W89" s="31"/>
      <c r="X89" s="31"/>
      <c r="Y89" s="31"/>
      <c r="Z89" s="31"/>
      <c r="AA89" s="31"/>
      <c r="AB89" s="31"/>
      <c r="AC89" s="31"/>
      <c r="AD89" s="31"/>
      <c r="AE89" s="31"/>
      <c r="AF89" s="31"/>
      <c r="AG89" s="31"/>
      <c r="AH89" s="31"/>
      <c r="AI89" s="31"/>
      <c r="AJ89" s="31"/>
      <c r="AK89" s="31"/>
      <c r="AL89" s="32"/>
      <c r="AM89" s="30"/>
      <c r="AN89" s="31"/>
      <c r="AO89" s="31"/>
      <c r="AP89" s="31"/>
      <c r="AQ89" s="31"/>
      <c r="AR89" s="31"/>
      <c r="AS89" s="31"/>
      <c r="AT89" s="31"/>
      <c r="AU89" s="31"/>
      <c r="AV89" s="31"/>
      <c r="AW89" s="31"/>
      <c r="AX89" s="31"/>
      <c r="AY89" s="31"/>
      <c r="AZ89" s="31"/>
      <c r="BA89" s="31"/>
      <c r="BB89" s="31"/>
      <c r="BC89" s="31"/>
      <c r="BD89" s="31"/>
      <c r="BE89" s="32"/>
      <c r="BF89" s="30"/>
      <c r="BG89" s="31"/>
      <c r="BH89" s="31"/>
      <c r="BI89" s="31"/>
      <c r="BJ89" s="31"/>
      <c r="BK89" s="31"/>
      <c r="BL89" s="31"/>
      <c r="BM89" s="31"/>
      <c r="BN89" s="31"/>
      <c r="BO89" s="31"/>
      <c r="BP89" s="31"/>
      <c r="BQ89" s="31"/>
      <c r="BR89" s="31"/>
      <c r="BS89" s="31"/>
      <c r="BT89" s="31"/>
      <c r="BU89" s="31"/>
      <c r="BV89" s="31"/>
      <c r="BW89" s="31"/>
      <c r="BX89" s="32"/>
      <c r="BY89" s="31"/>
      <c r="BZ89" s="31"/>
      <c r="CA89" s="31"/>
      <c r="CB89" s="31"/>
      <c r="CC89" s="31"/>
      <c r="CD89" s="31"/>
      <c r="CE89" s="31"/>
      <c r="CF89" s="31"/>
      <c r="CG89" s="31"/>
      <c r="CH89" s="31"/>
      <c r="CI89" s="31"/>
      <c r="CJ89" s="31"/>
      <c r="CK89" s="31"/>
      <c r="CL89" s="31"/>
      <c r="CM89" s="31"/>
      <c r="CN89" s="31"/>
      <c r="CO89" s="31"/>
      <c r="CP89" s="31"/>
      <c r="CQ89" s="32"/>
    </row>
    <row r="90" spans="1:95" x14ac:dyDescent="0.2">
      <c r="A90" s="30"/>
      <c r="B90" s="31"/>
      <c r="C90" s="31"/>
      <c r="D90" s="31"/>
      <c r="E90" s="31"/>
      <c r="F90" s="31"/>
      <c r="G90" s="31"/>
      <c r="H90" s="31"/>
      <c r="I90" s="31"/>
      <c r="J90" s="31"/>
      <c r="K90" s="31"/>
      <c r="L90" s="31"/>
      <c r="M90" s="31"/>
      <c r="N90" s="31"/>
      <c r="O90" s="31"/>
      <c r="P90" s="31"/>
      <c r="Q90" s="31"/>
      <c r="R90" s="31"/>
      <c r="S90" s="32"/>
      <c r="T90" s="30"/>
      <c r="U90" s="31"/>
      <c r="V90" s="31"/>
      <c r="W90" s="31"/>
      <c r="X90" s="31"/>
      <c r="Y90" s="31"/>
      <c r="Z90" s="31"/>
      <c r="AA90" s="31"/>
      <c r="AB90" s="31"/>
      <c r="AC90" s="31"/>
      <c r="AD90" s="31"/>
      <c r="AE90" s="31"/>
      <c r="AF90" s="31"/>
      <c r="AG90" s="31"/>
      <c r="AH90" s="31"/>
      <c r="AI90" s="31"/>
      <c r="AJ90" s="31"/>
      <c r="AK90" s="31"/>
      <c r="AL90" s="32"/>
      <c r="AM90" s="30"/>
      <c r="AN90" s="31"/>
      <c r="AO90" s="31"/>
      <c r="AP90" s="31"/>
      <c r="AQ90" s="31"/>
      <c r="AR90" s="31"/>
      <c r="AS90" s="31"/>
      <c r="AT90" s="31"/>
      <c r="AU90" s="31"/>
      <c r="AV90" s="31"/>
      <c r="AW90" s="31"/>
      <c r="AX90" s="31"/>
      <c r="AY90" s="31"/>
      <c r="AZ90" s="31"/>
      <c r="BA90" s="31"/>
      <c r="BB90" s="31"/>
      <c r="BC90" s="31"/>
      <c r="BD90" s="31"/>
      <c r="BE90" s="32"/>
      <c r="BF90" s="30"/>
      <c r="BG90" s="31"/>
      <c r="BH90" s="31"/>
      <c r="BI90" s="31"/>
      <c r="BJ90" s="31"/>
      <c r="BK90" s="31"/>
      <c r="BL90" s="31"/>
      <c r="BM90" s="31"/>
      <c r="BN90" s="31"/>
      <c r="BO90" s="31"/>
      <c r="BP90" s="31"/>
      <c r="BQ90" s="31"/>
      <c r="BR90" s="31"/>
      <c r="BS90" s="31"/>
      <c r="BT90" s="31"/>
      <c r="BU90" s="31"/>
      <c r="BV90" s="31"/>
      <c r="BW90" s="31"/>
      <c r="BX90" s="32"/>
      <c r="BY90" s="31"/>
      <c r="BZ90" s="31"/>
      <c r="CA90" s="31"/>
      <c r="CB90" s="31"/>
      <c r="CC90" s="31"/>
      <c r="CD90" s="31"/>
      <c r="CE90" s="31"/>
      <c r="CF90" s="31"/>
      <c r="CG90" s="31"/>
      <c r="CH90" s="31"/>
      <c r="CI90" s="31"/>
      <c r="CJ90" s="31"/>
      <c r="CK90" s="31"/>
      <c r="CL90" s="31"/>
      <c r="CM90" s="31"/>
      <c r="CN90" s="31"/>
      <c r="CO90" s="31"/>
      <c r="CP90" s="31"/>
      <c r="CQ90" s="32"/>
    </row>
    <row r="91" spans="1:95" x14ac:dyDescent="0.2">
      <c r="A91" s="30"/>
      <c r="B91" s="31"/>
      <c r="C91" s="31"/>
      <c r="D91" s="31"/>
      <c r="E91" s="31"/>
      <c r="F91" s="31"/>
      <c r="G91" s="31"/>
      <c r="H91" s="31"/>
      <c r="I91" s="31"/>
      <c r="J91" s="31"/>
      <c r="K91" s="31"/>
      <c r="L91" s="31"/>
      <c r="M91" s="31"/>
      <c r="N91" s="31"/>
      <c r="O91" s="31"/>
      <c r="P91" s="31"/>
      <c r="Q91" s="31"/>
      <c r="R91" s="31"/>
      <c r="S91" s="32"/>
      <c r="T91" s="30"/>
      <c r="U91" s="31"/>
      <c r="V91" s="31"/>
      <c r="W91" s="31"/>
      <c r="X91" s="31"/>
      <c r="Y91" s="31"/>
      <c r="Z91" s="31"/>
      <c r="AA91" s="31"/>
      <c r="AB91" s="31"/>
      <c r="AC91" s="31"/>
      <c r="AD91" s="31"/>
      <c r="AE91" s="31"/>
      <c r="AF91" s="31"/>
      <c r="AG91" s="31"/>
      <c r="AH91" s="31"/>
      <c r="AI91" s="31"/>
      <c r="AJ91" s="31"/>
      <c r="AK91" s="31"/>
      <c r="AL91" s="32"/>
      <c r="AM91" s="30"/>
      <c r="AN91" s="31"/>
      <c r="AO91" s="31"/>
      <c r="AP91" s="31"/>
      <c r="AQ91" s="31"/>
      <c r="AR91" s="31"/>
      <c r="AS91" s="31"/>
      <c r="AT91" s="31"/>
      <c r="AU91" s="31"/>
      <c r="AV91" s="31"/>
      <c r="AW91" s="31"/>
      <c r="AX91" s="31"/>
      <c r="AY91" s="31"/>
      <c r="AZ91" s="31"/>
      <c r="BA91" s="31"/>
      <c r="BB91" s="31"/>
      <c r="BC91" s="31"/>
      <c r="BD91" s="31"/>
      <c r="BE91" s="32"/>
      <c r="BF91" s="30"/>
      <c r="BG91" s="31"/>
      <c r="BH91" s="31"/>
      <c r="BI91" s="31"/>
      <c r="BJ91" s="31"/>
      <c r="BK91" s="31"/>
      <c r="BL91" s="31"/>
      <c r="BM91" s="31"/>
      <c r="BN91" s="31"/>
      <c r="BO91" s="31"/>
      <c r="BP91" s="31"/>
      <c r="BQ91" s="31"/>
      <c r="BR91" s="31"/>
      <c r="BS91" s="31"/>
      <c r="BT91" s="31"/>
      <c r="BU91" s="31"/>
      <c r="BV91" s="31"/>
      <c r="BW91" s="31"/>
      <c r="BX91" s="32"/>
      <c r="BY91" s="31"/>
      <c r="BZ91" s="31"/>
      <c r="CA91" s="31"/>
      <c r="CB91" s="31"/>
      <c r="CC91" s="31"/>
      <c r="CD91" s="31"/>
      <c r="CE91" s="31"/>
      <c r="CF91" s="31"/>
      <c r="CG91" s="31"/>
      <c r="CH91" s="31"/>
      <c r="CI91" s="31"/>
      <c r="CJ91" s="31"/>
      <c r="CK91" s="31"/>
      <c r="CL91" s="31"/>
      <c r="CM91" s="31"/>
      <c r="CN91" s="31"/>
      <c r="CO91" s="31"/>
      <c r="CP91" s="31"/>
      <c r="CQ91" s="32"/>
    </row>
    <row r="92" spans="1:95" x14ac:dyDescent="0.2">
      <c r="A92" s="30"/>
      <c r="B92" s="31"/>
      <c r="C92" s="31"/>
      <c r="D92" s="31"/>
      <c r="E92" s="31"/>
      <c r="F92" s="31"/>
      <c r="G92" s="31"/>
      <c r="H92" s="31"/>
      <c r="I92" s="31"/>
      <c r="J92" s="31"/>
      <c r="K92" s="31"/>
      <c r="L92" s="31"/>
      <c r="M92" s="31"/>
      <c r="N92" s="31"/>
      <c r="O92" s="31"/>
      <c r="P92" s="31"/>
      <c r="Q92" s="31"/>
      <c r="R92" s="31"/>
      <c r="S92" s="32"/>
      <c r="T92" s="30"/>
      <c r="U92" s="31"/>
      <c r="V92" s="31"/>
      <c r="W92" s="31"/>
      <c r="X92" s="31"/>
      <c r="Y92" s="31"/>
      <c r="Z92" s="31"/>
      <c r="AA92" s="31"/>
      <c r="AB92" s="31"/>
      <c r="AC92" s="31"/>
      <c r="AD92" s="31"/>
      <c r="AE92" s="31"/>
      <c r="AF92" s="31"/>
      <c r="AG92" s="31"/>
      <c r="AH92" s="31"/>
      <c r="AI92" s="31"/>
      <c r="AJ92" s="31"/>
      <c r="AK92" s="31"/>
      <c r="AL92" s="32"/>
      <c r="AM92" s="30"/>
      <c r="AN92" s="31"/>
      <c r="AO92" s="31"/>
      <c r="AP92" s="31"/>
      <c r="AQ92" s="31"/>
      <c r="AR92" s="31"/>
      <c r="AS92" s="31"/>
      <c r="AT92" s="31"/>
      <c r="AU92" s="31"/>
      <c r="AV92" s="31"/>
      <c r="AW92" s="31"/>
      <c r="AX92" s="31"/>
      <c r="AY92" s="31"/>
      <c r="AZ92" s="31"/>
      <c r="BA92" s="31"/>
      <c r="BB92" s="31"/>
      <c r="BC92" s="31"/>
      <c r="BD92" s="31"/>
      <c r="BE92" s="32"/>
      <c r="BF92" s="30"/>
      <c r="BG92" s="31"/>
      <c r="BH92" s="31"/>
      <c r="BI92" s="31"/>
      <c r="BJ92" s="31"/>
      <c r="BK92" s="31"/>
      <c r="BL92" s="31"/>
      <c r="BM92" s="31"/>
      <c r="BN92" s="31"/>
      <c r="BO92" s="31"/>
      <c r="BP92" s="31"/>
      <c r="BQ92" s="31"/>
      <c r="BR92" s="31"/>
      <c r="BS92" s="31"/>
      <c r="BT92" s="31"/>
      <c r="BU92" s="31"/>
      <c r="BV92" s="31"/>
      <c r="BW92" s="31"/>
      <c r="BX92" s="32"/>
      <c r="BY92" s="31"/>
      <c r="BZ92" s="31"/>
      <c r="CA92" s="31"/>
      <c r="CB92" s="31"/>
      <c r="CC92" s="31"/>
      <c r="CD92" s="31"/>
      <c r="CE92" s="31"/>
      <c r="CF92" s="31"/>
      <c r="CG92" s="31"/>
      <c r="CH92" s="31"/>
      <c r="CI92" s="31"/>
      <c r="CJ92" s="31"/>
      <c r="CK92" s="31"/>
      <c r="CL92" s="31"/>
      <c r="CM92" s="31"/>
      <c r="CN92" s="31"/>
      <c r="CO92" s="31"/>
      <c r="CP92" s="31"/>
      <c r="CQ92" s="32"/>
    </row>
    <row r="93" spans="1:95" x14ac:dyDescent="0.2">
      <c r="A93" s="30"/>
      <c r="B93" s="31"/>
      <c r="C93" s="31"/>
      <c r="D93" s="31"/>
      <c r="E93" s="31"/>
      <c r="F93" s="31"/>
      <c r="G93" s="31"/>
      <c r="H93" s="31"/>
      <c r="I93" s="31"/>
      <c r="J93" s="31"/>
      <c r="K93" s="31"/>
      <c r="L93" s="31"/>
      <c r="M93" s="31"/>
      <c r="N93" s="31"/>
      <c r="O93" s="31"/>
      <c r="P93" s="31"/>
      <c r="Q93" s="31"/>
      <c r="R93" s="31"/>
      <c r="S93" s="32"/>
      <c r="T93" s="30"/>
      <c r="U93" s="31"/>
      <c r="V93" s="31"/>
      <c r="W93" s="31"/>
      <c r="X93" s="31"/>
      <c r="Y93" s="31"/>
      <c r="Z93" s="31"/>
      <c r="AA93" s="31"/>
      <c r="AB93" s="31"/>
      <c r="AC93" s="31"/>
      <c r="AD93" s="31"/>
      <c r="AE93" s="31"/>
      <c r="AF93" s="31"/>
      <c r="AG93" s="31"/>
      <c r="AH93" s="31"/>
      <c r="AI93" s="31"/>
      <c r="AJ93" s="31"/>
      <c r="AK93" s="31"/>
      <c r="AL93" s="32"/>
      <c r="AM93" s="30"/>
      <c r="AN93" s="31"/>
      <c r="AO93" s="31"/>
      <c r="AP93" s="31"/>
      <c r="AQ93" s="31"/>
      <c r="AR93" s="31"/>
      <c r="AS93" s="31"/>
      <c r="AT93" s="31"/>
      <c r="AU93" s="31"/>
      <c r="AV93" s="31"/>
      <c r="AW93" s="31"/>
      <c r="AX93" s="31"/>
      <c r="AY93" s="31"/>
      <c r="AZ93" s="31"/>
      <c r="BA93" s="31"/>
      <c r="BB93" s="31"/>
      <c r="BC93" s="31"/>
      <c r="BD93" s="31"/>
      <c r="BE93" s="32"/>
      <c r="BF93" s="30"/>
      <c r="BG93" s="31"/>
      <c r="BH93" s="31"/>
      <c r="BI93" s="31"/>
      <c r="BJ93" s="31"/>
      <c r="BK93" s="31"/>
      <c r="BL93" s="31"/>
      <c r="BM93" s="31"/>
      <c r="BN93" s="31"/>
      <c r="BO93" s="31"/>
      <c r="BP93" s="31"/>
      <c r="BQ93" s="31"/>
      <c r="BR93" s="31"/>
      <c r="BS93" s="31"/>
      <c r="BT93" s="31"/>
      <c r="BU93" s="31"/>
      <c r="BV93" s="31"/>
      <c r="BW93" s="31"/>
      <c r="BX93" s="32"/>
      <c r="BY93" s="31"/>
      <c r="BZ93" s="31"/>
      <c r="CA93" s="31"/>
      <c r="CB93" s="31"/>
      <c r="CC93" s="31"/>
      <c r="CD93" s="31"/>
      <c r="CE93" s="31"/>
      <c r="CF93" s="31"/>
      <c r="CG93" s="31"/>
      <c r="CH93" s="31"/>
      <c r="CI93" s="31"/>
      <c r="CJ93" s="31"/>
      <c r="CK93" s="31"/>
      <c r="CL93" s="31"/>
      <c r="CM93" s="31"/>
      <c r="CN93" s="31"/>
      <c r="CO93" s="31"/>
      <c r="CP93" s="31"/>
      <c r="CQ93" s="32"/>
    </row>
    <row r="94" spans="1:95" x14ac:dyDescent="0.2">
      <c r="A94" s="30"/>
      <c r="B94" s="31"/>
      <c r="C94" s="31"/>
      <c r="D94" s="31"/>
      <c r="E94" s="31"/>
      <c r="F94" s="31"/>
      <c r="G94" s="31"/>
      <c r="H94" s="31"/>
      <c r="I94" s="31"/>
      <c r="J94" s="31"/>
      <c r="K94" s="31"/>
      <c r="L94" s="31"/>
      <c r="M94" s="31"/>
      <c r="N94" s="31"/>
      <c r="O94" s="31"/>
      <c r="P94" s="31"/>
      <c r="Q94" s="31"/>
      <c r="R94" s="31"/>
      <c r="S94" s="32"/>
      <c r="T94" s="30"/>
      <c r="U94" s="31"/>
      <c r="V94" s="31"/>
      <c r="W94" s="31"/>
      <c r="X94" s="31"/>
      <c r="Y94" s="31"/>
      <c r="Z94" s="31"/>
      <c r="AA94" s="31"/>
      <c r="AB94" s="31"/>
      <c r="AC94" s="31"/>
      <c r="AD94" s="31"/>
      <c r="AE94" s="31"/>
      <c r="AF94" s="31"/>
      <c r="AG94" s="31"/>
      <c r="AH94" s="31"/>
      <c r="AI94" s="31"/>
      <c r="AJ94" s="31"/>
      <c r="AK94" s="31"/>
      <c r="AL94" s="32"/>
      <c r="AM94" s="30"/>
      <c r="AN94" s="31"/>
      <c r="AO94" s="31"/>
      <c r="AP94" s="31"/>
      <c r="AQ94" s="31"/>
      <c r="AR94" s="31"/>
      <c r="AS94" s="31"/>
      <c r="AT94" s="31"/>
      <c r="AU94" s="31"/>
      <c r="AV94" s="31"/>
      <c r="AW94" s="31"/>
      <c r="AX94" s="31"/>
      <c r="AY94" s="31"/>
      <c r="AZ94" s="31"/>
      <c r="BA94" s="31"/>
      <c r="BB94" s="31"/>
      <c r="BC94" s="31"/>
      <c r="BD94" s="31"/>
      <c r="BE94" s="32"/>
      <c r="BF94" s="30"/>
      <c r="BG94" s="31"/>
      <c r="BH94" s="31"/>
      <c r="BI94" s="31"/>
      <c r="BJ94" s="31"/>
      <c r="BK94" s="31"/>
      <c r="BL94" s="31"/>
      <c r="BM94" s="31"/>
      <c r="BN94" s="31"/>
      <c r="BO94" s="31"/>
      <c r="BP94" s="31"/>
      <c r="BQ94" s="31"/>
      <c r="BR94" s="31"/>
      <c r="BS94" s="31"/>
      <c r="BT94" s="31"/>
      <c r="BU94" s="31"/>
      <c r="BV94" s="31"/>
      <c r="BW94" s="31"/>
      <c r="BX94" s="32"/>
      <c r="BY94" s="31"/>
      <c r="BZ94" s="31"/>
      <c r="CA94" s="31"/>
      <c r="CB94" s="31"/>
      <c r="CC94" s="31"/>
      <c r="CD94" s="31"/>
      <c r="CE94" s="31"/>
      <c r="CF94" s="31"/>
      <c r="CG94" s="31"/>
      <c r="CH94" s="31"/>
      <c r="CI94" s="31"/>
      <c r="CJ94" s="31"/>
      <c r="CK94" s="31"/>
      <c r="CL94" s="31"/>
      <c r="CM94" s="31"/>
      <c r="CN94" s="31"/>
      <c r="CO94" s="31"/>
      <c r="CP94" s="31"/>
      <c r="CQ94" s="32"/>
    </row>
    <row r="95" spans="1:95" x14ac:dyDescent="0.2">
      <c r="A95" s="30"/>
      <c r="B95" s="31"/>
      <c r="C95" s="31"/>
      <c r="D95" s="31"/>
      <c r="E95" s="31"/>
      <c r="F95" s="31"/>
      <c r="G95" s="31"/>
      <c r="H95" s="31"/>
      <c r="I95" s="31"/>
      <c r="J95" s="31"/>
      <c r="K95" s="31"/>
      <c r="L95" s="31"/>
      <c r="M95" s="31"/>
      <c r="N95" s="31"/>
      <c r="O95" s="31"/>
      <c r="P95" s="31"/>
      <c r="Q95" s="31"/>
      <c r="R95" s="31"/>
      <c r="S95" s="32"/>
      <c r="T95" s="30"/>
      <c r="U95" s="31"/>
      <c r="V95" s="31"/>
      <c r="W95" s="31"/>
      <c r="X95" s="31"/>
      <c r="Y95" s="31"/>
      <c r="Z95" s="31"/>
      <c r="AA95" s="31"/>
      <c r="AB95" s="31"/>
      <c r="AC95" s="31"/>
      <c r="AD95" s="31"/>
      <c r="AE95" s="31"/>
      <c r="AF95" s="31"/>
      <c r="AG95" s="31"/>
      <c r="AH95" s="31"/>
      <c r="AI95" s="31"/>
      <c r="AJ95" s="31"/>
      <c r="AK95" s="31"/>
      <c r="AL95" s="32"/>
      <c r="AM95" s="30"/>
      <c r="AN95" s="31"/>
      <c r="AO95" s="31"/>
      <c r="AP95" s="31"/>
      <c r="AQ95" s="31"/>
      <c r="AR95" s="31"/>
      <c r="AS95" s="31"/>
      <c r="AT95" s="31"/>
      <c r="AU95" s="31"/>
      <c r="AV95" s="31"/>
      <c r="AW95" s="31"/>
      <c r="AX95" s="31"/>
      <c r="AY95" s="31"/>
      <c r="AZ95" s="31"/>
      <c r="BA95" s="31"/>
      <c r="BB95" s="31"/>
      <c r="BC95" s="31"/>
      <c r="BD95" s="31"/>
      <c r="BE95" s="32"/>
      <c r="BF95" s="30"/>
      <c r="BG95" s="31"/>
      <c r="BH95" s="31"/>
      <c r="BI95" s="31"/>
      <c r="BJ95" s="31"/>
      <c r="BK95" s="31"/>
      <c r="BL95" s="31"/>
      <c r="BM95" s="31"/>
      <c r="BN95" s="31"/>
      <c r="BO95" s="31"/>
      <c r="BP95" s="31"/>
      <c r="BQ95" s="31"/>
      <c r="BR95" s="31"/>
      <c r="BS95" s="31"/>
      <c r="BT95" s="31"/>
      <c r="BU95" s="31"/>
      <c r="BV95" s="31"/>
      <c r="BW95" s="31"/>
      <c r="BX95" s="32"/>
      <c r="BY95" s="31"/>
      <c r="BZ95" s="31"/>
      <c r="CA95" s="31"/>
      <c r="CB95" s="31"/>
      <c r="CC95" s="31"/>
      <c r="CD95" s="31"/>
      <c r="CE95" s="31"/>
      <c r="CF95" s="31"/>
      <c r="CG95" s="31"/>
      <c r="CH95" s="31"/>
      <c r="CI95" s="31"/>
      <c r="CJ95" s="31"/>
      <c r="CK95" s="31"/>
      <c r="CL95" s="31"/>
      <c r="CM95" s="31"/>
      <c r="CN95" s="31"/>
      <c r="CO95" s="31"/>
      <c r="CP95" s="31"/>
      <c r="CQ95" s="32"/>
    </row>
    <row r="96" spans="1:95" x14ac:dyDescent="0.2">
      <c r="A96" s="30"/>
      <c r="B96" s="31"/>
      <c r="C96" s="31"/>
      <c r="D96" s="31"/>
      <c r="E96" s="31"/>
      <c r="F96" s="31"/>
      <c r="G96" s="31"/>
      <c r="H96" s="31"/>
      <c r="I96" s="31"/>
      <c r="J96" s="31"/>
      <c r="K96" s="31"/>
      <c r="L96" s="31"/>
      <c r="M96" s="31"/>
      <c r="N96" s="31"/>
      <c r="O96" s="31"/>
      <c r="P96" s="31"/>
      <c r="Q96" s="31"/>
      <c r="R96" s="31"/>
      <c r="S96" s="32"/>
      <c r="T96" s="30"/>
      <c r="U96" s="31"/>
      <c r="V96" s="31"/>
      <c r="W96" s="31"/>
      <c r="X96" s="31"/>
      <c r="Y96" s="31"/>
      <c r="Z96" s="31"/>
      <c r="AA96" s="31"/>
      <c r="AB96" s="31"/>
      <c r="AC96" s="31"/>
      <c r="AD96" s="31"/>
      <c r="AE96" s="31"/>
      <c r="AF96" s="31"/>
      <c r="AG96" s="31"/>
      <c r="AH96" s="31"/>
      <c r="AI96" s="31"/>
      <c r="AJ96" s="31"/>
      <c r="AK96" s="31"/>
      <c r="AL96" s="32"/>
      <c r="AM96" s="30"/>
      <c r="AN96" s="31"/>
      <c r="AO96" s="31"/>
      <c r="AP96" s="31"/>
      <c r="AQ96" s="31"/>
      <c r="AR96" s="31"/>
      <c r="AS96" s="31"/>
      <c r="AT96" s="31"/>
      <c r="AU96" s="31"/>
      <c r="AV96" s="31"/>
      <c r="AW96" s="31"/>
      <c r="AX96" s="31"/>
      <c r="AY96" s="31"/>
      <c r="AZ96" s="31"/>
      <c r="BA96" s="31"/>
      <c r="BB96" s="31"/>
      <c r="BC96" s="31"/>
      <c r="BD96" s="31"/>
      <c r="BE96" s="32"/>
      <c r="BF96" s="30"/>
      <c r="BG96" s="31"/>
      <c r="BH96" s="31"/>
      <c r="BI96" s="31"/>
      <c r="BJ96" s="31"/>
      <c r="BK96" s="31"/>
      <c r="BL96" s="31"/>
      <c r="BM96" s="31"/>
      <c r="BN96" s="31"/>
      <c r="BO96" s="31"/>
      <c r="BP96" s="31"/>
      <c r="BQ96" s="31"/>
      <c r="BR96" s="31"/>
      <c r="BS96" s="31"/>
      <c r="BT96" s="31"/>
      <c r="BU96" s="31"/>
      <c r="BV96" s="31"/>
      <c r="BW96" s="31"/>
      <c r="BX96" s="32"/>
      <c r="BY96" s="31"/>
      <c r="BZ96" s="31"/>
      <c r="CA96" s="31"/>
      <c r="CB96" s="31"/>
      <c r="CC96" s="31"/>
      <c r="CD96" s="31"/>
      <c r="CE96" s="31"/>
      <c r="CF96" s="31"/>
      <c r="CG96" s="31"/>
      <c r="CH96" s="31"/>
      <c r="CI96" s="31"/>
      <c r="CJ96" s="31"/>
      <c r="CK96" s="31"/>
      <c r="CL96" s="31"/>
      <c r="CM96" s="31"/>
      <c r="CN96" s="31"/>
      <c r="CO96" s="31"/>
      <c r="CP96" s="31"/>
      <c r="CQ96" s="32"/>
    </row>
    <row r="97" spans="1:95" x14ac:dyDescent="0.2">
      <c r="A97" s="30"/>
      <c r="B97" s="31"/>
      <c r="C97" s="31"/>
      <c r="D97" s="31"/>
      <c r="E97" s="31"/>
      <c r="F97" s="31"/>
      <c r="G97" s="31"/>
      <c r="H97" s="31"/>
      <c r="I97" s="31"/>
      <c r="J97" s="31"/>
      <c r="K97" s="31"/>
      <c r="L97" s="31"/>
      <c r="M97" s="31"/>
      <c r="N97" s="31"/>
      <c r="O97" s="31"/>
      <c r="P97" s="31"/>
      <c r="Q97" s="31"/>
      <c r="R97" s="31"/>
      <c r="S97" s="32"/>
      <c r="T97" s="30"/>
      <c r="U97" s="31"/>
      <c r="V97" s="31"/>
      <c r="W97" s="31"/>
      <c r="X97" s="31"/>
      <c r="Y97" s="31"/>
      <c r="Z97" s="31"/>
      <c r="AA97" s="31"/>
      <c r="AB97" s="31"/>
      <c r="AC97" s="31"/>
      <c r="AD97" s="31"/>
      <c r="AE97" s="31"/>
      <c r="AF97" s="31"/>
      <c r="AG97" s="31"/>
      <c r="AH97" s="31"/>
      <c r="AI97" s="31"/>
      <c r="AJ97" s="31"/>
      <c r="AK97" s="31"/>
      <c r="AL97" s="32"/>
      <c r="AM97" s="30"/>
      <c r="AN97" s="31"/>
      <c r="AO97" s="31"/>
      <c r="AP97" s="31"/>
      <c r="AQ97" s="31"/>
      <c r="AR97" s="31"/>
      <c r="AS97" s="31"/>
      <c r="AT97" s="31"/>
      <c r="AU97" s="31"/>
      <c r="AV97" s="31"/>
      <c r="AW97" s="31"/>
      <c r="AX97" s="31"/>
      <c r="AY97" s="31"/>
      <c r="AZ97" s="31"/>
      <c r="BA97" s="31"/>
      <c r="BB97" s="31"/>
      <c r="BC97" s="31"/>
      <c r="BD97" s="31"/>
      <c r="BE97" s="32"/>
      <c r="BF97" s="30"/>
      <c r="BG97" s="31"/>
      <c r="BH97" s="31"/>
      <c r="BI97" s="31"/>
      <c r="BJ97" s="31"/>
      <c r="BK97" s="31"/>
      <c r="BL97" s="31"/>
      <c r="BM97" s="31"/>
      <c r="BN97" s="31"/>
      <c r="BO97" s="31"/>
      <c r="BP97" s="31"/>
      <c r="BQ97" s="31"/>
      <c r="BR97" s="31"/>
      <c r="BS97" s="31"/>
      <c r="BT97" s="31"/>
      <c r="BU97" s="31"/>
      <c r="BV97" s="31"/>
      <c r="BW97" s="31"/>
      <c r="BX97" s="32"/>
      <c r="BY97" s="31"/>
      <c r="BZ97" s="31"/>
      <c r="CA97" s="31"/>
      <c r="CB97" s="31"/>
      <c r="CC97" s="31"/>
      <c r="CD97" s="31"/>
      <c r="CE97" s="31"/>
      <c r="CF97" s="31"/>
      <c r="CG97" s="31"/>
      <c r="CH97" s="31"/>
      <c r="CI97" s="31"/>
      <c r="CJ97" s="31"/>
      <c r="CK97" s="31"/>
      <c r="CL97" s="31"/>
      <c r="CM97" s="31"/>
      <c r="CN97" s="31"/>
      <c r="CO97" s="31"/>
      <c r="CP97" s="31"/>
      <c r="CQ97" s="32"/>
    </row>
    <row r="98" spans="1:95" x14ac:dyDescent="0.2">
      <c r="A98" s="30"/>
      <c r="B98" s="31"/>
      <c r="C98" s="31"/>
      <c r="D98" s="31"/>
      <c r="E98" s="31"/>
      <c r="F98" s="31"/>
      <c r="G98" s="31"/>
      <c r="H98" s="31"/>
      <c r="I98" s="31"/>
      <c r="J98" s="31"/>
      <c r="K98" s="31"/>
      <c r="L98" s="31"/>
      <c r="M98" s="31"/>
      <c r="N98" s="31"/>
      <c r="O98" s="31"/>
      <c r="P98" s="31"/>
      <c r="Q98" s="31"/>
      <c r="R98" s="31"/>
      <c r="S98" s="32"/>
      <c r="T98" s="30"/>
      <c r="U98" s="31"/>
      <c r="V98" s="31"/>
      <c r="W98" s="31"/>
      <c r="X98" s="31"/>
      <c r="Y98" s="31"/>
      <c r="Z98" s="31"/>
      <c r="AA98" s="31"/>
      <c r="AB98" s="31"/>
      <c r="AC98" s="31"/>
      <c r="AD98" s="31"/>
      <c r="AE98" s="31"/>
      <c r="AF98" s="31"/>
      <c r="AG98" s="31"/>
      <c r="AH98" s="31"/>
      <c r="AI98" s="31"/>
      <c r="AJ98" s="31"/>
      <c r="AK98" s="31"/>
      <c r="AL98" s="32"/>
      <c r="AM98" s="30"/>
      <c r="AN98" s="31"/>
      <c r="AO98" s="31"/>
      <c r="AP98" s="31"/>
      <c r="AQ98" s="31"/>
      <c r="AR98" s="31"/>
      <c r="AS98" s="31"/>
      <c r="AT98" s="31"/>
      <c r="AU98" s="31"/>
      <c r="AV98" s="31"/>
      <c r="AW98" s="31"/>
      <c r="AX98" s="31"/>
      <c r="AY98" s="31"/>
      <c r="AZ98" s="31"/>
      <c r="BA98" s="31"/>
      <c r="BB98" s="31"/>
      <c r="BC98" s="31"/>
      <c r="BD98" s="31"/>
      <c r="BE98" s="32"/>
      <c r="BF98" s="30"/>
      <c r="BG98" s="31"/>
      <c r="BH98" s="31"/>
      <c r="BI98" s="31"/>
      <c r="BJ98" s="31"/>
      <c r="BK98" s="31"/>
      <c r="BL98" s="31"/>
      <c r="BM98" s="31"/>
      <c r="BN98" s="31"/>
      <c r="BO98" s="31"/>
      <c r="BP98" s="31"/>
      <c r="BQ98" s="31"/>
      <c r="BR98" s="31"/>
      <c r="BS98" s="31"/>
      <c r="BT98" s="31"/>
      <c r="BU98" s="31"/>
      <c r="BV98" s="31"/>
      <c r="BW98" s="31"/>
      <c r="BX98" s="32"/>
      <c r="BY98" s="31"/>
      <c r="BZ98" s="31"/>
      <c r="CA98" s="31"/>
      <c r="CB98" s="31"/>
      <c r="CC98" s="31"/>
      <c r="CD98" s="31"/>
      <c r="CE98" s="31"/>
      <c r="CF98" s="31"/>
      <c r="CG98" s="31"/>
      <c r="CH98" s="31"/>
      <c r="CI98" s="31"/>
      <c r="CJ98" s="31"/>
      <c r="CK98" s="31"/>
      <c r="CL98" s="31"/>
      <c r="CM98" s="31"/>
      <c r="CN98" s="31"/>
      <c r="CO98" s="31"/>
      <c r="CP98" s="31"/>
      <c r="CQ98" s="32"/>
    </row>
    <row r="99" spans="1:95" x14ac:dyDescent="0.2">
      <c r="A99" s="30"/>
      <c r="B99" s="31"/>
      <c r="C99" s="31"/>
      <c r="D99" s="31"/>
      <c r="E99" s="31"/>
      <c r="F99" s="31"/>
      <c r="G99" s="31"/>
      <c r="H99" s="31"/>
      <c r="I99" s="31"/>
      <c r="J99" s="31"/>
      <c r="K99" s="31"/>
      <c r="L99" s="31"/>
      <c r="M99" s="31"/>
      <c r="N99" s="31"/>
      <c r="O99" s="31"/>
      <c r="P99" s="31"/>
      <c r="Q99" s="31"/>
      <c r="R99" s="31"/>
      <c r="S99" s="32"/>
      <c r="T99" s="30"/>
      <c r="U99" s="31"/>
      <c r="V99" s="31"/>
      <c r="W99" s="31"/>
      <c r="X99" s="31"/>
      <c r="Y99" s="31"/>
      <c r="Z99" s="31"/>
      <c r="AA99" s="31"/>
      <c r="AB99" s="31"/>
      <c r="AC99" s="31"/>
      <c r="AD99" s="31"/>
      <c r="AE99" s="31"/>
      <c r="AF99" s="31"/>
      <c r="AG99" s="31"/>
      <c r="AH99" s="31"/>
      <c r="AI99" s="31"/>
      <c r="AJ99" s="31"/>
      <c r="AK99" s="31"/>
      <c r="AL99" s="32"/>
      <c r="AM99" s="30"/>
      <c r="AN99" s="31"/>
      <c r="AO99" s="31"/>
      <c r="AP99" s="31"/>
      <c r="AQ99" s="31"/>
      <c r="AR99" s="31"/>
      <c r="AS99" s="31"/>
      <c r="AT99" s="31"/>
      <c r="AU99" s="31"/>
      <c r="AV99" s="31"/>
      <c r="AW99" s="31"/>
      <c r="AX99" s="31"/>
      <c r="AY99" s="31"/>
      <c r="AZ99" s="31"/>
      <c r="BA99" s="31"/>
      <c r="BB99" s="31"/>
      <c r="BC99" s="31"/>
      <c r="BD99" s="31"/>
      <c r="BE99" s="32"/>
      <c r="BF99" s="30"/>
      <c r="BG99" s="31"/>
      <c r="BH99" s="31"/>
      <c r="BI99" s="31"/>
      <c r="BJ99" s="31"/>
      <c r="BK99" s="31"/>
      <c r="BL99" s="31"/>
      <c r="BM99" s="31"/>
      <c r="BN99" s="31"/>
      <c r="BO99" s="31"/>
      <c r="BP99" s="31"/>
      <c r="BQ99" s="31"/>
      <c r="BR99" s="31"/>
      <c r="BS99" s="31"/>
      <c r="BT99" s="31"/>
      <c r="BU99" s="31"/>
      <c r="BV99" s="31"/>
      <c r="BW99" s="31"/>
      <c r="BX99" s="32"/>
      <c r="BY99" s="31"/>
      <c r="BZ99" s="31"/>
      <c r="CA99" s="31"/>
      <c r="CB99" s="31"/>
      <c r="CC99" s="31"/>
      <c r="CD99" s="31"/>
      <c r="CE99" s="31"/>
      <c r="CF99" s="31"/>
      <c r="CG99" s="31"/>
      <c r="CH99" s="31"/>
      <c r="CI99" s="31"/>
      <c r="CJ99" s="31"/>
      <c r="CK99" s="31"/>
      <c r="CL99" s="31"/>
      <c r="CM99" s="31"/>
      <c r="CN99" s="31"/>
      <c r="CO99" s="31"/>
      <c r="CP99" s="31"/>
      <c r="CQ99" s="32"/>
    </row>
    <row r="100" spans="1:95" x14ac:dyDescent="0.2">
      <c r="A100" s="30"/>
      <c r="B100" s="31"/>
      <c r="C100" s="31"/>
      <c r="D100" s="31"/>
      <c r="E100" s="31"/>
      <c r="F100" s="31"/>
      <c r="G100" s="31"/>
      <c r="H100" s="31"/>
      <c r="I100" s="31"/>
      <c r="J100" s="31"/>
      <c r="K100" s="31"/>
      <c r="L100" s="31"/>
      <c r="M100" s="31"/>
      <c r="N100" s="31"/>
      <c r="O100" s="31"/>
      <c r="P100" s="31"/>
      <c r="Q100" s="31"/>
      <c r="R100" s="31"/>
      <c r="S100" s="32"/>
      <c r="T100" s="30"/>
      <c r="U100" s="31"/>
      <c r="V100" s="31"/>
      <c r="W100" s="31"/>
      <c r="X100" s="31"/>
      <c r="Y100" s="31"/>
      <c r="Z100" s="31"/>
      <c r="AA100" s="31"/>
      <c r="AB100" s="31"/>
      <c r="AC100" s="31"/>
      <c r="AD100" s="31"/>
      <c r="AE100" s="31"/>
      <c r="AF100" s="31"/>
      <c r="AG100" s="31"/>
      <c r="AH100" s="31"/>
      <c r="AI100" s="31"/>
      <c r="AJ100" s="31"/>
      <c r="AK100" s="31"/>
      <c r="AL100" s="32"/>
      <c r="AM100" s="30"/>
      <c r="AN100" s="31"/>
      <c r="AO100" s="31"/>
      <c r="AP100" s="31"/>
      <c r="AQ100" s="31"/>
      <c r="AR100" s="31"/>
      <c r="AS100" s="31"/>
      <c r="AT100" s="31"/>
      <c r="AU100" s="31"/>
      <c r="AV100" s="31"/>
      <c r="AW100" s="31"/>
      <c r="AX100" s="31"/>
      <c r="AY100" s="31"/>
      <c r="AZ100" s="31"/>
      <c r="BA100" s="31"/>
      <c r="BB100" s="31"/>
      <c r="BC100" s="31"/>
      <c r="BD100" s="31"/>
      <c r="BE100" s="32"/>
      <c r="BF100" s="30"/>
      <c r="BG100" s="31"/>
      <c r="BH100" s="31"/>
      <c r="BI100" s="31"/>
      <c r="BJ100" s="31"/>
      <c r="BK100" s="31"/>
      <c r="BL100" s="31"/>
      <c r="BM100" s="31"/>
      <c r="BN100" s="31"/>
      <c r="BO100" s="31"/>
      <c r="BP100" s="31"/>
      <c r="BQ100" s="31"/>
      <c r="BR100" s="31"/>
      <c r="BS100" s="31"/>
      <c r="BT100" s="31"/>
      <c r="BU100" s="31"/>
      <c r="BV100" s="31"/>
      <c r="BW100" s="31"/>
      <c r="BX100" s="32"/>
      <c r="BY100" s="31"/>
      <c r="BZ100" s="31"/>
      <c r="CA100" s="31"/>
      <c r="CB100" s="31"/>
      <c r="CC100" s="31"/>
      <c r="CD100" s="31"/>
      <c r="CE100" s="31"/>
      <c r="CF100" s="31"/>
      <c r="CG100" s="31"/>
      <c r="CH100" s="31"/>
      <c r="CI100" s="31"/>
      <c r="CJ100" s="31"/>
      <c r="CK100" s="31"/>
      <c r="CL100" s="31"/>
      <c r="CM100" s="31"/>
      <c r="CN100" s="31"/>
      <c r="CO100" s="31"/>
      <c r="CP100" s="31"/>
      <c r="CQ100" s="32"/>
    </row>
    <row r="101" spans="1:95" x14ac:dyDescent="0.2">
      <c r="A101" s="30"/>
      <c r="B101" s="31"/>
      <c r="C101" s="31"/>
      <c r="D101" s="31"/>
      <c r="E101" s="31"/>
      <c r="F101" s="31"/>
      <c r="G101" s="31"/>
      <c r="H101" s="31"/>
      <c r="I101" s="31"/>
      <c r="J101" s="31"/>
      <c r="K101" s="31"/>
      <c r="L101" s="31"/>
      <c r="M101" s="31"/>
      <c r="N101" s="31"/>
      <c r="O101" s="31"/>
      <c r="P101" s="31"/>
      <c r="Q101" s="31"/>
      <c r="R101" s="31"/>
      <c r="S101" s="32"/>
      <c r="T101" s="30"/>
      <c r="U101" s="31"/>
      <c r="V101" s="31"/>
      <c r="W101" s="31"/>
      <c r="X101" s="31"/>
      <c r="Y101" s="31"/>
      <c r="Z101" s="31"/>
      <c r="AA101" s="31"/>
      <c r="AB101" s="31"/>
      <c r="AC101" s="31"/>
      <c r="AD101" s="31"/>
      <c r="AE101" s="31"/>
      <c r="AF101" s="31"/>
      <c r="AG101" s="31"/>
      <c r="AH101" s="31"/>
      <c r="AI101" s="31"/>
      <c r="AJ101" s="31"/>
      <c r="AK101" s="31"/>
      <c r="AL101" s="32"/>
      <c r="AM101" s="30"/>
      <c r="AN101" s="31"/>
      <c r="AO101" s="31"/>
      <c r="AP101" s="31"/>
      <c r="AQ101" s="31"/>
      <c r="AR101" s="31"/>
      <c r="AS101" s="31"/>
      <c r="AT101" s="31"/>
      <c r="AU101" s="31"/>
      <c r="AV101" s="31"/>
      <c r="AW101" s="31"/>
      <c r="AX101" s="31"/>
      <c r="AY101" s="31"/>
      <c r="AZ101" s="31"/>
      <c r="BA101" s="31"/>
      <c r="BB101" s="31"/>
      <c r="BC101" s="31"/>
      <c r="BD101" s="31"/>
      <c r="BE101" s="32"/>
      <c r="BF101" s="30"/>
      <c r="BG101" s="31"/>
      <c r="BH101" s="31"/>
      <c r="BI101" s="31"/>
      <c r="BJ101" s="31"/>
      <c r="BK101" s="31"/>
      <c r="BL101" s="31"/>
      <c r="BM101" s="31"/>
      <c r="BN101" s="31"/>
      <c r="BO101" s="31"/>
      <c r="BP101" s="31"/>
      <c r="BQ101" s="31"/>
      <c r="BR101" s="31"/>
      <c r="BS101" s="31"/>
      <c r="BT101" s="31"/>
      <c r="BU101" s="31"/>
      <c r="BV101" s="31"/>
      <c r="BW101" s="31"/>
      <c r="BX101" s="32"/>
      <c r="BY101" s="31"/>
      <c r="BZ101" s="31"/>
      <c r="CA101" s="31"/>
      <c r="CB101" s="31"/>
      <c r="CC101" s="31"/>
      <c r="CD101" s="31"/>
      <c r="CE101" s="31"/>
      <c r="CF101" s="31"/>
      <c r="CG101" s="31"/>
      <c r="CH101" s="31"/>
      <c r="CI101" s="31"/>
      <c r="CJ101" s="31"/>
      <c r="CK101" s="31"/>
      <c r="CL101" s="31"/>
      <c r="CM101" s="31"/>
      <c r="CN101" s="31"/>
      <c r="CO101" s="31"/>
      <c r="CP101" s="31"/>
      <c r="CQ101" s="32"/>
    </row>
    <row r="102" spans="1:95" x14ac:dyDescent="0.2">
      <c r="A102" s="30"/>
      <c r="B102" s="31"/>
      <c r="C102" s="31"/>
      <c r="D102" s="31"/>
      <c r="E102" s="31"/>
      <c r="F102" s="31"/>
      <c r="G102" s="31"/>
      <c r="H102" s="31"/>
      <c r="I102" s="31"/>
      <c r="J102" s="31"/>
      <c r="K102" s="31"/>
      <c r="L102" s="31"/>
      <c r="M102" s="31"/>
      <c r="N102" s="31"/>
      <c r="O102" s="31"/>
      <c r="P102" s="31"/>
      <c r="Q102" s="31"/>
      <c r="R102" s="31"/>
      <c r="S102" s="32"/>
      <c r="T102" s="30"/>
      <c r="U102" s="31"/>
      <c r="V102" s="31"/>
      <c r="W102" s="31"/>
      <c r="X102" s="31"/>
      <c r="Y102" s="31"/>
      <c r="Z102" s="31"/>
      <c r="AA102" s="31"/>
      <c r="AB102" s="31"/>
      <c r="AC102" s="31"/>
      <c r="AD102" s="31"/>
      <c r="AE102" s="31"/>
      <c r="AF102" s="31"/>
      <c r="AG102" s="31"/>
      <c r="AH102" s="31"/>
      <c r="AI102" s="31"/>
      <c r="AJ102" s="31"/>
      <c r="AK102" s="31"/>
      <c r="AL102" s="32"/>
      <c r="AM102" s="30"/>
      <c r="AN102" s="31"/>
      <c r="AO102" s="31"/>
      <c r="AP102" s="31"/>
      <c r="AQ102" s="31"/>
      <c r="AR102" s="31"/>
      <c r="AS102" s="31"/>
      <c r="AT102" s="31"/>
      <c r="AU102" s="31"/>
      <c r="AV102" s="31"/>
      <c r="AW102" s="31"/>
      <c r="AX102" s="31"/>
      <c r="AY102" s="31"/>
      <c r="AZ102" s="31"/>
      <c r="BA102" s="31"/>
      <c r="BB102" s="31"/>
      <c r="BC102" s="31"/>
      <c r="BD102" s="31"/>
      <c r="BE102" s="32"/>
      <c r="BF102" s="30"/>
      <c r="BG102" s="31"/>
      <c r="BH102" s="31"/>
      <c r="BI102" s="31"/>
      <c r="BJ102" s="31"/>
      <c r="BK102" s="31"/>
      <c r="BL102" s="31"/>
      <c r="BM102" s="31"/>
      <c r="BN102" s="31"/>
      <c r="BO102" s="31"/>
      <c r="BP102" s="31"/>
      <c r="BQ102" s="31"/>
      <c r="BR102" s="31"/>
      <c r="BS102" s="31"/>
      <c r="BT102" s="31"/>
      <c r="BU102" s="31"/>
      <c r="BV102" s="31"/>
      <c r="BW102" s="31"/>
      <c r="BX102" s="32"/>
      <c r="BY102" s="31"/>
      <c r="BZ102" s="31"/>
      <c r="CA102" s="31"/>
      <c r="CB102" s="31"/>
      <c r="CC102" s="31"/>
      <c r="CD102" s="31"/>
      <c r="CE102" s="31"/>
      <c r="CF102" s="31"/>
      <c r="CG102" s="31"/>
      <c r="CH102" s="31"/>
      <c r="CI102" s="31"/>
      <c r="CJ102" s="31"/>
      <c r="CK102" s="31"/>
      <c r="CL102" s="31"/>
      <c r="CM102" s="31"/>
      <c r="CN102" s="31"/>
      <c r="CO102" s="31"/>
      <c r="CP102" s="31"/>
      <c r="CQ102" s="32"/>
    </row>
    <row r="103" spans="1:95" x14ac:dyDescent="0.2">
      <c r="A103" s="30"/>
      <c r="B103" s="31"/>
      <c r="C103" s="31"/>
      <c r="D103" s="31"/>
      <c r="E103" s="31"/>
      <c r="F103" s="31"/>
      <c r="G103" s="31"/>
      <c r="H103" s="31"/>
      <c r="I103" s="31"/>
      <c r="J103" s="31"/>
      <c r="K103" s="31"/>
      <c r="L103" s="31"/>
      <c r="M103" s="31"/>
      <c r="N103" s="31"/>
      <c r="O103" s="31"/>
      <c r="P103" s="31"/>
      <c r="Q103" s="31"/>
      <c r="R103" s="31"/>
      <c r="S103" s="32"/>
      <c r="T103" s="30"/>
      <c r="U103" s="31"/>
      <c r="V103" s="31"/>
      <c r="W103" s="31"/>
      <c r="X103" s="31"/>
      <c r="Y103" s="31"/>
      <c r="Z103" s="31"/>
      <c r="AA103" s="31"/>
      <c r="AB103" s="31"/>
      <c r="AC103" s="31"/>
      <c r="AD103" s="31"/>
      <c r="AE103" s="31"/>
      <c r="AF103" s="31"/>
      <c r="AG103" s="31"/>
      <c r="AH103" s="31"/>
      <c r="AI103" s="31"/>
      <c r="AJ103" s="31"/>
      <c r="AK103" s="31"/>
      <c r="AL103" s="32"/>
      <c r="AM103" s="30"/>
      <c r="AN103" s="31"/>
      <c r="AO103" s="31"/>
      <c r="AP103" s="31"/>
      <c r="AQ103" s="31"/>
      <c r="AR103" s="31"/>
      <c r="AS103" s="31"/>
      <c r="AT103" s="31"/>
      <c r="AU103" s="31"/>
      <c r="AV103" s="31"/>
      <c r="AW103" s="31"/>
      <c r="AX103" s="31"/>
      <c r="AY103" s="31"/>
      <c r="AZ103" s="31"/>
      <c r="BA103" s="31"/>
      <c r="BB103" s="31"/>
      <c r="BC103" s="31"/>
      <c r="BD103" s="31"/>
      <c r="BE103" s="32"/>
      <c r="BF103" s="30"/>
      <c r="BG103" s="31"/>
      <c r="BH103" s="31"/>
      <c r="BI103" s="31"/>
      <c r="BJ103" s="31"/>
      <c r="BK103" s="31"/>
      <c r="BL103" s="31"/>
      <c r="BM103" s="31"/>
      <c r="BN103" s="31"/>
      <c r="BO103" s="31"/>
      <c r="BP103" s="31"/>
      <c r="BQ103" s="31"/>
      <c r="BR103" s="31"/>
      <c r="BS103" s="31"/>
      <c r="BT103" s="31"/>
      <c r="BU103" s="31"/>
      <c r="BV103" s="31"/>
      <c r="BW103" s="31"/>
      <c r="BX103" s="32"/>
      <c r="BY103" s="31"/>
      <c r="BZ103" s="31"/>
      <c r="CA103" s="31"/>
      <c r="CB103" s="31"/>
      <c r="CC103" s="31"/>
      <c r="CD103" s="31"/>
      <c r="CE103" s="31"/>
      <c r="CF103" s="31"/>
      <c r="CG103" s="31"/>
      <c r="CH103" s="31"/>
      <c r="CI103" s="31"/>
      <c r="CJ103" s="31"/>
      <c r="CK103" s="31"/>
      <c r="CL103" s="31"/>
      <c r="CM103" s="31"/>
      <c r="CN103" s="31"/>
      <c r="CO103" s="31"/>
      <c r="CP103" s="31"/>
      <c r="CQ103" s="32"/>
    </row>
    <row r="104" spans="1:95" x14ac:dyDescent="0.2">
      <c r="A104" s="30"/>
      <c r="B104" s="31"/>
      <c r="C104" s="31"/>
      <c r="D104" s="31"/>
      <c r="E104" s="31"/>
      <c r="F104" s="31"/>
      <c r="G104" s="31"/>
      <c r="H104" s="31"/>
      <c r="I104" s="31"/>
      <c r="J104" s="31"/>
      <c r="K104" s="31"/>
      <c r="L104" s="31"/>
      <c r="M104" s="31"/>
      <c r="N104" s="31"/>
      <c r="O104" s="31"/>
      <c r="P104" s="31"/>
      <c r="Q104" s="31"/>
      <c r="R104" s="31"/>
      <c r="S104" s="32"/>
      <c r="T104" s="30"/>
      <c r="U104" s="31"/>
      <c r="V104" s="31"/>
      <c r="W104" s="31"/>
      <c r="X104" s="31"/>
      <c r="Y104" s="31"/>
      <c r="Z104" s="31"/>
      <c r="AA104" s="31"/>
      <c r="AB104" s="31"/>
      <c r="AC104" s="31"/>
      <c r="AD104" s="31"/>
      <c r="AE104" s="31"/>
      <c r="AF104" s="31"/>
      <c r="AG104" s="31"/>
      <c r="AH104" s="31"/>
      <c r="AI104" s="31"/>
      <c r="AJ104" s="31"/>
      <c r="AK104" s="31"/>
      <c r="AL104" s="32"/>
      <c r="AM104" s="30"/>
      <c r="AN104" s="31"/>
      <c r="AO104" s="31"/>
      <c r="AP104" s="31"/>
      <c r="AQ104" s="31"/>
      <c r="AR104" s="31"/>
      <c r="AS104" s="31"/>
      <c r="AT104" s="31"/>
      <c r="AU104" s="31"/>
      <c r="AV104" s="31"/>
      <c r="AW104" s="31"/>
      <c r="AX104" s="31"/>
      <c r="AY104" s="31"/>
      <c r="AZ104" s="31"/>
      <c r="BA104" s="31"/>
      <c r="BB104" s="31"/>
      <c r="BC104" s="31"/>
      <c r="BD104" s="31"/>
      <c r="BE104" s="32"/>
      <c r="BF104" s="30"/>
      <c r="BG104" s="31"/>
      <c r="BH104" s="31"/>
      <c r="BI104" s="31"/>
      <c r="BJ104" s="31"/>
      <c r="BK104" s="31"/>
      <c r="BL104" s="31"/>
      <c r="BM104" s="31"/>
      <c r="BN104" s="31"/>
      <c r="BO104" s="31"/>
      <c r="BP104" s="31"/>
      <c r="BQ104" s="31"/>
      <c r="BR104" s="31"/>
      <c r="BS104" s="31"/>
      <c r="BT104" s="31"/>
      <c r="BU104" s="31"/>
      <c r="BV104" s="31"/>
      <c r="BW104" s="31"/>
      <c r="BX104" s="32"/>
      <c r="BY104" s="31"/>
      <c r="BZ104" s="31"/>
      <c r="CA104" s="31"/>
      <c r="CB104" s="31"/>
      <c r="CC104" s="31"/>
      <c r="CD104" s="31"/>
      <c r="CE104" s="31"/>
      <c r="CF104" s="31"/>
      <c r="CG104" s="31"/>
      <c r="CH104" s="31"/>
      <c r="CI104" s="31"/>
      <c r="CJ104" s="31"/>
      <c r="CK104" s="31"/>
      <c r="CL104" s="31"/>
      <c r="CM104" s="31"/>
      <c r="CN104" s="31"/>
      <c r="CO104" s="31"/>
      <c r="CP104" s="31"/>
      <c r="CQ104" s="32"/>
    </row>
    <row r="105" spans="1:95" x14ac:dyDescent="0.2">
      <c r="A105" s="30"/>
      <c r="B105" s="31"/>
      <c r="C105" s="31"/>
      <c r="D105" s="31"/>
      <c r="E105" s="31"/>
      <c r="F105" s="31"/>
      <c r="G105" s="31"/>
      <c r="H105" s="31"/>
      <c r="I105" s="31"/>
      <c r="J105" s="31"/>
      <c r="K105" s="31"/>
      <c r="L105" s="31"/>
      <c r="M105" s="31"/>
      <c r="N105" s="31"/>
      <c r="O105" s="31"/>
      <c r="P105" s="31"/>
      <c r="Q105" s="31"/>
      <c r="R105" s="31"/>
      <c r="S105" s="32"/>
      <c r="T105" s="30"/>
      <c r="U105" s="31"/>
      <c r="V105" s="31"/>
      <c r="W105" s="31"/>
      <c r="X105" s="31"/>
      <c r="Y105" s="31"/>
      <c r="Z105" s="31"/>
      <c r="AA105" s="31"/>
      <c r="AB105" s="31"/>
      <c r="AC105" s="31"/>
      <c r="AD105" s="31"/>
      <c r="AE105" s="31"/>
      <c r="AF105" s="31"/>
      <c r="AG105" s="31"/>
      <c r="AH105" s="31"/>
      <c r="AI105" s="31"/>
      <c r="AJ105" s="31"/>
      <c r="AK105" s="31"/>
      <c r="AL105" s="32"/>
      <c r="AM105" s="30"/>
      <c r="AN105" s="31"/>
      <c r="AO105" s="31"/>
      <c r="AP105" s="31"/>
      <c r="AQ105" s="31"/>
      <c r="AR105" s="31"/>
      <c r="AS105" s="31"/>
      <c r="AT105" s="31"/>
      <c r="AU105" s="31"/>
      <c r="AV105" s="31"/>
      <c r="AW105" s="31"/>
      <c r="AX105" s="31"/>
      <c r="AY105" s="31"/>
      <c r="AZ105" s="31"/>
      <c r="BA105" s="31"/>
      <c r="BB105" s="31"/>
      <c r="BC105" s="31"/>
      <c r="BD105" s="31"/>
      <c r="BE105" s="32"/>
      <c r="BF105" s="30"/>
      <c r="BG105" s="31"/>
      <c r="BH105" s="31"/>
      <c r="BI105" s="31"/>
      <c r="BJ105" s="31"/>
      <c r="BK105" s="31"/>
      <c r="BL105" s="31"/>
      <c r="BM105" s="31"/>
      <c r="BN105" s="31"/>
      <c r="BO105" s="31"/>
      <c r="BP105" s="31"/>
      <c r="BQ105" s="31"/>
      <c r="BR105" s="31"/>
      <c r="BS105" s="31"/>
      <c r="BT105" s="31"/>
      <c r="BU105" s="31"/>
      <c r="BV105" s="31"/>
      <c r="BW105" s="31"/>
      <c r="BX105" s="32"/>
      <c r="BY105" s="31"/>
      <c r="BZ105" s="31"/>
      <c r="CA105" s="31"/>
      <c r="CB105" s="31"/>
      <c r="CC105" s="31"/>
      <c r="CD105" s="31"/>
      <c r="CE105" s="31"/>
      <c r="CF105" s="31"/>
      <c r="CG105" s="31"/>
      <c r="CH105" s="31"/>
      <c r="CI105" s="31"/>
      <c r="CJ105" s="31"/>
      <c r="CK105" s="31"/>
      <c r="CL105" s="31"/>
      <c r="CM105" s="31"/>
      <c r="CN105" s="31"/>
      <c r="CO105" s="31"/>
      <c r="CP105" s="31"/>
      <c r="CQ105" s="32"/>
    </row>
    <row r="106" spans="1:95" x14ac:dyDescent="0.2">
      <c r="A106" s="30"/>
      <c r="B106" s="31"/>
      <c r="C106" s="31"/>
      <c r="D106" s="31"/>
      <c r="E106" s="31"/>
      <c r="F106" s="31"/>
      <c r="G106" s="31"/>
      <c r="H106" s="31"/>
      <c r="I106" s="31"/>
      <c r="J106" s="31"/>
      <c r="K106" s="31"/>
      <c r="L106" s="31"/>
      <c r="M106" s="31"/>
      <c r="N106" s="31"/>
      <c r="O106" s="31"/>
      <c r="P106" s="31"/>
      <c r="Q106" s="31"/>
      <c r="R106" s="31"/>
      <c r="S106" s="32"/>
      <c r="T106" s="30"/>
      <c r="U106" s="31"/>
      <c r="V106" s="31"/>
      <c r="W106" s="31"/>
      <c r="X106" s="31"/>
      <c r="Y106" s="31"/>
      <c r="Z106" s="31"/>
      <c r="AA106" s="31"/>
      <c r="AB106" s="31"/>
      <c r="AC106" s="31"/>
      <c r="AD106" s="31"/>
      <c r="AE106" s="31"/>
      <c r="AF106" s="31"/>
      <c r="AG106" s="31"/>
      <c r="AH106" s="31"/>
      <c r="AI106" s="31"/>
      <c r="AJ106" s="31"/>
      <c r="AK106" s="31"/>
      <c r="AL106" s="32"/>
      <c r="AM106" s="30"/>
      <c r="AN106" s="31"/>
      <c r="AO106" s="31"/>
      <c r="AP106" s="31"/>
      <c r="AQ106" s="31"/>
      <c r="AR106" s="31"/>
      <c r="AS106" s="31"/>
      <c r="AT106" s="31"/>
      <c r="AU106" s="31"/>
      <c r="AV106" s="31"/>
      <c r="AW106" s="31"/>
      <c r="AX106" s="31"/>
      <c r="AY106" s="31"/>
      <c r="AZ106" s="31"/>
      <c r="BA106" s="31"/>
      <c r="BB106" s="31"/>
      <c r="BC106" s="31"/>
      <c r="BD106" s="31"/>
      <c r="BE106" s="32"/>
      <c r="BF106" s="30"/>
      <c r="BG106" s="31"/>
      <c r="BH106" s="31"/>
      <c r="BI106" s="31"/>
      <c r="BJ106" s="31"/>
      <c r="BK106" s="31"/>
      <c r="BL106" s="31"/>
      <c r="BM106" s="31"/>
      <c r="BN106" s="31"/>
      <c r="BO106" s="31"/>
      <c r="BP106" s="31"/>
      <c r="BQ106" s="31"/>
      <c r="BR106" s="31"/>
      <c r="BS106" s="31"/>
      <c r="BT106" s="31"/>
      <c r="BU106" s="31"/>
      <c r="BV106" s="31"/>
      <c r="BW106" s="31"/>
      <c r="BX106" s="32"/>
      <c r="BY106" s="31"/>
      <c r="BZ106" s="31"/>
      <c r="CA106" s="31"/>
      <c r="CB106" s="31"/>
      <c r="CC106" s="31"/>
      <c r="CD106" s="31"/>
      <c r="CE106" s="31"/>
      <c r="CF106" s="31"/>
      <c r="CG106" s="31"/>
      <c r="CH106" s="31"/>
      <c r="CI106" s="31"/>
      <c r="CJ106" s="31"/>
      <c r="CK106" s="31"/>
      <c r="CL106" s="31"/>
      <c r="CM106" s="31"/>
      <c r="CN106" s="31"/>
      <c r="CO106" s="31"/>
      <c r="CP106" s="31"/>
      <c r="CQ106" s="32"/>
    </row>
    <row r="107" spans="1:95" x14ac:dyDescent="0.2">
      <c r="A107" s="30"/>
      <c r="B107" s="31"/>
      <c r="C107" s="31"/>
      <c r="D107" s="31"/>
      <c r="E107" s="31"/>
      <c r="F107" s="31"/>
      <c r="G107" s="31"/>
      <c r="H107" s="31"/>
      <c r="I107" s="31"/>
      <c r="J107" s="31"/>
      <c r="K107" s="31"/>
      <c r="L107" s="31"/>
      <c r="M107" s="31"/>
      <c r="N107" s="31"/>
      <c r="O107" s="31"/>
      <c r="P107" s="31"/>
      <c r="Q107" s="31"/>
      <c r="R107" s="31"/>
      <c r="S107" s="32"/>
      <c r="T107" s="30"/>
      <c r="U107" s="31"/>
      <c r="V107" s="31"/>
      <c r="W107" s="31"/>
      <c r="X107" s="31"/>
      <c r="Y107" s="31"/>
      <c r="Z107" s="31"/>
      <c r="AA107" s="31"/>
      <c r="AB107" s="31"/>
      <c r="AC107" s="31"/>
      <c r="AD107" s="31"/>
      <c r="AE107" s="31"/>
      <c r="AF107" s="31"/>
      <c r="AG107" s="31"/>
      <c r="AH107" s="31"/>
      <c r="AI107" s="31"/>
      <c r="AJ107" s="31"/>
      <c r="AK107" s="31"/>
      <c r="AL107" s="32"/>
      <c r="AM107" s="30"/>
      <c r="AN107" s="31"/>
      <c r="AO107" s="31"/>
      <c r="AP107" s="31"/>
      <c r="AQ107" s="31"/>
      <c r="AR107" s="31"/>
      <c r="AS107" s="31"/>
      <c r="AT107" s="31"/>
      <c r="AU107" s="31"/>
      <c r="AV107" s="31"/>
      <c r="AW107" s="31"/>
      <c r="AX107" s="31"/>
      <c r="AY107" s="31"/>
      <c r="AZ107" s="31"/>
      <c r="BA107" s="31"/>
      <c r="BB107" s="31"/>
      <c r="BC107" s="31"/>
      <c r="BD107" s="31"/>
      <c r="BE107" s="32"/>
      <c r="BF107" s="30"/>
      <c r="BG107" s="31"/>
      <c r="BH107" s="31"/>
      <c r="BI107" s="31"/>
      <c r="BJ107" s="31"/>
      <c r="BK107" s="31"/>
      <c r="BL107" s="31"/>
      <c r="BM107" s="31"/>
      <c r="BN107" s="31"/>
      <c r="BO107" s="31"/>
      <c r="BP107" s="31"/>
      <c r="BQ107" s="31"/>
      <c r="BR107" s="31"/>
      <c r="BS107" s="31"/>
      <c r="BT107" s="31"/>
      <c r="BU107" s="31"/>
      <c r="BV107" s="31"/>
      <c r="BW107" s="31"/>
      <c r="BX107" s="32"/>
      <c r="BY107" s="31"/>
      <c r="BZ107" s="31"/>
      <c r="CA107" s="31"/>
      <c r="CB107" s="31"/>
      <c r="CC107" s="31"/>
      <c r="CD107" s="31"/>
      <c r="CE107" s="31"/>
      <c r="CF107" s="31"/>
      <c r="CG107" s="31"/>
      <c r="CH107" s="31"/>
      <c r="CI107" s="31"/>
      <c r="CJ107" s="31"/>
      <c r="CK107" s="31"/>
      <c r="CL107" s="31"/>
      <c r="CM107" s="31"/>
      <c r="CN107" s="31"/>
      <c r="CO107" s="31"/>
      <c r="CP107" s="31"/>
      <c r="CQ107" s="32"/>
    </row>
    <row r="108" spans="1:95" x14ac:dyDescent="0.2">
      <c r="A108" s="30"/>
      <c r="B108" s="31"/>
      <c r="C108" s="31"/>
      <c r="D108" s="31"/>
      <c r="E108" s="31"/>
      <c r="F108" s="31"/>
      <c r="G108" s="31"/>
      <c r="H108" s="31"/>
      <c r="I108" s="31"/>
      <c r="J108" s="31"/>
      <c r="K108" s="31"/>
      <c r="L108" s="31"/>
      <c r="M108" s="31"/>
      <c r="N108" s="31"/>
      <c r="O108" s="31"/>
      <c r="P108" s="31"/>
      <c r="Q108" s="31"/>
      <c r="R108" s="31"/>
      <c r="S108" s="32"/>
      <c r="T108" s="30"/>
      <c r="U108" s="31"/>
      <c r="V108" s="31"/>
      <c r="W108" s="31"/>
      <c r="X108" s="31"/>
      <c r="Y108" s="31"/>
      <c r="Z108" s="31"/>
      <c r="AA108" s="31"/>
      <c r="AB108" s="31"/>
      <c r="AC108" s="31"/>
      <c r="AD108" s="31"/>
      <c r="AE108" s="31"/>
      <c r="AF108" s="31"/>
      <c r="AG108" s="31"/>
      <c r="AH108" s="31"/>
      <c r="AI108" s="31"/>
      <c r="AJ108" s="31"/>
      <c r="AK108" s="31"/>
      <c r="AL108" s="32"/>
      <c r="AM108" s="30"/>
      <c r="AN108" s="31"/>
      <c r="AO108" s="31"/>
      <c r="AP108" s="31"/>
      <c r="AQ108" s="31"/>
      <c r="AR108" s="31"/>
      <c r="AS108" s="31"/>
      <c r="AT108" s="31"/>
      <c r="AU108" s="31"/>
      <c r="AV108" s="31"/>
      <c r="AW108" s="31"/>
      <c r="AX108" s="31"/>
      <c r="AY108" s="31"/>
      <c r="AZ108" s="31"/>
      <c r="BA108" s="31"/>
      <c r="BB108" s="31"/>
      <c r="BC108" s="31"/>
      <c r="BD108" s="31"/>
      <c r="BE108" s="32"/>
      <c r="BF108" s="30"/>
      <c r="BG108" s="31"/>
      <c r="BH108" s="31"/>
      <c r="BI108" s="31"/>
      <c r="BJ108" s="31"/>
      <c r="BK108" s="31"/>
      <c r="BL108" s="31"/>
      <c r="BM108" s="31"/>
      <c r="BN108" s="31"/>
      <c r="BO108" s="31"/>
      <c r="BP108" s="31"/>
      <c r="BQ108" s="31"/>
      <c r="BR108" s="31"/>
      <c r="BS108" s="31"/>
      <c r="BT108" s="31"/>
      <c r="BU108" s="31"/>
      <c r="BV108" s="31"/>
      <c r="BW108" s="31"/>
      <c r="BX108" s="32"/>
      <c r="BY108" s="31"/>
      <c r="BZ108" s="31"/>
      <c r="CA108" s="31"/>
      <c r="CB108" s="31"/>
      <c r="CC108" s="31"/>
      <c r="CD108" s="31"/>
      <c r="CE108" s="31"/>
      <c r="CF108" s="31"/>
      <c r="CG108" s="31"/>
      <c r="CH108" s="31"/>
      <c r="CI108" s="31"/>
      <c r="CJ108" s="31"/>
      <c r="CK108" s="31"/>
      <c r="CL108" s="31"/>
      <c r="CM108" s="31"/>
      <c r="CN108" s="31"/>
      <c r="CO108" s="31"/>
      <c r="CP108" s="31"/>
      <c r="CQ108" s="32"/>
    </row>
    <row r="109" spans="1:95" x14ac:dyDescent="0.2">
      <c r="A109" s="30"/>
      <c r="B109" s="31"/>
      <c r="C109" s="31"/>
      <c r="D109" s="31"/>
      <c r="E109" s="31"/>
      <c r="F109" s="31"/>
      <c r="G109" s="31"/>
      <c r="H109" s="31"/>
      <c r="I109" s="31"/>
      <c r="J109" s="31"/>
      <c r="K109" s="31"/>
      <c r="L109" s="31"/>
      <c r="M109" s="31"/>
      <c r="N109" s="31"/>
      <c r="O109" s="31"/>
      <c r="P109" s="31"/>
      <c r="Q109" s="31"/>
      <c r="R109" s="31"/>
      <c r="S109" s="32"/>
      <c r="T109" s="30"/>
      <c r="U109" s="31"/>
      <c r="V109" s="31"/>
      <c r="W109" s="31"/>
      <c r="X109" s="31"/>
      <c r="Y109" s="31"/>
      <c r="Z109" s="31"/>
      <c r="AA109" s="31"/>
      <c r="AB109" s="31"/>
      <c r="AC109" s="31"/>
      <c r="AD109" s="31"/>
      <c r="AE109" s="31"/>
      <c r="AF109" s="31"/>
      <c r="AG109" s="31"/>
      <c r="AH109" s="31"/>
      <c r="AI109" s="31"/>
      <c r="AJ109" s="31"/>
      <c r="AK109" s="31"/>
      <c r="AL109" s="32"/>
      <c r="AM109" s="30"/>
      <c r="AN109" s="31"/>
      <c r="AO109" s="31"/>
      <c r="AP109" s="31"/>
      <c r="AQ109" s="31"/>
      <c r="AR109" s="31"/>
      <c r="AS109" s="31"/>
      <c r="AT109" s="31"/>
      <c r="AU109" s="31"/>
      <c r="AV109" s="31"/>
      <c r="AW109" s="31"/>
      <c r="AX109" s="31"/>
      <c r="AY109" s="31"/>
      <c r="AZ109" s="31"/>
      <c r="BA109" s="31"/>
      <c r="BB109" s="31"/>
      <c r="BC109" s="31"/>
      <c r="BD109" s="31"/>
      <c r="BE109" s="32"/>
      <c r="BF109" s="30"/>
      <c r="BG109" s="31"/>
      <c r="BH109" s="31"/>
      <c r="BI109" s="31"/>
      <c r="BJ109" s="31"/>
      <c r="BK109" s="31"/>
      <c r="BL109" s="31"/>
      <c r="BM109" s="31"/>
      <c r="BN109" s="31"/>
      <c r="BO109" s="31"/>
      <c r="BP109" s="31"/>
      <c r="BQ109" s="31"/>
      <c r="BR109" s="31"/>
      <c r="BS109" s="31"/>
      <c r="BT109" s="31"/>
      <c r="BU109" s="31"/>
      <c r="BV109" s="31"/>
      <c r="BW109" s="31"/>
      <c r="BX109" s="32"/>
      <c r="BY109" s="31"/>
      <c r="BZ109" s="31"/>
      <c r="CA109" s="31"/>
      <c r="CB109" s="31"/>
      <c r="CC109" s="31"/>
      <c r="CD109" s="31"/>
      <c r="CE109" s="31"/>
      <c r="CF109" s="31"/>
      <c r="CG109" s="31"/>
      <c r="CH109" s="31"/>
      <c r="CI109" s="31"/>
      <c r="CJ109" s="31"/>
      <c r="CK109" s="31"/>
      <c r="CL109" s="31"/>
      <c r="CM109" s="31"/>
      <c r="CN109" s="31"/>
      <c r="CO109" s="31"/>
      <c r="CP109" s="31"/>
      <c r="CQ109" s="32"/>
    </row>
    <row r="110" spans="1:95" x14ac:dyDescent="0.2">
      <c r="A110" s="30"/>
      <c r="B110" s="31"/>
      <c r="C110" s="31"/>
      <c r="D110" s="31"/>
      <c r="E110" s="31"/>
      <c r="F110" s="31"/>
      <c r="G110" s="31"/>
      <c r="H110" s="31"/>
      <c r="I110" s="31"/>
      <c r="J110" s="31"/>
      <c r="K110" s="31"/>
      <c r="L110" s="31"/>
      <c r="M110" s="31"/>
      <c r="N110" s="31"/>
      <c r="O110" s="31"/>
      <c r="P110" s="31"/>
      <c r="Q110" s="31"/>
      <c r="R110" s="31"/>
      <c r="S110" s="32"/>
      <c r="T110" s="30"/>
      <c r="U110" s="31"/>
      <c r="V110" s="31"/>
      <c r="W110" s="31"/>
      <c r="X110" s="31"/>
      <c r="Y110" s="31"/>
      <c r="Z110" s="31"/>
      <c r="AA110" s="31"/>
      <c r="AB110" s="31"/>
      <c r="AC110" s="31"/>
      <c r="AD110" s="31"/>
      <c r="AE110" s="31"/>
      <c r="AF110" s="31"/>
      <c r="AG110" s="31"/>
      <c r="AH110" s="31"/>
      <c r="AI110" s="31"/>
      <c r="AJ110" s="31"/>
      <c r="AK110" s="31"/>
      <c r="AL110" s="32"/>
      <c r="AM110" s="30"/>
      <c r="AN110" s="31"/>
      <c r="AO110" s="31"/>
      <c r="AP110" s="31"/>
      <c r="AQ110" s="31"/>
      <c r="AR110" s="31"/>
      <c r="AS110" s="31"/>
      <c r="AT110" s="31"/>
      <c r="AU110" s="31"/>
      <c r="AV110" s="31"/>
      <c r="AW110" s="31"/>
      <c r="AX110" s="31"/>
      <c r="AY110" s="31"/>
      <c r="AZ110" s="31"/>
      <c r="BA110" s="31"/>
      <c r="BB110" s="31"/>
      <c r="BC110" s="31"/>
      <c r="BD110" s="31"/>
      <c r="BE110" s="32"/>
      <c r="BF110" s="30"/>
      <c r="BG110" s="31"/>
      <c r="BH110" s="31"/>
      <c r="BI110" s="31"/>
      <c r="BJ110" s="31"/>
      <c r="BK110" s="31"/>
      <c r="BL110" s="31"/>
      <c r="BM110" s="31"/>
      <c r="BN110" s="31"/>
      <c r="BO110" s="31"/>
      <c r="BP110" s="31"/>
      <c r="BQ110" s="31"/>
      <c r="BR110" s="31"/>
      <c r="BS110" s="31"/>
      <c r="BT110" s="31"/>
      <c r="BU110" s="31"/>
      <c r="BV110" s="31"/>
      <c r="BW110" s="31"/>
      <c r="BX110" s="32"/>
      <c r="BY110" s="31"/>
      <c r="BZ110" s="31"/>
      <c r="CA110" s="31"/>
      <c r="CB110" s="31"/>
      <c r="CC110" s="31"/>
      <c r="CD110" s="31"/>
      <c r="CE110" s="31"/>
      <c r="CF110" s="31"/>
      <c r="CG110" s="31"/>
      <c r="CH110" s="31"/>
      <c r="CI110" s="31"/>
      <c r="CJ110" s="31"/>
      <c r="CK110" s="31"/>
      <c r="CL110" s="31"/>
      <c r="CM110" s="31"/>
      <c r="CN110" s="31"/>
      <c r="CO110" s="31"/>
      <c r="CP110" s="31"/>
      <c r="CQ110" s="32"/>
    </row>
    <row r="111" spans="1:95" x14ac:dyDescent="0.2">
      <c r="A111" s="30"/>
      <c r="B111" s="31"/>
      <c r="C111" s="31"/>
      <c r="D111" s="31"/>
      <c r="E111" s="31"/>
      <c r="F111" s="31"/>
      <c r="G111" s="31"/>
      <c r="H111" s="31"/>
      <c r="I111" s="31"/>
      <c r="J111" s="31"/>
      <c r="K111" s="31"/>
      <c r="L111" s="31"/>
      <c r="M111" s="31"/>
      <c r="N111" s="31"/>
      <c r="O111" s="31"/>
      <c r="P111" s="31"/>
      <c r="Q111" s="31"/>
      <c r="R111" s="31"/>
      <c r="S111" s="32"/>
      <c r="T111" s="30"/>
      <c r="U111" s="31"/>
      <c r="V111" s="31"/>
      <c r="W111" s="31"/>
      <c r="X111" s="31"/>
      <c r="Y111" s="31"/>
      <c r="Z111" s="31"/>
      <c r="AA111" s="31"/>
      <c r="AB111" s="31"/>
      <c r="AC111" s="31"/>
      <c r="AD111" s="31"/>
      <c r="AE111" s="31"/>
      <c r="AF111" s="31"/>
      <c r="AG111" s="31"/>
      <c r="AH111" s="31"/>
      <c r="AI111" s="31"/>
      <c r="AJ111" s="31"/>
      <c r="AK111" s="31"/>
      <c r="AL111" s="32"/>
      <c r="AM111" s="30"/>
      <c r="AN111" s="31"/>
      <c r="AO111" s="31"/>
      <c r="AP111" s="31"/>
      <c r="AQ111" s="31"/>
      <c r="AR111" s="31"/>
      <c r="AS111" s="31"/>
      <c r="AT111" s="31"/>
      <c r="AU111" s="31"/>
      <c r="AV111" s="31"/>
      <c r="AW111" s="31"/>
      <c r="AX111" s="31"/>
      <c r="AY111" s="31"/>
      <c r="AZ111" s="31"/>
      <c r="BA111" s="31"/>
      <c r="BB111" s="31"/>
      <c r="BC111" s="31"/>
      <c r="BD111" s="31"/>
      <c r="BE111" s="32"/>
      <c r="BF111" s="30"/>
      <c r="BG111" s="31"/>
      <c r="BH111" s="31"/>
      <c r="BI111" s="31"/>
      <c r="BJ111" s="31"/>
      <c r="BK111" s="31"/>
      <c r="BL111" s="31"/>
      <c r="BM111" s="31"/>
      <c r="BN111" s="31"/>
      <c r="BO111" s="31"/>
      <c r="BP111" s="31"/>
      <c r="BQ111" s="31"/>
      <c r="BR111" s="31"/>
      <c r="BS111" s="31"/>
      <c r="BT111" s="31"/>
      <c r="BU111" s="31"/>
      <c r="BV111" s="31"/>
      <c r="BW111" s="31"/>
      <c r="BX111" s="32"/>
      <c r="BY111" s="31"/>
      <c r="BZ111" s="31"/>
      <c r="CA111" s="31"/>
      <c r="CB111" s="31"/>
      <c r="CC111" s="31"/>
      <c r="CD111" s="31"/>
      <c r="CE111" s="31"/>
      <c r="CF111" s="31"/>
      <c r="CG111" s="31"/>
      <c r="CH111" s="31"/>
      <c r="CI111" s="31"/>
      <c r="CJ111" s="31"/>
      <c r="CK111" s="31"/>
      <c r="CL111" s="31"/>
      <c r="CM111" s="31"/>
      <c r="CN111" s="31"/>
      <c r="CO111" s="31"/>
      <c r="CP111" s="31"/>
      <c r="CQ111" s="32"/>
    </row>
    <row r="112" spans="1:95" x14ac:dyDescent="0.2">
      <c r="A112" s="30"/>
      <c r="B112" s="31"/>
      <c r="C112" s="31"/>
      <c r="D112" s="31"/>
      <c r="E112" s="31"/>
      <c r="F112" s="31"/>
      <c r="G112" s="31"/>
      <c r="H112" s="31"/>
      <c r="I112" s="31"/>
      <c r="J112" s="31"/>
      <c r="K112" s="31"/>
      <c r="L112" s="31"/>
      <c r="M112" s="31"/>
      <c r="N112" s="31"/>
      <c r="O112" s="31"/>
      <c r="P112" s="31"/>
      <c r="Q112" s="31"/>
      <c r="R112" s="31"/>
      <c r="S112" s="32"/>
      <c r="T112" s="30"/>
      <c r="U112" s="31"/>
      <c r="V112" s="31"/>
      <c r="W112" s="31"/>
      <c r="X112" s="31"/>
      <c r="Y112" s="31"/>
      <c r="Z112" s="31"/>
      <c r="AA112" s="31"/>
      <c r="AB112" s="31"/>
      <c r="AC112" s="31"/>
      <c r="AD112" s="31"/>
      <c r="AE112" s="31"/>
      <c r="AF112" s="31"/>
      <c r="AG112" s="31"/>
      <c r="AH112" s="31"/>
      <c r="AI112" s="31"/>
      <c r="AJ112" s="31"/>
      <c r="AK112" s="31"/>
      <c r="AL112" s="32"/>
      <c r="AM112" s="30"/>
      <c r="AN112" s="31"/>
      <c r="AO112" s="31"/>
      <c r="AP112" s="31"/>
      <c r="AQ112" s="31"/>
      <c r="AR112" s="31"/>
      <c r="AS112" s="31"/>
      <c r="AT112" s="31"/>
      <c r="AU112" s="31"/>
      <c r="AV112" s="31"/>
      <c r="AW112" s="31"/>
      <c r="AX112" s="31"/>
      <c r="AY112" s="31"/>
      <c r="AZ112" s="31"/>
      <c r="BA112" s="31"/>
      <c r="BB112" s="31"/>
      <c r="BC112" s="31"/>
      <c r="BD112" s="31"/>
      <c r="BE112" s="32"/>
      <c r="BF112" s="30"/>
      <c r="BG112" s="31"/>
      <c r="BH112" s="31"/>
      <c r="BI112" s="31"/>
      <c r="BJ112" s="31"/>
      <c r="BK112" s="31"/>
      <c r="BL112" s="31"/>
      <c r="BM112" s="31"/>
      <c r="BN112" s="31"/>
      <c r="BO112" s="31"/>
      <c r="BP112" s="31"/>
      <c r="BQ112" s="31"/>
      <c r="BR112" s="31"/>
      <c r="BS112" s="31"/>
      <c r="BT112" s="31"/>
      <c r="BU112" s="31"/>
      <c r="BV112" s="31"/>
      <c r="BW112" s="31"/>
      <c r="BX112" s="32"/>
      <c r="BY112" s="31"/>
      <c r="BZ112" s="31"/>
      <c r="CA112" s="31"/>
      <c r="CB112" s="31"/>
      <c r="CC112" s="31"/>
      <c r="CD112" s="31"/>
      <c r="CE112" s="31"/>
      <c r="CF112" s="31"/>
      <c r="CG112" s="31"/>
      <c r="CH112" s="31"/>
      <c r="CI112" s="31"/>
      <c r="CJ112" s="31"/>
      <c r="CK112" s="31"/>
      <c r="CL112" s="31"/>
      <c r="CM112" s="31"/>
      <c r="CN112" s="31"/>
      <c r="CO112" s="31"/>
      <c r="CP112" s="31"/>
      <c r="CQ112" s="32"/>
    </row>
    <row r="113" spans="1:95" x14ac:dyDescent="0.2">
      <c r="A113" s="30"/>
      <c r="B113" s="31"/>
      <c r="C113" s="31"/>
      <c r="D113" s="31"/>
      <c r="E113" s="31"/>
      <c r="F113" s="31"/>
      <c r="G113" s="31"/>
      <c r="H113" s="31"/>
      <c r="I113" s="31"/>
      <c r="J113" s="31"/>
      <c r="K113" s="31"/>
      <c r="L113" s="31"/>
      <c r="M113" s="31"/>
      <c r="N113" s="31"/>
      <c r="O113" s="31"/>
      <c r="P113" s="31"/>
      <c r="Q113" s="31"/>
      <c r="R113" s="31"/>
      <c r="S113" s="32"/>
      <c r="T113" s="30"/>
      <c r="U113" s="31"/>
      <c r="V113" s="31"/>
      <c r="W113" s="31"/>
      <c r="X113" s="31"/>
      <c r="Y113" s="31"/>
      <c r="Z113" s="31"/>
      <c r="AA113" s="31"/>
      <c r="AB113" s="31"/>
      <c r="AC113" s="31"/>
      <c r="AD113" s="31"/>
      <c r="AE113" s="31"/>
      <c r="AF113" s="31"/>
      <c r="AG113" s="31"/>
      <c r="AH113" s="31"/>
      <c r="AI113" s="31"/>
      <c r="AJ113" s="31"/>
      <c r="AK113" s="31"/>
      <c r="AL113" s="32"/>
      <c r="AM113" s="30"/>
      <c r="AN113" s="31"/>
      <c r="AO113" s="31"/>
      <c r="AP113" s="31"/>
      <c r="AQ113" s="31"/>
      <c r="AR113" s="31"/>
      <c r="AS113" s="31"/>
      <c r="AT113" s="31"/>
      <c r="AU113" s="31"/>
      <c r="AV113" s="31"/>
      <c r="AW113" s="31"/>
      <c r="AX113" s="31"/>
      <c r="AY113" s="31"/>
      <c r="AZ113" s="31"/>
      <c r="BA113" s="31"/>
      <c r="BB113" s="31"/>
      <c r="BC113" s="31"/>
      <c r="BD113" s="31"/>
      <c r="BE113" s="32"/>
      <c r="BF113" s="30"/>
      <c r="BG113" s="31"/>
      <c r="BH113" s="31"/>
      <c r="BI113" s="31"/>
      <c r="BJ113" s="31"/>
      <c r="BK113" s="31"/>
      <c r="BL113" s="31"/>
      <c r="BM113" s="31"/>
      <c r="BN113" s="31"/>
      <c r="BO113" s="31"/>
      <c r="BP113" s="31"/>
      <c r="BQ113" s="31"/>
      <c r="BR113" s="31"/>
      <c r="BS113" s="31"/>
      <c r="BT113" s="31"/>
      <c r="BU113" s="31"/>
      <c r="BV113" s="31"/>
      <c r="BW113" s="31"/>
      <c r="BX113" s="32"/>
      <c r="BY113" s="31"/>
      <c r="BZ113" s="31"/>
      <c r="CA113" s="31"/>
      <c r="CB113" s="31"/>
      <c r="CC113" s="31"/>
      <c r="CD113" s="31"/>
      <c r="CE113" s="31"/>
      <c r="CF113" s="31"/>
      <c r="CG113" s="31"/>
      <c r="CH113" s="31"/>
      <c r="CI113" s="31"/>
      <c r="CJ113" s="31"/>
      <c r="CK113" s="31"/>
      <c r="CL113" s="31"/>
      <c r="CM113" s="31"/>
      <c r="CN113" s="31"/>
      <c r="CO113" s="31"/>
      <c r="CP113" s="31"/>
      <c r="CQ113" s="32"/>
    </row>
    <row r="114" spans="1:95" x14ac:dyDescent="0.2">
      <c r="A114" s="30"/>
      <c r="B114" s="31"/>
      <c r="C114" s="31"/>
      <c r="D114" s="31"/>
      <c r="E114" s="31"/>
      <c r="F114" s="31"/>
      <c r="G114" s="31"/>
      <c r="H114" s="31"/>
      <c r="I114" s="31"/>
      <c r="J114" s="31"/>
      <c r="K114" s="31"/>
      <c r="L114" s="31"/>
      <c r="M114" s="31"/>
      <c r="N114" s="31"/>
      <c r="O114" s="31"/>
      <c r="P114" s="31"/>
      <c r="Q114" s="31"/>
      <c r="R114" s="31"/>
      <c r="S114" s="32"/>
      <c r="T114" s="30"/>
      <c r="U114" s="31"/>
      <c r="V114" s="31"/>
      <c r="W114" s="31"/>
      <c r="X114" s="31"/>
      <c r="Y114" s="31"/>
      <c r="Z114" s="31"/>
      <c r="AA114" s="31"/>
      <c r="AB114" s="31"/>
      <c r="AC114" s="31"/>
      <c r="AD114" s="31"/>
      <c r="AE114" s="31"/>
      <c r="AF114" s="31"/>
      <c r="AG114" s="31"/>
      <c r="AH114" s="31"/>
      <c r="AI114" s="31"/>
      <c r="AJ114" s="31"/>
      <c r="AK114" s="31"/>
      <c r="AL114" s="32"/>
      <c r="AM114" s="30"/>
      <c r="AN114" s="31"/>
      <c r="AO114" s="31"/>
      <c r="AP114" s="31"/>
      <c r="AQ114" s="31"/>
      <c r="AR114" s="31"/>
      <c r="AS114" s="31"/>
      <c r="AT114" s="31"/>
      <c r="AU114" s="31"/>
      <c r="AV114" s="31"/>
      <c r="AW114" s="31"/>
      <c r="AX114" s="31"/>
      <c r="AY114" s="31"/>
      <c r="AZ114" s="31"/>
      <c r="BA114" s="31"/>
      <c r="BB114" s="31"/>
      <c r="BC114" s="31"/>
      <c r="BD114" s="31"/>
      <c r="BE114" s="32"/>
      <c r="BF114" s="30"/>
      <c r="BG114" s="31"/>
      <c r="BH114" s="31"/>
      <c r="BI114" s="31"/>
      <c r="BJ114" s="31"/>
      <c r="BK114" s="31"/>
      <c r="BL114" s="31"/>
      <c r="BM114" s="31"/>
      <c r="BN114" s="31"/>
      <c r="BO114" s="31"/>
      <c r="BP114" s="31"/>
      <c r="BQ114" s="31"/>
      <c r="BR114" s="31"/>
      <c r="BS114" s="31"/>
      <c r="BT114" s="31"/>
      <c r="BU114" s="31"/>
      <c r="BV114" s="31"/>
      <c r="BW114" s="31"/>
      <c r="BX114" s="32"/>
      <c r="BY114" s="31"/>
      <c r="BZ114" s="31"/>
      <c r="CA114" s="31"/>
      <c r="CB114" s="31"/>
      <c r="CC114" s="31"/>
      <c r="CD114" s="31"/>
      <c r="CE114" s="31"/>
      <c r="CF114" s="31"/>
      <c r="CG114" s="31"/>
      <c r="CH114" s="31"/>
      <c r="CI114" s="31"/>
      <c r="CJ114" s="31"/>
      <c r="CK114" s="31"/>
      <c r="CL114" s="31"/>
      <c r="CM114" s="31"/>
      <c r="CN114" s="31"/>
      <c r="CO114" s="31"/>
      <c r="CP114" s="31"/>
      <c r="CQ114" s="32"/>
    </row>
    <row r="115" spans="1:95" x14ac:dyDescent="0.2">
      <c r="A115" s="30"/>
      <c r="B115" s="31"/>
      <c r="C115" s="31"/>
      <c r="D115" s="31"/>
      <c r="E115" s="31"/>
      <c r="F115" s="31"/>
      <c r="G115" s="31"/>
      <c r="H115" s="31"/>
      <c r="I115" s="31"/>
      <c r="J115" s="31"/>
      <c r="K115" s="31"/>
      <c r="L115" s="31"/>
      <c r="M115" s="31"/>
      <c r="N115" s="31"/>
      <c r="O115" s="31"/>
      <c r="P115" s="31"/>
      <c r="Q115" s="31"/>
      <c r="R115" s="31"/>
      <c r="S115" s="32"/>
      <c r="T115" s="30"/>
      <c r="U115" s="31"/>
      <c r="V115" s="31"/>
      <c r="W115" s="31"/>
      <c r="X115" s="31"/>
      <c r="Y115" s="31"/>
      <c r="Z115" s="31"/>
      <c r="AA115" s="31"/>
      <c r="AB115" s="31"/>
      <c r="AC115" s="31"/>
      <c r="AD115" s="31"/>
      <c r="AE115" s="31"/>
      <c r="AF115" s="31"/>
      <c r="AG115" s="31"/>
      <c r="AH115" s="31"/>
      <c r="AI115" s="31"/>
      <c r="AJ115" s="31"/>
      <c r="AK115" s="31"/>
      <c r="AL115" s="32"/>
      <c r="AM115" s="30"/>
      <c r="AN115" s="31"/>
      <c r="AO115" s="31"/>
      <c r="AP115" s="31"/>
      <c r="AQ115" s="31"/>
      <c r="AR115" s="31"/>
      <c r="AS115" s="31"/>
      <c r="AT115" s="31"/>
      <c r="AU115" s="31"/>
      <c r="AV115" s="31"/>
      <c r="AW115" s="31"/>
      <c r="AX115" s="31"/>
      <c r="AY115" s="31"/>
      <c r="AZ115" s="31"/>
      <c r="BA115" s="31"/>
      <c r="BB115" s="31"/>
      <c r="BC115" s="31"/>
      <c r="BD115" s="31"/>
      <c r="BE115" s="32"/>
      <c r="BF115" s="30"/>
      <c r="BG115" s="31"/>
      <c r="BH115" s="31"/>
      <c r="BI115" s="31"/>
      <c r="BJ115" s="31"/>
      <c r="BK115" s="31"/>
      <c r="BL115" s="31"/>
      <c r="BM115" s="31"/>
      <c r="BN115" s="31"/>
      <c r="BO115" s="31"/>
      <c r="BP115" s="31"/>
      <c r="BQ115" s="31"/>
      <c r="BR115" s="31"/>
      <c r="BS115" s="31"/>
      <c r="BT115" s="31"/>
      <c r="BU115" s="31"/>
      <c r="BV115" s="31"/>
      <c r="BW115" s="31"/>
      <c r="BX115" s="32"/>
      <c r="BY115" s="31"/>
      <c r="BZ115" s="31"/>
      <c r="CA115" s="31"/>
      <c r="CB115" s="31"/>
      <c r="CC115" s="31"/>
      <c r="CD115" s="31"/>
      <c r="CE115" s="31"/>
      <c r="CF115" s="31"/>
      <c r="CG115" s="31"/>
      <c r="CH115" s="31"/>
      <c r="CI115" s="31"/>
      <c r="CJ115" s="31"/>
      <c r="CK115" s="31"/>
      <c r="CL115" s="31"/>
      <c r="CM115" s="31"/>
      <c r="CN115" s="31"/>
      <c r="CO115" s="31"/>
      <c r="CP115" s="31"/>
      <c r="CQ115" s="32"/>
    </row>
    <row r="116" spans="1:95" x14ac:dyDescent="0.2">
      <c r="A116" s="30"/>
      <c r="B116" s="31"/>
      <c r="C116" s="31"/>
      <c r="D116" s="31"/>
      <c r="E116" s="31"/>
      <c r="F116" s="31"/>
      <c r="G116" s="31"/>
      <c r="H116" s="31"/>
      <c r="I116" s="31"/>
      <c r="J116" s="31"/>
      <c r="K116" s="31"/>
      <c r="L116" s="31"/>
      <c r="M116" s="31"/>
      <c r="N116" s="31"/>
      <c r="O116" s="31"/>
      <c r="P116" s="31"/>
      <c r="Q116" s="31"/>
      <c r="R116" s="31"/>
      <c r="S116" s="32"/>
      <c r="T116" s="30"/>
      <c r="U116" s="31"/>
      <c r="V116" s="31"/>
      <c r="W116" s="31"/>
      <c r="X116" s="31"/>
      <c r="Y116" s="31"/>
      <c r="Z116" s="31"/>
      <c r="AA116" s="31"/>
      <c r="AB116" s="31"/>
      <c r="AC116" s="31"/>
      <c r="AD116" s="31"/>
      <c r="AE116" s="31"/>
      <c r="AF116" s="31"/>
      <c r="AG116" s="31"/>
      <c r="AH116" s="31"/>
      <c r="AI116" s="31"/>
      <c r="AJ116" s="31"/>
      <c r="AK116" s="31"/>
      <c r="AL116" s="32"/>
      <c r="AM116" s="30"/>
      <c r="AN116" s="31"/>
      <c r="AO116" s="31"/>
      <c r="AP116" s="31"/>
      <c r="AQ116" s="31"/>
      <c r="AR116" s="31"/>
      <c r="AS116" s="31"/>
      <c r="AT116" s="31"/>
      <c r="AU116" s="31"/>
      <c r="AV116" s="31"/>
      <c r="AW116" s="31"/>
      <c r="AX116" s="31"/>
      <c r="AY116" s="31"/>
      <c r="AZ116" s="31"/>
      <c r="BA116" s="31"/>
      <c r="BB116" s="31"/>
      <c r="BC116" s="31"/>
      <c r="BD116" s="31"/>
      <c r="BE116" s="32"/>
      <c r="BF116" s="30"/>
      <c r="BG116" s="31"/>
      <c r="BH116" s="31"/>
      <c r="BI116" s="31"/>
      <c r="BJ116" s="31"/>
      <c r="BK116" s="31"/>
      <c r="BL116" s="31"/>
      <c r="BM116" s="31"/>
      <c r="BN116" s="31"/>
      <c r="BO116" s="31"/>
      <c r="BP116" s="31"/>
      <c r="BQ116" s="31"/>
      <c r="BR116" s="31"/>
      <c r="BS116" s="31"/>
      <c r="BT116" s="31"/>
      <c r="BU116" s="31"/>
      <c r="BV116" s="31"/>
      <c r="BW116" s="31"/>
      <c r="BX116" s="32"/>
      <c r="BY116" s="31"/>
      <c r="BZ116" s="31"/>
      <c r="CA116" s="31"/>
      <c r="CB116" s="31"/>
      <c r="CC116" s="31"/>
      <c r="CD116" s="31"/>
      <c r="CE116" s="31"/>
      <c r="CF116" s="31"/>
      <c r="CG116" s="31"/>
      <c r="CH116" s="31"/>
      <c r="CI116" s="31"/>
      <c r="CJ116" s="31"/>
      <c r="CK116" s="31"/>
      <c r="CL116" s="31"/>
      <c r="CM116" s="31"/>
      <c r="CN116" s="31"/>
      <c r="CO116" s="31"/>
      <c r="CP116" s="31"/>
      <c r="CQ116" s="32"/>
    </row>
    <row r="117" spans="1:95" x14ac:dyDescent="0.2">
      <c r="A117" s="30"/>
      <c r="B117" s="31"/>
      <c r="C117" s="31"/>
      <c r="D117" s="31"/>
      <c r="E117" s="31"/>
      <c r="F117" s="31"/>
      <c r="G117" s="31"/>
      <c r="H117" s="31"/>
      <c r="I117" s="31"/>
      <c r="J117" s="31"/>
      <c r="K117" s="31"/>
      <c r="L117" s="31"/>
      <c r="M117" s="31"/>
      <c r="N117" s="31"/>
      <c r="O117" s="31"/>
      <c r="P117" s="31"/>
      <c r="Q117" s="31"/>
      <c r="R117" s="31"/>
      <c r="S117" s="32"/>
      <c r="T117" s="30"/>
      <c r="U117" s="31"/>
      <c r="V117" s="31"/>
      <c r="W117" s="31"/>
      <c r="X117" s="31"/>
      <c r="Y117" s="31"/>
      <c r="Z117" s="31"/>
      <c r="AA117" s="31"/>
      <c r="AB117" s="31"/>
      <c r="AC117" s="31"/>
      <c r="AD117" s="31"/>
      <c r="AE117" s="31"/>
      <c r="AF117" s="31"/>
      <c r="AG117" s="31"/>
      <c r="AH117" s="31"/>
      <c r="AI117" s="31"/>
      <c r="AJ117" s="31"/>
      <c r="AK117" s="31"/>
      <c r="AL117" s="32"/>
      <c r="AM117" s="30"/>
      <c r="AN117" s="31"/>
      <c r="AO117" s="31"/>
      <c r="AP117" s="31"/>
      <c r="AQ117" s="31"/>
      <c r="AR117" s="31"/>
      <c r="AS117" s="31"/>
      <c r="AT117" s="31"/>
      <c r="AU117" s="31"/>
      <c r="AV117" s="31"/>
      <c r="AW117" s="31"/>
      <c r="AX117" s="31"/>
      <c r="AY117" s="31"/>
      <c r="AZ117" s="31"/>
      <c r="BA117" s="31"/>
      <c r="BB117" s="31"/>
      <c r="BC117" s="31"/>
      <c r="BD117" s="31"/>
      <c r="BE117" s="32"/>
      <c r="BF117" s="30"/>
      <c r="BG117" s="31"/>
      <c r="BH117" s="31"/>
      <c r="BI117" s="31"/>
      <c r="BJ117" s="31"/>
      <c r="BK117" s="31"/>
      <c r="BL117" s="31"/>
      <c r="BM117" s="31"/>
      <c r="BN117" s="31"/>
      <c r="BO117" s="31"/>
      <c r="BP117" s="31"/>
      <c r="BQ117" s="31"/>
      <c r="BR117" s="31"/>
      <c r="BS117" s="31"/>
      <c r="BT117" s="31"/>
      <c r="BU117" s="31"/>
      <c r="BV117" s="31"/>
      <c r="BW117" s="31"/>
      <c r="BX117" s="32"/>
      <c r="BY117" s="31"/>
      <c r="BZ117" s="31"/>
      <c r="CA117" s="31"/>
      <c r="CB117" s="31"/>
      <c r="CC117" s="31"/>
      <c r="CD117" s="31"/>
      <c r="CE117" s="31"/>
      <c r="CF117" s="31"/>
      <c r="CG117" s="31"/>
      <c r="CH117" s="31"/>
      <c r="CI117" s="31"/>
      <c r="CJ117" s="31"/>
      <c r="CK117" s="31"/>
      <c r="CL117" s="31"/>
      <c r="CM117" s="31"/>
      <c r="CN117" s="31"/>
      <c r="CO117" s="31"/>
      <c r="CP117" s="31"/>
      <c r="CQ117" s="32"/>
    </row>
    <row r="118" spans="1:95" x14ac:dyDescent="0.2">
      <c r="A118" s="30"/>
      <c r="B118" s="31"/>
      <c r="C118" s="31"/>
      <c r="D118" s="31"/>
      <c r="E118" s="31"/>
      <c r="F118" s="31"/>
      <c r="G118" s="31"/>
      <c r="H118" s="31"/>
      <c r="I118" s="31"/>
      <c r="J118" s="31"/>
      <c r="K118" s="31"/>
      <c r="L118" s="31"/>
      <c r="M118" s="31"/>
      <c r="N118" s="31"/>
      <c r="O118" s="31"/>
      <c r="P118" s="31"/>
      <c r="Q118" s="31"/>
      <c r="R118" s="31"/>
      <c r="S118" s="32"/>
      <c r="T118" s="30"/>
      <c r="U118" s="31"/>
      <c r="V118" s="31"/>
      <c r="W118" s="31"/>
      <c r="X118" s="31"/>
      <c r="Y118" s="31"/>
      <c r="Z118" s="31"/>
      <c r="AA118" s="31"/>
      <c r="AB118" s="31"/>
      <c r="AC118" s="31"/>
      <c r="AD118" s="31"/>
      <c r="AE118" s="31"/>
      <c r="AF118" s="31"/>
      <c r="AG118" s="31"/>
      <c r="AH118" s="31"/>
      <c r="AI118" s="31"/>
      <c r="AJ118" s="31"/>
      <c r="AK118" s="31"/>
      <c r="AL118" s="32"/>
      <c r="AM118" s="30"/>
      <c r="AN118" s="31"/>
      <c r="AO118" s="31"/>
      <c r="AP118" s="31"/>
      <c r="AQ118" s="31"/>
      <c r="AR118" s="31"/>
      <c r="AS118" s="31"/>
      <c r="AT118" s="31"/>
      <c r="AU118" s="31"/>
      <c r="AV118" s="31"/>
      <c r="AW118" s="31"/>
      <c r="AX118" s="31"/>
      <c r="AY118" s="31"/>
      <c r="AZ118" s="31"/>
      <c r="BA118" s="31"/>
      <c r="BB118" s="31"/>
      <c r="BC118" s="31"/>
      <c r="BD118" s="31"/>
      <c r="BE118" s="32"/>
      <c r="BF118" s="30"/>
      <c r="BG118" s="31"/>
      <c r="BH118" s="31"/>
      <c r="BI118" s="31"/>
      <c r="BJ118" s="31"/>
      <c r="BK118" s="31"/>
      <c r="BL118" s="31"/>
      <c r="BM118" s="31"/>
      <c r="BN118" s="31"/>
      <c r="BO118" s="31"/>
      <c r="BP118" s="31"/>
      <c r="BQ118" s="31"/>
      <c r="BR118" s="31"/>
      <c r="BS118" s="31"/>
      <c r="BT118" s="31"/>
      <c r="BU118" s="31"/>
      <c r="BV118" s="31"/>
      <c r="BW118" s="31"/>
      <c r="BX118" s="32"/>
      <c r="BY118" s="31"/>
      <c r="BZ118" s="31"/>
      <c r="CA118" s="31"/>
      <c r="CB118" s="31"/>
      <c r="CC118" s="31"/>
      <c r="CD118" s="31"/>
      <c r="CE118" s="31"/>
      <c r="CF118" s="31"/>
      <c r="CG118" s="31"/>
      <c r="CH118" s="31"/>
      <c r="CI118" s="31"/>
      <c r="CJ118" s="31"/>
      <c r="CK118" s="31"/>
      <c r="CL118" s="31"/>
      <c r="CM118" s="31"/>
      <c r="CN118" s="31"/>
      <c r="CO118" s="31"/>
      <c r="CP118" s="31"/>
      <c r="CQ118" s="32"/>
    </row>
    <row r="119" spans="1:95" x14ac:dyDescent="0.2">
      <c r="A119" s="30"/>
      <c r="B119" s="31"/>
      <c r="C119" s="31"/>
      <c r="D119" s="31"/>
      <c r="E119" s="31"/>
      <c r="F119" s="31"/>
      <c r="G119" s="31"/>
      <c r="H119" s="31"/>
      <c r="I119" s="31"/>
      <c r="J119" s="31"/>
      <c r="K119" s="31"/>
      <c r="L119" s="31"/>
      <c r="M119" s="31"/>
      <c r="N119" s="31"/>
      <c r="O119" s="31"/>
      <c r="P119" s="31"/>
      <c r="Q119" s="31"/>
      <c r="R119" s="31"/>
      <c r="S119" s="32"/>
      <c r="T119" s="30"/>
      <c r="U119" s="31"/>
      <c r="V119" s="31"/>
      <c r="W119" s="31"/>
      <c r="X119" s="31"/>
      <c r="Y119" s="31"/>
      <c r="Z119" s="31"/>
      <c r="AA119" s="31"/>
      <c r="AB119" s="31"/>
      <c r="AC119" s="31"/>
      <c r="AD119" s="31"/>
      <c r="AE119" s="31"/>
      <c r="AF119" s="31"/>
      <c r="AG119" s="31"/>
      <c r="AH119" s="31"/>
      <c r="AI119" s="31"/>
      <c r="AJ119" s="31"/>
      <c r="AK119" s="31"/>
      <c r="AL119" s="32"/>
      <c r="AM119" s="30"/>
      <c r="AN119" s="31"/>
      <c r="AO119" s="31"/>
      <c r="AP119" s="31"/>
      <c r="AQ119" s="31"/>
      <c r="AR119" s="31"/>
      <c r="AS119" s="31"/>
      <c r="AT119" s="31"/>
      <c r="AU119" s="31"/>
      <c r="AV119" s="31"/>
      <c r="AW119" s="31"/>
      <c r="AX119" s="31"/>
      <c r="AY119" s="31"/>
      <c r="AZ119" s="31"/>
      <c r="BA119" s="31"/>
      <c r="BB119" s="31"/>
      <c r="BC119" s="31"/>
      <c r="BD119" s="31"/>
      <c r="BE119" s="32"/>
      <c r="BF119" s="30"/>
      <c r="BG119" s="31"/>
      <c r="BH119" s="31"/>
      <c r="BI119" s="31"/>
      <c r="BJ119" s="31"/>
      <c r="BK119" s="31"/>
      <c r="BL119" s="31"/>
      <c r="BM119" s="31"/>
      <c r="BN119" s="31"/>
      <c r="BO119" s="31"/>
      <c r="BP119" s="31"/>
      <c r="BQ119" s="31"/>
      <c r="BR119" s="31"/>
      <c r="BS119" s="31"/>
      <c r="BT119" s="31"/>
      <c r="BU119" s="31"/>
      <c r="BV119" s="31"/>
      <c r="BW119" s="31"/>
      <c r="BX119" s="32"/>
      <c r="BY119" s="31"/>
      <c r="BZ119" s="31"/>
      <c r="CA119" s="31"/>
      <c r="CB119" s="31"/>
      <c r="CC119" s="31"/>
      <c r="CD119" s="31"/>
      <c r="CE119" s="31"/>
      <c r="CF119" s="31"/>
      <c r="CG119" s="31"/>
      <c r="CH119" s="31"/>
      <c r="CI119" s="31"/>
      <c r="CJ119" s="31"/>
      <c r="CK119" s="31"/>
      <c r="CL119" s="31"/>
      <c r="CM119" s="31"/>
      <c r="CN119" s="31"/>
      <c r="CO119" s="31"/>
      <c r="CP119" s="31"/>
      <c r="CQ119" s="32"/>
    </row>
    <row r="120" spans="1:95" x14ac:dyDescent="0.2">
      <c r="A120" s="30"/>
      <c r="B120" s="31"/>
      <c r="C120" s="31"/>
      <c r="D120" s="31"/>
      <c r="E120" s="31"/>
      <c r="F120" s="31"/>
      <c r="G120" s="31"/>
      <c r="H120" s="31"/>
      <c r="I120" s="31"/>
      <c r="J120" s="31"/>
      <c r="K120" s="31"/>
      <c r="L120" s="31"/>
      <c r="M120" s="31"/>
      <c r="N120" s="31"/>
      <c r="O120" s="31"/>
      <c r="P120" s="31"/>
      <c r="Q120" s="31"/>
      <c r="R120" s="31"/>
      <c r="S120" s="32"/>
      <c r="T120" s="30"/>
      <c r="U120" s="31"/>
      <c r="V120" s="31"/>
      <c r="W120" s="31"/>
      <c r="X120" s="31"/>
      <c r="Y120" s="31"/>
      <c r="Z120" s="31"/>
      <c r="AA120" s="31"/>
      <c r="AB120" s="31"/>
      <c r="AC120" s="31"/>
      <c r="AD120" s="31"/>
      <c r="AE120" s="31"/>
      <c r="AF120" s="31"/>
      <c r="AG120" s="31"/>
      <c r="AH120" s="31"/>
      <c r="AI120" s="31"/>
      <c r="AJ120" s="31"/>
      <c r="AK120" s="31"/>
      <c r="AL120" s="32"/>
      <c r="AM120" s="30"/>
      <c r="AN120" s="31"/>
      <c r="AO120" s="31"/>
      <c r="AP120" s="31"/>
      <c r="AQ120" s="31"/>
      <c r="AR120" s="31"/>
      <c r="AS120" s="31"/>
      <c r="AT120" s="31"/>
      <c r="AU120" s="31"/>
      <c r="AV120" s="31"/>
      <c r="AW120" s="31"/>
      <c r="AX120" s="31"/>
      <c r="AY120" s="31"/>
      <c r="AZ120" s="31"/>
      <c r="BA120" s="31"/>
      <c r="BB120" s="31"/>
      <c r="BC120" s="31"/>
      <c r="BD120" s="31"/>
      <c r="BE120" s="32"/>
      <c r="BF120" s="30"/>
      <c r="BG120" s="31"/>
      <c r="BH120" s="31"/>
      <c r="BI120" s="31"/>
      <c r="BJ120" s="31"/>
      <c r="BK120" s="31"/>
      <c r="BL120" s="31"/>
      <c r="BM120" s="31"/>
      <c r="BN120" s="31"/>
      <c r="BO120" s="31"/>
      <c r="BP120" s="31"/>
      <c r="BQ120" s="31"/>
      <c r="BR120" s="31"/>
      <c r="BS120" s="31"/>
      <c r="BT120" s="31"/>
      <c r="BU120" s="31"/>
      <c r="BV120" s="31"/>
      <c r="BW120" s="31"/>
      <c r="BX120" s="32"/>
      <c r="BY120" s="31"/>
      <c r="BZ120" s="31"/>
      <c r="CA120" s="31"/>
      <c r="CB120" s="31"/>
      <c r="CC120" s="31"/>
      <c r="CD120" s="31"/>
      <c r="CE120" s="31"/>
      <c r="CF120" s="31"/>
      <c r="CG120" s="31"/>
      <c r="CH120" s="31"/>
      <c r="CI120" s="31"/>
      <c r="CJ120" s="31"/>
      <c r="CK120" s="31"/>
      <c r="CL120" s="31"/>
      <c r="CM120" s="31"/>
      <c r="CN120" s="31"/>
      <c r="CO120" s="31"/>
      <c r="CP120" s="31"/>
      <c r="CQ120" s="32"/>
    </row>
    <row r="121" spans="1:95" x14ac:dyDescent="0.2">
      <c r="A121" s="30"/>
      <c r="B121" s="31"/>
      <c r="C121" s="31"/>
      <c r="D121" s="31"/>
      <c r="E121" s="31"/>
      <c r="F121" s="31"/>
      <c r="G121" s="31"/>
      <c r="H121" s="31"/>
      <c r="I121" s="31"/>
      <c r="J121" s="31"/>
      <c r="K121" s="31"/>
      <c r="L121" s="31"/>
      <c r="M121" s="31"/>
      <c r="N121" s="31"/>
      <c r="O121" s="31"/>
      <c r="P121" s="31"/>
      <c r="Q121" s="31"/>
      <c r="R121" s="31"/>
      <c r="S121" s="32"/>
      <c r="T121" s="30"/>
      <c r="U121" s="31"/>
      <c r="V121" s="31"/>
      <c r="W121" s="31"/>
      <c r="X121" s="31"/>
      <c r="Y121" s="31"/>
      <c r="Z121" s="31"/>
      <c r="AA121" s="31"/>
      <c r="AB121" s="31"/>
      <c r="AC121" s="31"/>
      <c r="AD121" s="31"/>
      <c r="AE121" s="31"/>
      <c r="AF121" s="31"/>
      <c r="AG121" s="31"/>
      <c r="AH121" s="31"/>
      <c r="AI121" s="31"/>
      <c r="AJ121" s="31"/>
      <c r="AK121" s="31"/>
      <c r="AL121" s="32"/>
      <c r="AM121" s="30"/>
      <c r="AN121" s="31"/>
      <c r="AO121" s="31"/>
      <c r="AP121" s="31"/>
      <c r="AQ121" s="31"/>
      <c r="AR121" s="31"/>
      <c r="AS121" s="31"/>
      <c r="AT121" s="31"/>
      <c r="AU121" s="31"/>
      <c r="AV121" s="31"/>
      <c r="AW121" s="31"/>
      <c r="AX121" s="31"/>
      <c r="AY121" s="31"/>
      <c r="AZ121" s="31"/>
      <c r="BA121" s="31"/>
      <c r="BB121" s="31"/>
      <c r="BC121" s="31"/>
      <c r="BD121" s="31"/>
      <c r="BE121" s="32"/>
      <c r="BF121" s="30"/>
      <c r="BG121" s="31"/>
      <c r="BH121" s="31"/>
      <c r="BI121" s="31"/>
      <c r="BJ121" s="31"/>
      <c r="BK121" s="31"/>
      <c r="BL121" s="31"/>
      <c r="BM121" s="31"/>
      <c r="BN121" s="31"/>
      <c r="BO121" s="31"/>
      <c r="BP121" s="31"/>
      <c r="BQ121" s="31"/>
      <c r="BR121" s="31"/>
      <c r="BS121" s="31"/>
      <c r="BT121" s="31"/>
      <c r="BU121" s="31"/>
      <c r="BV121" s="31"/>
      <c r="BW121" s="31"/>
      <c r="BX121" s="32"/>
      <c r="BY121" s="31"/>
      <c r="BZ121" s="31"/>
      <c r="CA121" s="31"/>
      <c r="CB121" s="31"/>
      <c r="CC121" s="31"/>
      <c r="CD121" s="31"/>
      <c r="CE121" s="31"/>
      <c r="CF121" s="31"/>
      <c r="CG121" s="31"/>
      <c r="CH121" s="31"/>
      <c r="CI121" s="31"/>
      <c r="CJ121" s="31"/>
      <c r="CK121" s="31"/>
      <c r="CL121" s="31"/>
      <c r="CM121" s="31"/>
      <c r="CN121" s="31"/>
      <c r="CO121" s="31"/>
      <c r="CP121" s="31"/>
      <c r="CQ121" s="32"/>
    </row>
    <row r="122" spans="1:95" x14ac:dyDescent="0.2">
      <c r="A122" s="30"/>
      <c r="B122" s="31"/>
      <c r="C122" s="31"/>
      <c r="D122" s="31"/>
      <c r="E122" s="31"/>
      <c r="F122" s="31"/>
      <c r="G122" s="31"/>
      <c r="H122" s="31"/>
      <c r="I122" s="31"/>
      <c r="J122" s="31"/>
      <c r="K122" s="31"/>
      <c r="L122" s="31"/>
      <c r="M122" s="31"/>
      <c r="N122" s="31"/>
      <c r="O122" s="31"/>
      <c r="P122" s="31"/>
      <c r="Q122" s="31"/>
      <c r="R122" s="31"/>
      <c r="S122" s="32"/>
      <c r="T122" s="30"/>
      <c r="U122" s="31"/>
      <c r="V122" s="31"/>
      <c r="W122" s="31"/>
      <c r="X122" s="31"/>
      <c r="Y122" s="31"/>
      <c r="Z122" s="31"/>
      <c r="AA122" s="31"/>
      <c r="AB122" s="31"/>
      <c r="AC122" s="31"/>
      <c r="AD122" s="31"/>
      <c r="AE122" s="31"/>
      <c r="AF122" s="31"/>
      <c r="AG122" s="31"/>
      <c r="AH122" s="31"/>
      <c r="AI122" s="31"/>
      <c r="AJ122" s="31"/>
      <c r="AK122" s="31"/>
      <c r="AL122" s="32"/>
      <c r="AM122" s="30"/>
      <c r="AN122" s="31"/>
      <c r="AO122" s="31"/>
      <c r="AP122" s="31"/>
      <c r="AQ122" s="31"/>
      <c r="AR122" s="31"/>
      <c r="AS122" s="31"/>
      <c r="AT122" s="31"/>
      <c r="AU122" s="31"/>
      <c r="AV122" s="31"/>
      <c r="AW122" s="31"/>
      <c r="AX122" s="31"/>
      <c r="AY122" s="31"/>
      <c r="AZ122" s="31"/>
      <c r="BA122" s="31"/>
      <c r="BB122" s="31"/>
      <c r="BC122" s="31"/>
      <c r="BD122" s="31"/>
      <c r="BE122" s="32"/>
      <c r="BF122" s="30"/>
      <c r="BG122" s="31"/>
      <c r="BH122" s="31"/>
      <c r="BI122" s="31"/>
      <c r="BJ122" s="31"/>
      <c r="BK122" s="31"/>
      <c r="BL122" s="31"/>
      <c r="BM122" s="31"/>
      <c r="BN122" s="31"/>
      <c r="BO122" s="31"/>
      <c r="BP122" s="31"/>
      <c r="BQ122" s="31"/>
      <c r="BR122" s="31"/>
      <c r="BS122" s="31"/>
      <c r="BT122" s="31"/>
      <c r="BU122" s="31"/>
      <c r="BV122" s="31"/>
      <c r="BW122" s="31"/>
      <c r="BX122" s="32"/>
      <c r="BY122" s="31"/>
      <c r="BZ122" s="31"/>
      <c r="CA122" s="31"/>
      <c r="CB122" s="31"/>
      <c r="CC122" s="31"/>
      <c r="CD122" s="31"/>
      <c r="CE122" s="31"/>
      <c r="CF122" s="31"/>
      <c r="CG122" s="31"/>
      <c r="CH122" s="31"/>
      <c r="CI122" s="31"/>
      <c r="CJ122" s="31"/>
      <c r="CK122" s="31"/>
      <c r="CL122" s="31"/>
      <c r="CM122" s="31"/>
      <c r="CN122" s="31"/>
      <c r="CO122" s="31"/>
      <c r="CP122" s="31"/>
      <c r="CQ122" s="32"/>
    </row>
    <row r="123" spans="1:95" x14ac:dyDescent="0.2">
      <c r="A123" s="30"/>
      <c r="B123" s="31"/>
      <c r="C123" s="31"/>
      <c r="D123" s="31"/>
      <c r="E123" s="31"/>
      <c r="F123" s="31"/>
      <c r="G123" s="31"/>
      <c r="H123" s="31"/>
      <c r="I123" s="31"/>
      <c r="J123" s="31"/>
      <c r="K123" s="31"/>
      <c r="L123" s="31"/>
      <c r="M123" s="31"/>
      <c r="N123" s="31"/>
      <c r="O123" s="31"/>
      <c r="P123" s="31"/>
      <c r="Q123" s="31"/>
      <c r="R123" s="31"/>
      <c r="S123" s="32"/>
      <c r="T123" s="30"/>
      <c r="U123" s="31"/>
      <c r="V123" s="31"/>
      <c r="W123" s="31"/>
      <c r="X123" s="31"/>
      <c r="Y123" s="31"/>
      <c r="Z123" s="31"/>
      <c r="AA123" s="31"/>
      <c r="AB123" s="31"/>
      <c r="AC123" s="31"/>
      <c r="AD123" s="31"/>
      <c r="AE123" s="31"/>
      <c r="AF123" s="31"/>
      <c r="AG123" s="31"/>
      <c r="AH123" s="31"/>
      <c r="AI123" s="31"/>
      <c r="AJ123" s="31"/>
      <c r="AK123" s="31"/>
      <c r="AL123" s="32"/>
      <c r="AM123" s="30"/>
      <c r="AN123" s="31"/>
      <c r="AO123" s="31"/>
      <c r="AP123" s="31"/>
      <c r="AQ123" s="31"/>
      <c r="AR123" s="31"/>
      <c r="AS123" s="31"/>
      <c r="AT123" s="31"/>
      <c r="AU123" s="31"/>
      <c r="AV123" s="31"/>
      <c r="AW123" s="31"/>
      <c r="AX123" s="31"/>
      <c r="AY123" s="31"/>
      <c r="AZ123" s="31"/>
      <c r="BA123" s="31"/>
      <c r="BB123" s="31"/>
      <c r="BC123" s="31"/>
      <c r="BD123" s="31"/>
      <c r="BE123" s="32"/>
      <c r="BF123" s="30"/>
      <c r="BG123" s="31"/>
      <c r="BH123" s="31"/>
      <c r="BI123" s="31"/>
      <c r="BJ123" s="31"/>
      <c r="BK123" s="31"/>
      <c r="BL123" s="31"/>
      <c r="BM123" s="31"/>
      <c r="BN123" s="31"/>
      <c r="BO123" s="31"/>
      <c r="BP123" s="31"/>
      <c r="BQ123" s="31"/>
      <c r="BR123" s="31"/>
      <c r="BS123" s="31"/>
      <c r="BT123" s="31"/>
      <c r="BU123" s="31"/>
      <c r="BV123" s="31"/>
      <c r="BW123" s="31"/>
      <c r="BX123" s="32"/>
      <c r="BY123" s="31"/>
      <c r="BZ123" s="31"/>
      <c r="CA123" s="31"/>
      <c r="CB123" s="31"/>
      <c r="CC123" s="31"/>
      <c r="CD123" s="31"/>
      <c r="CE123" s="31"/>
      <c r="CF123" s="31"/>
      <c r="CG123" s="31"/>
      <c r="CH123" s="31"/>
      <c r="CI123" s="31"/>
      <c r="CJ123" s="31"/>
      <c r="CK123" s="31"/>
      <c r="CL123" s="31"/>
      <c r="CM123" s="31"/>
      <c r="CN123" s="31"/>
      <c r="CO123" s="31"/>
      <c r="CP123" s="31"/>
      <c r="CQ123" s="32"/>
    </row>
    <row r="124" spans="1:95" x14ac:dyDescent="0.2">
      <c r="A124" s="30"/>
      <c r="B124" s="31"/>
      <c r="C124" s="31"/>
      <c r="D124" s="31"/>
      <c r="E124" s="31"/>
      <c r="F124" s="31"/>
      <c r="G124" s="31"/>
      <c r="H124" s="31"/>
      <c r="I124" s="31"/>
      <c r="J124" s="31"/>
      <c r="K124" s="31"/>
      <c r="L124" s="31"/>
      <c r="M124" s="31"/>
      <c r="N124" s="31"/>
      <c r="O124" s="31"/>
      <c r="P124" s="31"/>
      <c r="Q124" s="31"/>
      <c r="R124" s="31"/>
      <c r="S124" s="32"/>
      <c r="T124" s="30"/>
      <c r="U124" s="31"/>
      <c r="V124" s="31"/>
      <c r="W124" s="31"/>
      <c r="X124" s="31"/>
      <c r="Y124" s="31"/>
      <c r="Z124" s="31"/>
      <c r="AA124" s="31"/>
      <c r="AB124" s="31"/>
      <c r="AC124" s="31"/>
      <c r="AD124" s="31"/>
      <c r="AE124" s="31"/>
      <c r="AF124" s="31"/>
      <c r="AG124" s="31"/>
      <c r="AH124" s="31"/>
      <c r="AI124" s="31"/>
      <c r="AJ124" s="31"/>
      <c r="AK124" s="31"/>
      <c r="AL124" s="32"/>
      <c r="AM124" s="30"/>
      <c r="AN124" s="31"/>
      <c r="AO124" s="31"/>
      <c r="AP124" s="31"/>
      <c r="AQ124" s="31"/>
      <c r="AR124" s="31"/>
      <c r="AS124" s="31"/>
      <c r="AT124" s="31"/>
      <c r="AU124" s="31"/>
      <c r="AV124" s="31"/>
      <c r="AW124" s="31"/>
      <c r="AX124" s="31"/>
      <c r="AY124" s="31"/>
      <c r="AZ124" s="31"/>
      <c r="BA124" s="31"/>
      <c r="BB124" s="31"/>
      <c r="BC124" s="31"/>
      <c r="BD124" s="31"/>
      <c r="BE124" s="32"/>
      <c r="BF124" s="30"/>
      <c r="BG124" s="31"/>
      <c r="BH124" s="31"/>
      <c r="BI124" s="31"/>
      <c r="BJ124" s="31"/>
      <c r="BK124" s="31"/>
      <c r="BL124" s="31"/>
      <c r="BM124" s="31"/>
      <c r="BN124" s="31"/>
      <c r="BO124" s="31"/>
      <c r="BP124" s="31"/>
      <c r="BQ124" s="31"/>
      <c r="BR124" s="31"/>
      <c r="BS124" s="31"/>
      <c r="BT124" s="31"/>
      <c r="BU124" s="31"/>
      <c r="BV124" s="31"/>
      <c r="BW124" s="31"/>
      <c r="BX124" s="32"/>
      <c r="BY124" s="31"/>
      <c r="BZ124" s="31"/>
      <c r="CA124" s="31"/>
      <c r="CB124" s="31"/>
      <c r="CC124" s="31"/>
      <c r="CD124" s="31"/>
      <c r="CE124" s="31"/>
      <c r="CF124" s="31"/>
      <c r="CG124" s="31"/>
      <c r="CH124" s="31"/>
      <c r="CI124" s="31"/>
      <c r="CJ124" s="31"/>
      <c r="CK124" s="31"/>
      <c r="CL124" s="31"/>
      <c r="CM124" s="31"/>
      <c r="CN124" s="31"/>
      <c r="CO124" s="31"/>
      <c r="CP124" s="31"/>
      <c r="CQ124" s="32"/>
    </row>
    <row r="125" spans="1:95" x14ac:dyDescent="0.2">
      <c r="A125" s="30"/>
      <c r="B125" s="31"/>
      <c r="C125" s="31"/>
      <c r="D125" s="31"/>
      <c r="E125" s="31"/>
      <c r="F125" s="31"/>
      <c r="G125" s="31"/>
      <c r="H125" s="31"/>
      <c r="I125" s="31"/>
      <c r="J125" s="31"/>
      <c r="K125" s="31"/>
      <c r="L125" s="31"/>
      <c r="M125" s="31"/>
      <c r="N125" s="31"/>
      <c r="O125" s="31"/>
      <c r="P125" s="31"/>
      <c r="Q125" s="31"/>
      <c r="R125" s="31"/>
      <c r="S125" s="32"/>
      <c r="T125" s="30"/>
      <c r="U125" s="31"/>
      <c r="V125" s="31"/>
      <c r="W125" s="31"/>
      <c r="X125" s="31"/>
      <c r="Y125" s="31"/>
      <c r="Z125" s="31"/>
      <c r="AA125" s="31"/>
      <c r="AB125" s="31"/>
      <c r="AC125" s="31"/>
      <c r="AD125" s="31"/>
      <c r="AE125" s="31"/>
      <c r="AF125" s="31"/>
      <c r="AG125" s="31"/>
      <c r="AH125" s="31"/>
      <c r="AI125" s="31"/>
      <c r="AJ125" s="31"/>
      <c r="AK125" s="31"/>
      <c r="AL125" s="32"/>
      <c r="AM125" s="30"/>
      <c r="AN125" s="31"/>
      <c r="AO125" s="31"/>
      <c r="AP125" s="31"/>
      <c r="AQ125" s="31"/>
      <c r="AR125" s="31"/>
      <c r="AS125" s="31"/>
      <c r="AT125" s="31"/>
      <c r="AU125" s="31"/>
      <c r="AV125" s="31"/>
      <c r="AW125" s="31"/>
      <c r="AX125" s="31"/>
      <c r="AY125" s="31"/>
      <c r="AZ125" s="31"/>
      <c r="BA125" s="31"/>
      <c r="BB125" s="31"/>
      <c r="BC125" s="31"/>
      <c r="BD125" s="31"/>
      <c r="BE125" s="32"/>
      <c r="BF125" s="30"/>
      <c r="BG125" s="31"/>
      <c r="BH125" s="31"/>
      <c r="BI125" s="31"/>
      <c r="BJ125" s="31"/>
      <c r="BK125" s="31"/>
      <c r="BL125" s="31"/>
      <c r="BM125" s="31"/>
      <c r="BN125" s="31"/>
      <c r="BO125" s="31"/>
      <c r="BP125" s="31"/>
      <c r="BQ125" s="31"/>
      <c r="BR125" s="31"/>
      <c r="BS125" s="31"/>
      <c r="BT125" s="31"/>
      <c r="BU125" s="31"/>
      <c r="BV125" s="31"/>
      <c r="BW125" s="31"/>
      <c r="BX125" s="32"/>
      <c r="BY125" s="31"/>
      <c r="BZ125" s="31"/>
      <c r="CA125" s="31"/>
      <c r="CB125" s="31"/>
      <c r="CC125" s="31"/>
      <c r="CD125" s="31"/>
      <c r="CE125" s="31"/>
      <c r="CF125" s="31"/>
      <c r="CG125" s="31"/>
      <c r="CH125" s="31"/>
      <c r="CI125" s="31"/>
      <c r="CJ125" s="31"/>
      <c r="CK125" s="31"/>
      <c r="CL125" s="31"/>
      <c r="CM125" s="31"/>
      <c r="CN125" s="31"/>
      <c r="CO125" s="31"/>
      <c r="CP125" s="31"/>
      <c r="CQ125" s="32"/>
    </row>
    <row r="126" spans="1:95" x14ac:dyDescent="0.2">
      <c r="A126" s="30"/>
      <c r="B126" s="31"/>
      <c r="C126" s="31"/>
      <c r="D126" s="31"/>
      <c r="E126" s="31"/>
      <c r="F126" s="31"/>
      <c r="G126" s="31"/>
      <c r="H126" s="31"/>
      <c r="I126" s="31"/>
      <c r="J126" s="31"/>
      <c r="K126" s="31"/>
      <c r="L126" s="31"/>
      <c r="M126" s="31"/>
      <c r="N126" s="31"/>
      <c r="O126" s="31"/>
      <c r="P126" s="31"/>
      <c r="Q126" s="31"/>
      <c r="R126" s="31"/>
      <c r="S126" s="32"/>
      <c r="T126" s="30"/>
      <c r="U126" s="31"/>
      <c r="V126" s="31"/>
      <c r="W126" s="31"/>
      <c r="X126" s="31"/>
      <c r="Y126" s="31"/>
      <c r="Z126" s="31"/>
      <c r="AA126" s="31"/>
      <c r="AB126" s="31"/>
      <c r="AC126" s="31"/>
      <c r="AD126" s="31"/>
      <c r="AE126" s="31"/>
      <c r="AF126" s="31"/>
      <c r="AG126" s="31"/>
      <c r="AH126" s="31"/>
      <c r="AI126" s="31"/>
      <c r="AJ126" s="31"/>
      <c r="AK126" s="31"/>
      <c r="AL126" s="32"/>
      <c r="AM126" s="30"/>
      <c r="AN126" s="31"/>
      <c r="AO126" s="31"/>
      <c r="AP126" s="31"/>
      <c r="AQ126" s="31"/>
      <c r="AR126" s="31"/>
      <c r="AS126" s="31"/>
      <c r="AT126" s="31"/>
      <c r="AU126" s="31"/>
      <c r="AV126" s="31"/>
      <c r="AW126" s="31"/>
      <c r="AX126" s="31"/>
      <c r="AY126" s="31"/>
      <c r="AZ126" s="31"/>
      <c r="BA126" s="31"/>
      <c r="BB126" s="31"/>
      <c r="BC126" s="31"/>
      <c r="BD126" s="31"/>
      <c r="BE126" s="32"/>
      <c r="BF126" s="30"/>
      <c r="BG126" s="31"/>
      <c r="BH126" s="31"/>
      <c r="BI126" s="31"/>
      <c r="BJ126" s="31"/>
      <c r="BK126" s="31"/>
      <c r="BL126" s="31"/>
      <c r="BM126" s="31"/>
      <c r="BN126" s="31"/>
      <c r="BO126" s="31"/>
      <c r="BP126" s="31"/>
      <c r="BQ126" s="31"/>
      <c r="BR126" s="31"/>
      <c r="BS126" s="31"/>
      <c r="BT126" s="31"/>
      <c r="BU126" s="31"/>
      <c r="BV126" s="31"/>
      <c r="BW126" s="31"/>
      <c r="BX126" s="32"/>
      <c r="BY126" s="31"/>
      <c r="BZ126" s="31"/>
      <c r="CA126" s="31"/>
      <c r="CB126" s="31"/>
      <c r="CC126" s="31"/>
      <c r="CD126" s="31"/>
      <c r="CE126" s="31"/>
      <c r="CF126" s="31"/>
      <c r="CG126" s="31"/>
      <c r="CH126" s="31"/>
      <c r="CI126" s="31"/>
      <c r="CJ126" s="31"/>
      <c r="CK126" s="31"/>
      <c r="CL126" s="31"/>
      <c r="CM126" s="31"/>
      <c r="CN126" s="31"/>
      <c r="CO126" s="31"/>
      <c r="CP126" s="31"/>
      <c r="CQ126" s="32"/>
    </row>
    <row r="127" spans="1:95" x14ac:dyDescent="0.2">
      <c r="A127" s="30"/>
      <c r="B127" s="31"/>
      <c r="C127" s="31"/>
      <c r="D127" s="31"/>
      <c r="E127" s="31"/>
      <c r="F127" s="31"/>
      <c r="G127" s="31"/>
      <c r="H127" s="31"/>
      <c r="I127" s="31"/>
      <c r="J127" s="31"/>
      <c r="K127" s="31"/>
      <c r="L127" s="31"/>
      <c r="M127" s="31"/>
      <c r="N127" s="31"/>
      <c r="O127" s="31"/>
      <c r="P127" s="31"/>
      <c r="Q127" s="31"/>
      <c r="R127" s="31"/>
      <c r="S127" s="32"/>
      <c r="T127" s="30"/>
      <c r="U127" s="31"/>
      <c r="V127" s="31"/>
      <c r="W127" s="31"/>
      <c r="X127" s="31"/>
      <c r="Y127" s="31"/>
      <c r="Z127" s="31"/>
      <c r="AA127" s="31"/>
      <c r="AB127" s="31"/>
      <c r="AC127" s="31"/>
      <c r="AD127" s="31"/>
      <c r="AE127" s="31"/>
      <c r="AF127" s="31"/>
      <c r="AG127" s="31"/>
      <c r="AH127" s="31"/>
      <c r="AI127" s="31"/>
      <c r="AJ127" s="31"/>
      <c r="AK127" s="31"/>
      <c r="AL127" s="32"/>
      <c r="AM127" s="30"/>
      <c r="AN127" s="31"/>
      <c r="AO127" s="31"/>
      <c r="AP127" s="31"/>
      <c r="AQ127" s="31"/>
      <c r="AR127" s="31"/>
      <c r="AS127" s="31"/>
      <c r="AT127" s="31"/>
      <c r="AU127" s="31"/>
      <c r="AV127" s="31"/>
      <c r="AW127" s="31"/>
      <c r="AX127" s="31"/>
      <c r="AY127" s="31"/>
      <c r="AZ127" s="31"/>
      <c r="BA127" s="31"/>
      <c r="BB127" s="31"/>
      <c r="BC127" s="31"/>
      <c r="BD127" s="31"/>
      <c r="BE127" s="32"/>
      <c r="BF127" s="30"/>
      <c r="BG127" s="31"/>
      <c r="BH127" s="31"/>
      <c r="BI127" s="31"/>
      <c r="BJ127" s="31"/>
      <c r="BK127" s="31"/>
      <c r="BL127" s="31"/>
      <c r="BM127" s="31"/>
      <c r="BN127" s="31"/>
      <c r="BO127" s="31"/>
      <c r="BP127" s="31"/>
      <c r="BQ127" s="31"/>
      <c r="BR127" s="31"/>
      <c r="BS127" s="31"/>
      <c r="BT127" s="31"/>
      <c r="BU127" s="31"/>
      <c r="BV127" s="31"/>
      <c r="BW127" s="31"/>
      <c r="BX127" s="32"/>
      <c r="BY127" s="31"/>
      <c r="BZ127" s="31"/>
      <c r="CA127" s="31"/>
      <c r="CB127" s="31"/>
      <c r="CC127" s="31"/>
      <c r="CD127" s="31"/>
      <c r="CE127" s="31"/>
      <c r="CF127" s="31"/>
      <c r="CG127" s="31"/>
      <c r="CH127" s="31"/>
      <c r="CI127" s="31"/>
      <c r="CJ127" s="31"/>
      <c r="CK127" s="31"/>
      <c r="CL127" s="31"/>
      <c r="CM127" s="31"/>
      <c r="CN127" s="31"/>
      <c r="CO127" s="31"/>
      <c r="CP127" s="31"/>
      <c r="CQ127" s="32"/>
    </row>
    <row r="128" spans="1:95" x14ac:dyDescent="0.2">
      <c r="A128" s="30"/>
      <c r="B128" s="31"/>
      <c r="C128" s="31"/>
      <c r="D128" s="31"/>
      <c r="E128" s="31"/>
      <c r="F128" s="31"/>
      <c r="G128" s="31"/>
      <c r="H128" s="31"/>
      <c r="I128" s="31"/>
      <c r="J128" s="31"/>
      <c r="K128" s="31"/>
      <c r="L128" s="31"/>
      <c r="M128" s="31"/>
      <c r="N128" s="31"/>
      <c r="O128" s="31"/>
      <c r="P128" s="31"/>
      <c r="Q128" s="31"/>
      <c r="R128" s="31"/>
      <c r="S128" s="32"/>
      <c r="T128" s="30"/>
      <c r="U128" s="31"/>
      <c r="V128" s="31"/>
      <c r="W128" s="31"/>
      <c r="X128" s="31"/>
      <c r="Y128" s="31"/>
      <c r="Z128" s="31"/>
      <c r="AA128" s="31"/>
      <c r="AB128" s="31"/>
      <c r="AC128" s="31"/>
      <c r="AD128" s="31"/>
      <c r="AE128" s="31"/>
      <c r="AF128" s="31"/>
      <c r="AG128" s="31"/>
      <c r="AH128" s="31"/>
      <c r="AI128" s="31"/>
      <c r="AJ128" s="31"/>
      <c r="AK128" s="31"/>
      <c r="AL128" s="32"/>
      <c r="AM128" s="30"/>
      <c r="AN128" s="31"/>
      <c r="AO128" s="31"/>
      <c r="AP128" s="31"/>
      <c r="AQ128" s="31"/>
      <c r="AR128" s="31"/>
      <c r="AS128" s="31"/>
      <c r="AT128" s="31"/>
      <c r="AU128" s="31"/>
      <c r="AV128" s="31"/>
      <c r="AW128" s="31"/>
      <c r="AX128" s="31"/>
      <c r="AY128" s="31"/>
      <c r="AZ128" s="31"/>
      <c r="BA128" s="31"/>
      <c r="BB128" s="31"/>
      <c r="BC128" s="31"/>
      <c r="BD128" s="31"/>
      <c r="BE128" s="32"/>
      <c r="BF128" s="30"/>
      <c r="BG128" s="31"/>
      <c r="BH128" s="31"/>
      <c r="BI128" s="31"/>
      <c r="BJ128" s="31"/>
      <c r="BK128" s="31"/>
      <c r="BL128" s="31"/>
      <c r="BM128" s="31"/>
      <c r="BN128" s="31"/>
      <c r="BO128" s="31"/>
      <c r="BP128" s="31"/>
      <c r="BQ128" s="31"/>
      <c r="BR128" s="31"/>
      <c r="BS128" s="31"/>
      <c r="BT128" s="31"/>
      <c r="BU128" s="31"/>
      <c r="BV128" s="31"/>
      <c r="BW128" s="31"/>
      <c r="BX128" s="32"/>
      <c r="BY128" s="31"/>
      <c r="BZ128" s="31"/>
      <c r="CA128" s="31"/>
      <c r="CB128" s="31"/>
      <c r="CC128" s="31"/>
      <c r="CD128" s="31"/>
      <c r="CE128" s="31"/>
      <c r="CF128" s="31"/>
      <c r="CG128" s="31"/>
      <c r="CH128" s="31"/>
      <c r="CI128" s="31"/>
      <c r="CJ128" s="31"/>
      <c r="CK128" s="31"/>
      <c r="CL128" s="31"/>
      <c r="CM128" s="31"/>
      <c r="CN128" s="31"/>
      <c r="CO128" s="31"/>
      <c r="CP128" s="31"/>
      <c r="CQ128" s="32"/>
    </row>
    <row r="129" spans="1:95" x14ac:dyDescent="0.2">
      <c r="A129" s="30"/>
      <c r="B129" s="31"/>
      <c r="C129" s="31"/>
      <c r="D129" s="31"/>
      <c r="E129" s="31"/>
      <c r="F129" s="31"/>
      <c r="G129" s="31"/>
      <c r="H129" s="31"/>
      <c r="I129" s="31"/>
      <c r="J129" s="31"/>
      <c r="K129" s="31"/>
      <c r="L129" s="31"/>
      <c r="M129" s="31"/>
      <c r="N129" s="31"/>
      <c r="O129" s="31"/>
      <c r="P129" s="31"/>
      <c r="Q129" s="31"/>
      <c r="R129" s="31"/>
      <c r="S129" s="32"/>
      <c r="T129" s="30"/>
      <c r="U129" s="31"/>
      <c r="V129" s="31"/>
      <c r="W129" s="31"/>
      <c r="X129" s="31"/>
      <c r="Y129" s="31"/>
      <c r="Z129" s="31"/>
      <c r="AA129" s="31"/>
      <c r="AB129" s="31"/>
      <c r="AC129" s="31"/>
      <c r="AD129" s="31"/>
      <c r="AE129" s="31"/>
      <c r="AF129" s="31"/>
      <c r="AG129" s="31"/>
      <c r="AH129" s="31"/>
      <c r="AI129" s="31"/>
      <c r="AJ129" s="31"/>
      <c r="AK129" s="31"/>
      <c r="AL129" s="32"/>
      <c r="AM129" s="30"/>
      <c r="AN129" s="31"/>
      <c r="AO129" s="31"/>
      <c r="AP129" s="31"/>
      <c r="AQ129" s="31"/>
      <c r="AR129" s="31"/>
      <c r="AS129" s="31"/>
      <c r="AT129" s="31"/>
      <c r="AU129" s="31"/>
      <c r="AV129" s="31"/>
      <c r="AW129" s="31"/>
      <c r="AX129" s="31"/>
      <c r="AY129" s="31"/>
      <c r="AZ129" s="31"/>
      <c r="BA129" s="31"/>
      <c r="BB129" s="31"/>
      <c r="BC129" s="31"/>
      <c r="BD129" s="31"/>
      <c r="BE129" s="32"/>
      <c r="BF129" s="30"/>
      <c r="BG129" s="31"/>
      <c r="BH129" s="31"/>
      <c r="BI129" s="31"/>
      <c r="BJ129" s="31"/>
      <c r="BK129" s="31"/>
      <c r="BL129" s="31"/>
      <c r="BM129" s="31"/>
      <c r="BN129" s="31"/>
      <c r="BO129" s="31"/>
      <c r="BP129" s="31"/>
      <c r="BQ129" s="31"/>
      <c r="BR129" s="31"/>
      <c r="BS129" s="31"/>
      <c r="BT129" s="31"/>
      <c r="BU129" s="31"/>
      <c r="BV129" s="31"/>
      <c r="BW129" s="31"/>
      <c r="BX129" s="32"/>
      <c r="BY129" s="31"/>
      <c r="BZ129" s="31"/>
      <c r="CA129" s="31"/>
      <c r="CB129" s="31"/>
      <c r="CC129" s="31"/>
      <c r="CD129" s="31"/>
      <c r="CE129" s="31"/>
      <c r="CF129" s="31"/>
      <c r="CG129" s="31"/>
      <c r="CH129" s="31"/>
      <c r="CI129" s="31"/>
      <c r="CJ129" s="31"/>
      <c r="CK129" s="31"/>
      <c r="CL129" s="31"/>
      <c r="CM129" s="31"/>
      <c r="CN129" s="31"/>
      <c r="CO129" s="31"/>
      <c r="CP129" s="31"/>
      <c r="CQ129" s="32"/>
    </row>
    <row r="130" spans="1:95" x14ac:dyDescent="0.2">
      <c r="A130" s="30"/>
      <c r="B130" s="31"/>
      <c r="C130" s="31"/>
      <c r="D130" s="31"/>
      <c r="E130" s="31"/>
      <c r="F130" s="31"/>
      <c r="G130" s="31"/>
      <c r="H130" s="31"/>
      <c r="I130" s="31"/>
      <c r="J130" s="31"/>
      <c r="K130" s="31"/>
      <c r="L130" s="31"/>
      <c r="M130" s="31"/>
      <c r="N130" s="31"/>
      <c r="O130" s="31"/>
      <c r="P130" s="31"/>
      <c r="Q130" s="31"/>
      <c r="R130" s="31"/>
      <c r="S130" s="32"/>
      <c r="T130" s="30"/>
      <c r="U130" s="31"/>
      <c r="V130" s="31"/>
      <c r="W130" s="31"/>
      <c r="X130" s="31"/>
      <c r="Y130" s="31"/>
      <c r="Z130" s="31"/>
      <c r="AA130" s="31"/>
      <c r="AB130" s="31"/>
      <c r="AC130" s="31"/>
      <c r="AD130" s="31"/>
      <c r="AE130" s="31"/>
      <c r="AF130" s="31"/>
      <c r="AG130" s="31"/>
      <c r="AH130" s="31"/>
      <c r="AI130" s="31"/>
      <c r="AJ130" s="31"/>
      <c r="AK130" s="31"/>
      <c r="AL130" s="32"/>
      <c r="AM130" s="30"/>
      <c r="AN130" s="31"/>
      <c r="AO130" s="31"/>
      <c r="AP130" s="31"/>
      <c r="AQ130" s="31"/>
      <c r="AR130" s="31"/>
      <c r="AS130" s="31"/>
      <c r="AT130" s="31"/>
      <c r="AU130" s="31"/>
      <c r="AV130" s="31"/>
      <c r="AW130" s="31"/>
      <c r="AX130" s="31"/>
      <c r="AY130" s="31"/>
      <c r="AZ130" s="31"/>
      <c r="BA130" s="31"/>
      <c r="BB130" s="31"/>
      <c r="BC130" s="31"/>
      <c r="BD130" s="31"/>
      <c r="BE130" s="32"/>
      <c r="BF130" s="30"/>
      <c r="BG130" s="31"/>
      <c r="BH130" s="31"/>
      <c r="BI130" s="31"/>
      <c r="BJ130" s="31"/>
      <c r="BK130" s="31"/>
      <c r="BL130" s="31"/>
      <c r="BM130" s="31"/>
      <c r="BN130" s="31"/>
      <c r="BO130" s="31"/>
      <c r="BP130" s="31"/>
      <c r="BQ130" s="31"/>
      <c r="BR130" s="31"/>
      <c r="BS130" s="31"/>
      <c r="BT130" s="31"/>
      <c r="BU130" s="31"/>
      <c r="BV130" s="31"/>
      <c r="BW130" s="31"/>
      <c r="BX130" s="32"/>
      <c r="BY130" s="31"/>
      <c r="BZ130" s="31"/>
      <c r="CA130" s="31"/>
      <c r="CB130" s="31"/>
      <c r="CC130" s="31"/>
      <c r="CD130" s="31"/>
      <c r="CE130" s="31"/>
      <c r="CF130" s="31"/>
      <c r="CG130" s="31"/>
      <c r="CH130" s="31"/>
      <c r="CI130" s="31"/>
      <c r="CJ130" s="31"/>
      <c r="CK130" s="31"/>
      <c r="CL130" s="31"/>
      <c r="CM130" s="31"/>
      <c r="CN130" s="31"/>
      <c r="CO130" s="31"/>
      <c r="CP130" s="31"/>
      <c r="CQ130" s="32"/>
    </row>
    <row r="131" spans="1:95" x14ac:dyDescent="0.2">
      <c r="A131" s="30"/>
      <c r="B131" s="31"/>
      <c r="C131" s="31"/>
      <c r="D131" s="31"/>
      <c r="E131" s="31"/>
      <c r="F131" s="31"/>
      <c r="G131" s="31"/>
      <c r="H131" s="31"/>
      <c r="I131" s="31"/>
      <c r="J131" s="31"/>
      <c r="K131" s="31"/>
      <c r="L131" s="31"/>
      <c r="M131" s="31"/>
      <c r="N131" s="31"/>
      <c r="O131" s="31"/>
      <c r="P131" s="31"/>
      <c r="Q131" s="31"/>
      <c r="R131" s="31"/>
      <c r="S131" s="32"/>
      <c r="T131" s="30"/>
      <c r="U131" s="31"/>
      <c r="V131" s="31"/>
      <c r="W131" s="31"/>
      <c r="X131" s="31"/>
      <c r="Y131" s="31"/>
      <c r="Z131" s="31"/>
      <c r="AA131" s="31"/>
      <c r="AB131" s="31"/>
      <c r="AC131" s="31"/>
      <c r="AD131" s="31"/>
      <c r="AE131" s="31"/>
      <c r="AF131" s="31"/>
      <c r="AG131" s="31"/>
      <c r="AH131" s="31"/>
      <c r="AI131" s="31"/>
      <c r="AJ131" s="31"/>
      <c r="AK131" s="31"/>
      <c r="AL131" s="32"/>
      <c r="AM131" s="30"/>
      <c r="AN131" s="31"/>
      <c r="AO131" s="31"/>
      <c r="AP131" s="31"/>
      <c r="AQ131" s="31"/>
      <c r="AR131" s="31"/>
      <c r="AS131" s="31"/>
      <c r="AT131" s="31"/>
      <c r="AU131" s="31"/>
      <c r="AV131" s="31"/>
      <c r="AW131" s="31"/>
      <c r="AX131" s="31"/>
      <c r="AY131" s="31"/>
      <c r="AZ131" s="31"/>
      <c r="BA131" s="31"/>
      <c r="BB131" s="31"/>
      <c r="BC131" s="31"/>
      <c r="BD131" s="31"/>
      <c r="BE131" s="32"/>
      <c r="BF131" s="30"/>
      <c r="BG131" s="31"/>
      <c r="BH131" s="31"/>
      <c r="BI131" s="31"/>
      <c r="BJ131" s="31"/>
      <c r="BK131" s="31"/>
      <c r="BL131" s="31"/>
      <c r="BM131" s="31"/>
      <c r="BN131" s="31"/>
      <c r="BO131" s="31"/>
      <c r="BP131" s="31"/>
      <c r="BQ131" s="31"/>
      <c r="BR131" s="31"/>
      <c r="BS131" s="31"/>
      <c r="BT131" s="31"/>
      <c r="BU131" s="31"/>
      <c r="BV131" s="31"/>
      <c r="BW131" s="31"/>
      <c r="BX131" s="32"/>
      <c r="BY131" s="31"/>
      <c r="BZ131" s="31"/>
      <c r="CA131" s="31"/>
      <c r="CB131" s="31"/>
      <c r="CC131" s="31"/>
      <c r="CD131" s="31"/>
      <c r="CE131" s="31"/>
      <c r="CF131" s="31"/>
      <c r="CG131" s="31"/>
      <c r="CH131" s="31"/>
      <c r="CI131" s="31"/>
      <c r="CJ131" s="31"/>
      <c r="CK131" s="31"/>
      <c r="CL131" s="31"/>
      <c r="CM131" s="31"/>
      <c r="CN131" s="31"/>
      <c r="CO131" s="31"/>
      <c r="CP131" s="31"/>
      <c r="CQ131" s="32"/>
    </row>
    <row r="132" spans="1:95" x14ac:dyDescent="0.2">
      <c r="A132" s="30"/>
      <c r="B132" s="31"/>
      <c r="C132" s="31"/>
      <c r="D132" s="31"/>
      <c r="E132" s="31"/>
      <c r="F132" s="31"/>
      <c r="G132" s="31"/>
      <c r="H132" s="31"/>
      <c r="I132" s="31"/>
      <c r="J132" s="31"/>
      <c r="K132" s="31"/>
      <c r="L132" s="31"/>
      <c r="M132" s="31"/>
      <c r="N132" s="31"/>
      <c r="O132" s="31"/>
      <c r="P132" s="31"/>
      <c r="Q132" s="31"/>
      <c r="R132" s="31"/>
      <c r="S132" s="32"/>
      <c r="T132" s="30"/>
      <c r="U132" s="31"/>
      <c r="V132" s="31"/>
      <c r="W132" s="31"/>
      <c r="X132" s="31"/>
      <c r="Y132" s="31"/>
      <c r="Z132" s="31"/>
      <c r="AA132" s="31"/>
      <c r="AB132" s="31"/>
      <c r="AC132" s="31"/>
      <c r="AD132" s="31"/>
      <c r="AE132" s="31"/>
      <c r="AF132" s="31"/>
      <c r="AG132" s="31"/>
      <c r="AH132" s="31"/>
      <c r="AI132" s="31"/>
      <c r="AJ132" s="31"/>
      <c r="AK132" s="31"/>
      <c r="AL132" s="32"/>
      <c r="AM132" s="30"/>
      <c r="AN132" s="31"/>
      <c r="AO132" s="31"/>
      <c r="AP132" s="31"/>
      <c r="AQ132" s="31"/>
      <c r="AR132" s="31"/>
      <c r="AS132" s="31"/>
      <c r="AT132" s="31"/>
      <c r="AU132" s="31"/>
      <c r="AV132" s="31"/>
      <c r="AW132" s="31"/>
      <c r="AX132" s="31"/>
      <c r="AY132" s="31"/>
      <c r="AZ132" s="31"/>
      <c r="BA132" s="31"/>
      <c r="BB132" s="31"/>
      <c r="BC132" s="31"/>
      <c r="BD132" s="31"/>
      <c r="BE132" s="32"/>
      <c r="BF132" s="30"/>
      <c r="BG132" s="31"/>
      <c r="BH132" s="31"/>
      <c r="BI132" s="31"/>
      <c r="BJ132" s="31"/>
      <c r="BK132" s="31"/>
      <c r="BL132" s="31"/>
      <c r="BM132" s="31"/>
      <c r="BN132" s="31"/>
      <c r="BO132" s="31"/>
      <c r="BP132" s="31"/>
      <c r="BQ132" s="31"/>
      <c r="BR132" s="31"/>
      <c r="BS132" s="31"/>
      <c r="BT132" s="31"/>
      <c r="BU132" s="31"/>
      <c r="BV132" s="31"/>
      <c r="BW132" s="31"/>
      <c r="BX132" s="32"/>
      <c r="BY132" s="31"/>
      <c r="BZ132" s="31"/>
      <c r="CA132" s="31"/>
      <c r="CB132" s="31"/>
      <c r="CC132" s="31"/>
      <c r="CD132" s="31"/>
      <c r="CE132" s="31"/>
      <c r="CF132" s="31"/>
      <c r="CG132" s="31"/>
      <c r="CH132" s="31"/>
      <c r="CI132" s="31"/>
      <c r="CJ132" s="31"/>
      <c r="CK132" s="31"/>
      <c r="CL132" s="31"/>
      <c r="CM132" s="31"/>
      <c r="CN132" s="31"/>
      <c r="CO132" s="31"/>
      <c r="CP132" s="31"/>
      <c r="CQ132" s="32"/>
    </row>
    <row r="133" spans="1:95" x14ac:dyDescent="0.2">
      <c r="A133" s="30"/>
      <c r="B133" s="31"/>
      <c r="C133" s="31"/>
      <c r="D133" s="31"/>
      <c r="E133" s="31"/>
      <c r="F133" s="31"/>
      <c r="G133" s="31"/>
      <c r="H133" s="31"/>
      <c r="I133" s="31"/>
      <c r="J133" s="31"/>
      <c r="K133" s="31"/>
      <c r="L133" s="31"/>
      <c r="M133" s="31"/>
      <c r="N133" s="31"/>
      <c r="O133" s="31"/>
      <c r="P133" s="31"/>
      <c r="Q133" s="31"/>
      <c r="R133" s="31"/>
      <c r="S133" s="32"/>
      <c r="T133" s="30"/>
      <c r="U133" s="31"/>
      <c r="V133" s="31"/>
      <c r="W133" s="31"/>
      <c r="X133" s="31"/>
      <c r="Y133" s="31"/>
      <c r="Z133" s="31"/>
      <c r="AA133" s="31"/>
      <c r="AB133" s="31"/>
      <c r="AC133" s="31"/>
      <c r="AD133" s="31"/>
      <c r="AE133" s="31"/>
      <c r="AF133" s="31"/>
      <c r="AG133" s="31"/>
      <c r="AH133" s="31"/>
      <c r="AI133" s="31"/>
      <c r="AJ133" s="31"/>
      <c r="AK133" s="31"/>
      <c r="AL133" s="32"/>
      <c r="AM133" s="30"/>
      <c r="AN133" s="31"/>
      <c r="AO133" s="31"/>
      <c r="AP133" s="31"/>
      <c r="AQ133" s="31"/>
      <c r="AR133" s="31"/>
      <c r="AS133" s="31"/>
      <c r="AT133" s="31"/>
      <c r="AU133" s="31"/>
      <c r="AV133" s="31"/>
      <c r="AW133" s="31"/>
      <c r="AX133" s="31"/>
      <c r="AY133" s="31"/>
      <c r="AZ133" s="31"/>
      <c r="BA133" s="31"/>
      <c r="BB133" s="31"/>
      <c r="BC133" s="31"/>
      <c r="BD133" s="31"/>
      <c r="BE133" s="32"/>
      <c r="BF133" s="30"/>
      <c r="BG133" s="31"/>
      <c r="BH133" s="31"/>
      <c r="BI133" s="31"/>
      <c r="BJ133" s="31"/>
      <c r="BK133" s="31"/>
      <c r="BL133" s="31"/>
      <c r="BM133" s="31"/>
      <c r="BN133" s="31"/>
      <c r="BO133" s="31"/>
      <c r="BP133" s="31"/>
      <c r="BQ133" s="31"/>
      <c r="BR133" s="31"/>
      <c r="BS133" s="31"/>
      <c r="BT133" s="31"/>
      <c r="BU133" s="31"/>
      <c r="BV133" s="31"/>
      <c r="BW133" s="31"/>
      <c r="BX133" s="32"/>
      <c r="BY133" s="31"/>
      <c r="BZ133" s="31"/>
      <c r="CA133" s="31"/>
      <c r="CB133" s="31"/>
      <c r="CC133" s="31"/>
      <c r="CD133" s="31"/>
      <c r="CE133" s="31"/>
      <c r="CF133" s="31"/>
      <c r="CG133" s="31"/>
      <c r="CH133" s="31"/>
      <c r="CI133" s="31"/>
      <c r="CJ133" s="31"/>
      <c r="CK133" s="31"/>
      <c r="CL133" s="31"/>
      <c r="CM133" s="31"/>
      <c r="CN133" s="31"/>
      <c r="CO133" s="31"/>
      <c r="CP133" s="31"/>
      <c r="CQ133" s="32"/>
    </row>
    <row r="134" spans="1:95" x14ac:dyDescent="0.2">
      <c r="A134" s="30"/>
      <c r="B134" s="31"/>
      <c r="C134" s="31"/>
      <c r="D134" s="31"/>
      <c r="E134" s="31"/>
      <c r="F134" s="31"/>
      <c r="G134" s="31"/>
      <c r="H134" s="31"/>
      <c r="I134" s="31"/>
      <c r="J134" s="31"/>
      <c r="K134" s="31"/>
      <c r="L134" s="31"/>
      <c r="M134" s="31"/>
      <c r="N134" s="31"/>
      <c r="O134" s="31"/>
      <c r="P134" s="31"/>
      <c r="Q134" s="31"/>
      <c r="R134" s="31"/>
      <c r="S134" s="32"/>
      <c r="T134" s="30"/>
      <c r="U134" s="31"/>
      <c r="V134" s="31"/>
      <c r="W134" s="31"/>
      <c r="X134" s="31"/>
      <c r="Y134" s="31"/>
      <c r="Z134" s="31"/>
      <c r="AA134" s="31"/>
      <c r="AB134" s="31"/>
      <c r="AC134" s="31"/>
      <c r="AD134" s="31"/>
      <c r="AE134" s="31"/>
      <c r="AF134" s="31"/>
      <c r="AG134" s="31"/>
      <c r="AH134" s="31"/>
      <c r="AI134" s="31"/>
      <c r="AJ134" s="31"/>
      <c r="AK134" s="31"/>
      <c r="AL134" s="32"/>
      <c r="AM134" s="30"/>
      <c r="AN134" s="31"/>
      <c r="AO134" s="31"/>
      <c r="AP134" s="31"/>
      <c r="AQ134" s="31"/>
      <c r="AR134" s="31"/>
      <c r="AS134" s="31"/>
      <c r="AT134" s="31"/>
      <c r="AU134" s="31"/>
      <c r="AV134" s="31"/>
      <c r="AW134" s="31"/>
      <c r="AX134" s="31"/>
      <c r="AY134" s="31"/>
      <c r="AZ134" s="31"/>
      <c r="BA134" s="31"/>
      <c r="BB134" s="31"/>
      <c r="BC134" s="31"/>
      <c r="BD134" s="31"/>
      <c r="BE134" s="32"/>
      <c r="BF134" s="30"/>
      <c r="BG134" s="31"/>
      <c r="BH134" s="31"/>
      <c r="BI134" s="31"/>
      <c r="BJ134" s="31"/>
      <c r="BK134" s="31"/>
      <c r="BL134" s="31"/>
      <c r="BM134" s="31"/>
      <c r="BN134" s="31"/>
      <c r="BO134" s="31"/>
      <c r="BP134" s="31"/>
      <c r="BQ134" s="31"/>
      <c r="BR134" s="31"/>
      <c r="BS134" s="31"/>
      <c r="BT134" s="31"/>
      <c r="BU134" s="31"/>
      <c r="BV134" s="31"/>
      <c r="BW134" s="31"/>
      <c r="BX134" s="32"/>
      <c r="BY134" s="31"/>
      <c r="BZ134" s="31"/>
      <c r="CA134" s="31"/>
      <c r="CB134" s="31"/>
      <c r="CC134" s="31"/>
      <c r="CD134" s="31"/>
      <c r="CE134" s="31"/>
      <c r="CF134" s="31"/>
      <c r="CG134" s="31"/>
      <c r="CH134" s="31"/>
      <c r="CI134" s="31"/>
      <c r="CJ134" s="31"/>
      <c r="CK134" s="31"/>
      <c r="CL134" s="31"/>
      <c r="CM134" s="31"/>
      <c r="CN134" s="31"/>
      <c r="CO134" s="31"/>
      <c r="CP134" s="31"/>
      <c r="CQ134" s="32"/>
    </row>
    <row r="135" spans="1:95" x14ac:dyDescent="0.2">
      <c r="A135" s="30"/>
      <c r="B135" s="31"/>
      <c r="C135" s="31"/>
      <c r="D135" s="31"/>
      <c r="E135" s="31"/>
      <c r="F135" s="31"/>
      <c r="G135" s="31"/>
      <c r="H135" s="31"/>
      <c r="I135" s="31"/>
      <c r="J135" s="31"/>
      <c r="K135" s="31"/>
      <c r="L135" s="31"/>
      <c r="M135" s="31"/>
      <c r="N135" s="31"/>
      <c r="O135" s="31"/>
      <c r="P135" s="31"/>
      <c r="Q135" s="31"/>
      <c r="R135" s="31"/>
      <c r="S135" s="32"/>
      <c r="T135" s="30"/>
      <c r="U135" s="31"/>
      <c r="V135" s="31"/>
      <c r="W135" s="31"/>
      <c r="X135" s="31"/>
      <c r="Y135" s="31"/>
      <c r="Z135" s="31"/>
      <c r="AA135" s="31"/>
      <c r="AB135" s="31"/>
      <c r="AC135" s="31"/>
      <c r="AD135" s="31"/>
      <c r="AE135" s="31"/>
      <c r="AF135" s="31"/>
      <c r="AG135" s="31"/>
      <c r="AH135" s="31"/>
      <c r="AI135" s="31"/>
      <c r="AJ135" s="31"/>
      <c r="AK135" s="31"/>
      <c r="AL135" s="32"/>
      <c r="AM135" s="30"/>
      <c r="AN135" s="31"/>
      <c r="AO135" s="31"/>
      <c r="AP135" s="31"/>
      <c r="AQ135" s="31"/>
      <c r="AR135" s="31"/>
      <c r="AS135" s="31"/>
      <c r="AT135" s="31"/>
      <c r="AU135" s="31"/>
      <c r="AV135" s="31"/>
      <c r="AW135" s="31"/>
      <c r="AX135" s="31"/>
      <c r="AY135" s="31"/>
      <c r="AZ135" s="31"/>
      <c r="BA135" s="31"/>
      <c r="BB135" s="31"/>
      <c r="BC135" s="31"/>
      <c r="BD135" s="31"/>
      <c r="BE135" s="32"/>
      <c r="BF135" s="30"/>
      <c r="BG135" s="31"/>
      <c r="BH135" s="31"/>
      <c r="BI135" s="31"/>
      <c r="BJ135" s="31"/>
      <c r="BK135" s="31"/>
      <c r="BL135" s="31"/>
      <c r="BM135" s="31"/>
      <c r="BN135" s="31"/>
      <c r="BO135" s="31"/>
      <c r="BP135" s="31"/>
      <c r="BQ135" s="31"/>
      <c r="BR135" s="31"/>
      <c r="BS135" s="31"/>
      <c r="BT135" s="31"/>
      <c r="BU135" s="31"/>
      <c r="BV135" s="31"/>
      <c r="BW135" s="31"/>
      <c r="BX135" s="32"/>
      <c r="BY135" s="31"/>
      <c r="BZ135" s="31"/>
      <c r="CA135" s="31"/>
      <c r="CB135" s="31"/>
      <c r="CC135" s="31"/>
      <c r="CD135" s="31"/>
      <c r="CE135" s="31"/>
      <c r="CF135" s="31"/>
      <c r="CG135" s="31"/>
      <c r="CH135" s="31"/>
      <c r="CI135" s="31"/>
      <c r="CJ135" s="31"/>
      <c r="CK135" s="31"/>
      <c r="CL135" s="31"/>
      <c r="CM135" s="31"/>
      <c r="CN135" s="31"/>
      <c r="CO135" s="31"/>
      <c r="CP135" s="31"/>
      <c r="CQ135" s="32"/>
    </row>
    <row r="136" spans="1:95" x14ac:dyDescent="0.2">
      <c r="A136" s="30"/>
      <c r="B136" s="31"/>
      <c r="C136" s="31"/>
      <c r="D136" s="31"/>
      <c r="E136" s="31"/>
      <c r="F136" s="31"/>
      <c r="G136" s="31"/>
      <c r="H136" s="31"/>
      <c r="I136" s="31"/>
      <c r="J136" s="31"/>
      <c r="K136" s="31"/>
      <c r="L136" s="31"/>
      <c r="M136" s="31"/>
      <c r="N136" s="31"/>
      <c r="O136" s="31"/>
      <c r="P136" s="31"/>
      <c r="Q136" s="31"/>
      <c r="R136" s="31"/>
      <c r="S136" s="32"/>
      <c r="T136" s="30"/>
      <c r="U136" s="31"/>
      <c r="V136" s="31"/>
      <c r="W136" s="31"/>
      <c r="X136" s="31"/>
      <c r="Y136" s="31"/>
      <c r="Z136" s="31"/>
      <c r="AA136" s="31"/>
      <c r="AB136" s="31"/>
      <c r="AC136" s="31"/>
      <c r="AD136" s="31"/>
      <c r="AE136" s="31"/>
      <c r="AF136" s="31"/>
      <c r="AG136" s="31"/>
      <c r="AH136" s="31"/>
      <c r="AI136" s="31"/>
      <c r="AJ136" s="31"/>
      <c r="AK136" s="31"/>
      <c r="AL136" s="32"/>
      <c r="AM136" s="30"/>
      <c r="AN136" s="31"/>
      <c r="AO136" s="31"/>
      <c r="AP136" s="31"/>
      <c r="AQ136" s="31"/>
      <c r="AR136" s="31"/>
      <c r="AS136" s="31"/>
      <c r="AT136" s="31"/>
      <c r="AU136" s="31"/>
      <c r="AV136" s="31"/>
      <c r="AW136" s="31"/>
      <c r="AX136" s="31"/>
      <c r="AY136" s="31"/>
      <c r="AZ136" s="31"/>
      <c r="BA136" s="31"/>
      <c r="BB136" s="31"/>
      <c r="BC136" s="31"/>
      <c r="BD136" s="31"/>
      <c r="BE136" s="32"/>
      <c r="BF136" s="30"/>
      <c r="BG136" s="31"/>
      <c r="BH136" s="31"/>
      <c r="BI136" s="31"/>
      <c r="BJ136" s="31"/>
      <c r="BK136" s="31"/>
      <c r="BL136" s="31"/>
      <c r="BM136" s="31"/>
      <c r="BN136" s="31"/>
      <c r="BO136" s="31"/>
      <c r="BP136" s="31"/>
      <c r="BQ136" s="31"/>
      <c r="BR136" s="31"/>
      <c r="BS136" s="31"/>
      <c r="BT136" s="31"/>
      <c r="BU136" s="31"/>
      <c r="BV136" s="31"/>
      <c r="BW136" s="31"/>
      <c r="BX136" s="32"/>
      <c r="BY136" s="31"/>
      <c r="BZ136" s="31"/>
      <c r="CA136" s="31"/>
      <c r="CB136" s="31"/>
      <c r="CC136" s="31"/>
      <c r="CD136" s="31"/>
      <c r="CE136" s="31"/>
      <c r="CF136" s="31"/>
      <c r="CG136" s="31"/>
      <c r="CH136" s="31"/>
      <c r="CI136" s="31"/>
      <c r="CJ136" s="31"/>
      <c r="CK136" s="31"/>
      <c r="CL136" s="31"/>
      <c r="CM136" s="31"/>
      <c r="CN136" s="31"/>
      <c r="CO136" s="31"/>
      <c r="CP136" s="31"/>
      <c r="CQ136" s="32"/>
    </row>
    <row r="137" spans="1:95" x14ac:dyDescent="0.2">
      <c r="A137" s="30"/>
      <c r="B137" s="31"/>
      <c r="C137" s="31"/>
      <c r="D137" s="31"/>
      <c r="E137" s="31"/>
      <c r="F137" s="31"/>
      <c r="G137" s="31"/>
      <c r="H137" s="31"/>
      <c r="I137" s="31"/>
      <c r="J137" s="31"/>
      <c r="K137" s="31"/>
      <c r="L137" s="31"/>
      <c r="M137" s="31"/>
      <c r="N137" s="31"/>
      <c r="O137" s="31"/>
      <c r="P137" s="31"/>
      <c r="Q137" s="31"/>
      <c r="R137" s="31"/>
      <c r="S137" s="32"/>
      <c r="T137" s="30"/>
      <c r="U137" s="31"/>
      <c r="V137" s="31"/>
      <c r="W137" s="31"/>
      <c r="X137" s="31"/>
      <c r="Y137" s="31"/>
      <c r="Z137" s="31"/>
      <c r="AA137" s="31"/>
      <c r="AB137" s="31"/>
      <c r="AC137" s="31"/>
      <c r="AD137" s="31"/>
      <c r="AE137" s="31"/>
      <c r="AF137" s="31"/>
      <c r="AG137" s="31"/>
      <c r="AH137" s="31"/>
      <c r="AI137" s="31"/>
      <c r="AJ137" s="31"/>
      <c r="AK137" s="31"/>
      <c r="AL137" s="32"/>
      <c r="AM137" s="30"/>
      <c r="AN137" s="31"/>
      <c r="AO137" s="31"/>
      <c r="AP137" s="31"/>
      <c r="AQ137" s="31"/>
      <c r="AR137" s="31"/>
      <c r="AS137" s="31"/>
      <c r="AT137" s="31"/>
      <c r="AU137" s="31"/>
      <c r="AV137" s="31"/>
      <c r="AW137" s="31"/>
      <c r="AX137" s="31"/>
      <c r="AY137" s="31"/>
      <c r="AZ137" s="31"/>
      <c r="BA137" s="31"/>
      <c r="BB137" s="31"/>
      <c r="BC137" s="31"/>
      <c r="BD137" s="31"/>
      <c r="BE137" s="32"/>
      <c r="BF137" s="30"/>
      <c r="BG137" s="31"/>
      <c r="BH137" s="31"/>
      <c r="BI137" s="31"/>
      <c r="BJ137" s="31"/>
      <c r="BK137" s="31"/>
      <c r="BL137" s="31"/>
      <c r="BM137" s="31"/>
      <c r="BN137" s="31"/>
      <c r="BO137" s="31"/>
      <c r="BP137" s="31"/>
      <c r="BQ137" s="31"/>
      <c r="BR137" s="31"/>
      <c r="BS137" s="31"/>
      <c r="BT137" s="31"/>
      <c r="BU137" s="31"/>
      <c r="BV137" s="31"/>
      <c r="BW137" s="31"/>
      <c r="BX137" s="32"/>
      <c r="BY137" s="31"/>
      <c r="BZ137" s="31"/>
      <c r="CA137" s="31"/>
      <c r="CB137" s="31"/>
      <c r="CC137" s="31"/>
      <c r="CD137" s="31"/>
      <c r="CE137" s="31"/>
      <c r="CF137" s="31"/>
      <c r="CG137" s="31"/>
      <c r="CH137" s="31"/>
      <c r="CI137" s="31"/>
      <c r="CJ137" s="31"/>
      <c r="CK137" s="31"/>
      <c r="CL137" s="31"/>
      <c r="CM137" s="31"/>
      <c r="CN137" s="31"/>
      <c r="CO137" s="31"/>
      <c r="CP137" s="31"/>
      <c r="CQ137" s="32"/>
    </row>
    <row r="138" spans="1:95" x14ac:dyDescent="0.2">
      <c r="A138" s="30"/>
      <c r="B138" s="31"/>
      <c r="C138" s="31"/>
      <c r="D138" s="31"/>
      <c r="E138" s="31"/>
      <c r="F138" s="31"/>
      <c r="G138" s="31"/>
      <c r="H138" s="31"/>
      <c r="I138" s="31"/>
      <c r="J138" s="31"/>
      <c r="K138" s="31"/>
      <c r="L138" s="31"/>
      <c r="M138" s="31"/>
      <c r="N138" s="31"/>
      <c r="O138" s="31"/>
      <c r="P138" s="31"/>
      <c r="Q138" s="31"/>
      <c r="R138" s="31"/>
      <c r="S138" s="32"/>
      <c r="T138" s="30"/>
      <c r="U138" s="31"/>
      <c r="V138" s="31"/>
      <c r="W138" s="31"/>
      <c r="X138" s="31"/>
      <c r="Y138" s="31"/>
      <c r="Z138" s="31"/>
      <c r="AA138" s="31"/>
      <c r="AB138" s="31"/>
      <c r="AC138" s="31"/>
      <c r="AD138" s="31"/>
      <c r="AE138" s="31"/>
      <c r="AF138" s="31"/>
      <c r="AG138" s="31"/>
      <c r="AH138" s="31"/>
      <c r="AI138" s="31"/>
      <c r="AJ138" s="31"/>
      <c r="AK138" s="31"/>
      <c r="AL138" s="32"/>
      <c r="AM138" s="30"/>
      <c r="AN138" s="31"/>
      <c r="AO138" s="31"/>
      <c r="AP138" s="31"/>
      <c r="AQ138" s="31"/>
      <c r="AR138" s="31"/>
      <c r="AS138" s="31"/>
      <c r="AT138" s="31"/>
      <c r="AU138" s="31"/>
      <c r="AV138" s="31"/>
      <c r="AW138" s="31"/>
      <c r="AX138" s="31"/>
      <c r="AY138" s="31"/>
      <c r="AZ138" s="31"/>
      <c r="BA138" s="31"/>
      <c r="BB138" s="31"/>
      <c r="BC138" s="31"/>
      <c r="BD138" s="31"/>
      <c r="BE138" s="32"/>
      <c r="BF138" s="30"/>
      <c r="BG138" s="31"/>
      <c r="BH138" s="31"/>
      <c r="BI138" s="31"/>
      <c r="BJ138" s="31"/>
      <c r="BK138" s="31"/>
      <c r="BL138" s="31"/>
      <c r="BM138" s="31"/>
      <c r="BN138" s="31"/>
      <c r="BO138" s="31"/>
      <c r="BP138" s="31"/>
      <c r="BQ138" s="31"/>
      <c r="BR138" s="31"/>
      <c r="BS138" s="31"/>
      <c r="BT138" s="31"/>
      <c r="BU138" s="31"/>
      <c r="BV138" s="31"/>
      <c r="BW138" s="31"/>
      <c r="BX138" s="32"/>
      <c r="BY138" s="31"/>
      <c r="BZ138" s="31"/>
      <c r="CA138" s="31"/>
      <c r="CB138" s="31"/>
      <c r="CC138" s="31"/>
      <c r="CD138" s="31"/>
      <c r="CE138" s="31"/>
      <c r="CF138" s="31"/>
      <c r="CG138" s="31"/>
      <c r="CH138" s="31"/>
      <c r="CI138" s="31"/>
      <c r="CJ138" s="31"/>
      <c r="CK138" s="31"/>
      <c r="CL138" s="31"/>
      <c r="CM138" s="31"/>
      <c r="CN138" s="31"/>
      <c r="CO138" s="31"/>
      <c r="CP138" s="31"/>
      <c r="CQ138" s="32"/>
    </row>
    <row r="139" spans="1:95" x14ac:dyDescent="0.2">
      <c r="A139" s="30"/>
      <c r="B139" s="31"/>
      <c r="C139" s="31"/>
      <c r="D139" s="31"/>
      <c r="E139" s="31"/>
      <c r="F139" s="31"/>
      <c r="G139" s="31"/>
      <c r="H139" s="31"/>
      <c r="I139" s="31"/>
      <c r="J139" s="31"/>
      <c r="K139" s="31"/>
      <c r="L139" s="31"/>
      <c r="M139" s="31"/>
      <c r="N139" s="31"/>
      <c r="O139" s="31"/>
      <c r="P139" s="31"/>
      <c r="Q139" s="31"/>
      <c r="R139" s="31"/>
      <c r="S139" s="32"/>
      <c r="T139" s="30"/>
      <c r="U139" s="31"/>
      <c r="V139" s="31"/>
      <c r="W139" s="31"/>
      <c r="X139" s="31"/>
      <c r="Y139" s="31"/>
      <c r="Z139" s="31"/>
      <c r="AA139" s="31"/>
      <c r="AB139" s="31"/>
      <c r="AC139" s="31"/>
      <c r="AD139" s="31"/>
      <c r="AE139" s="31"/>
      <c r="AF139" s="31"/>
      <c r="AG139" s="31"/>
      <c r="AH139" s="31"/>
      <c r="AI139" s="31"/>
      <c r="AJ139" s="31"/>
      <c r="AK139" s="31"/>
      <c r="AL139" s="32"/>
      <c r="AM139" s="30"/>
      <c r="AN139" s="31"/>
      <c r="AO139" s="31"/>
      <c r="AP139" s="31"/>
      <c r="AQ139" s="31"/>
      <c r="AR139" s="31"/>
      <c r="AS139" s="31"/>
      <c r="AT139" s="31"/>
      <c r="AU139" s="31"/>
      <c r="AV139" s="31"/>
      <c r="AW139" s="31"/>
      <c r="AX139" s="31"/>
      <c r="AY139" s="31"/>
      <c r="AZ139" s="31"/>
      <c r="BA139" s="31"/>
      <c r="BB139" s="31"/>
      <c r="BC139" s="31"/>
      <c r="BD139" s="31"/>
      <c r="BE139" s="32"/>
      <c r="BF139" s="30"/>
      <c r="BG139" s="31"/>
      <c r="BH139" s="31"/>
      <c r="BI139" s="31"/>
      <c r="BJ139" s="31"/>
      <c r="BK139" s="31"/>
      <c r="BL139" s="31"/>
      <c r="BM139" s="31"/>
      <c r="BN139" s="31"/>
      <c r="BO139" s="31"/>
      <c r="BP139" s="31"/>
      <c r="BQ139" s="31"/>
      <c r="BR139" s="31"/>
      <c r="BS139" s="31"/>
      <c r="BT139" s="31"/>
      <c r="BU139" s="31"/>
      <c r="BV139" s="31"/>
      <c r="BW139" s="31"/>
      <c r="BX139" s="32"/>
      <c r="BY139" s="31"/>
      <c r="BZ139" s="31"/>
      <c r="CA139" s="31"/>
      <c r="CB139" s="31"/>
      <c r="CC139" s="31"/>
      <c r="CD139" s="31"/>
      <c r="CE139" s="31"/>
      <c r="CF139" s="31"/>
      <c r="CG139" s="31"/>
      <c r="CH139" s="31"/>
      <c r="CI139" s="31"/>
      <c r="CJ139" s="31"/>
      <c r="CK139" s="31"/>
      <c r="CL139" s="31"/>
      <c r="CM139" s="31"/>
      <c r="CN139" s="31"/>
      <c r="CO139" s="31"/>
      <c r="CP139" s="31"/>
      <c r="CQ139" s="32"/>
    </row>
    <row r="140" spans="1:95" x14ac:dyDescent="0.2">
      <c r="A140" s="30"/>
      <c r="B140" s="31"/>
      <c r="C140" s="31"/>
      <c r="D140" s="31"/>
      <c r="E140" s="31"/>
      <c r="F140" s="31"/>
      <c r="G140" s="31"/>
      <c r="H140" s="31"/>
      <c r="I140" s="31"/>
      <c r="J140" s="31"/>
      <c r="K140" s="31"/>
      <c r="L140" s="31"/>
      <c r="M140" s="31"/>
      <c r="N140" s="31"/>
      <c r="O140" s="31"/>
      <c r="P140" s="31"/>
      <c r="Q140" s="31"/>
      <c r="R140" s="31"/>
      <c r="S140" s="32"/>
      <c r="T140" s="30"/>
      <c r="U140" s="31"/>
      <c r="V140" s="31"/>
      <c r="W140" s="31"/>
      <c r="X140" s="31"/>
      <c r="Y140" s="31"/>
      <c r="Z140" s="31"/>
      <c r="AA140" s="31"/>
      <c r="AB140" s="31"/>
      <c r="AC140" s="31"/>
      <c r="AD140" s="31"/>
      <c r="AE140" s="31"/>
      <c r="AF140" s="31"/>
      <c r="AG140" s="31"/>
      <c r="AH140" s="31"/>
      <c r="AI140" s="31"/>
      <c r="AJ140" s="31"/>
      <c r="AK140" s="31"/>
      <c r="AL140" s="32"/>
      <c r="AM140" s="30"/>
      <c r="AN140" s="31"/>
      <c r="AO140" s="31"/>
      <c r="AP140" s="31"/>
      <c r="AQ140" s="31"/>
      <c r="AR140" s="31"/>
      <c r="AS140" s="31"/>
      <c r="AT140" s="31"/>
      <c r="AU140" s="31"/>
      <c r="AV140" s="31"/>
      <c r="AW140" s="31"/>
      <c r="AX140" s="31"/>
      <c r="AY140" s="31"/>
      <c r="AZ140" s="31"/>
      <c r="BA140" s="31"/>
      <c r="BB140" s="31"/>
      <c r="BC140" s="31"/>
      <c r="BD140" s="31"/>
      <c r="BE140" s="32"/>
      <c r="BF140" s="30"/>
      <c r="BG140" s="31"/>
      <c r="BH140" s="31"/>
      <c r="BI140" s="31"/>
      <c r="BJ140" s="31"/>
      <c r="BK140" s="31"/>
      <c r="BL140" s="31"/>
      <c r="BM140" s="31"/>
      <c r="BN140" s="31"/>
      <c r="BO140" s="31"/>
      <c r="BP140" s="31"/>
      <c r="BQ140" s="31"/>
      <c r="BR140" s="31"/>
      <c r="BS140" s="31"/>
      <c r="BT140" s="31"/>
      <c r="BU140" s="31"/>
      <c r="BV140" s="31"/>
      <c r="BW140" s="31"/>
      <c r="BX140" s="32"/>
      <c r="BY140" s="31"/>
      <c r="BZ140" s="31"/>
      <c r="CA140" s="31"/>
      <c r="CB140" s="31"/>
      <c r="CC140" s="31"/>
      <c r="CD140" s="31"/>
      <c r="CE140" s="31"/>
      <c r="CF140" s="31"/>
      <c r="CG140" s="31"/>
      <c r="CH140" s="31"/>
      <c r="CI140" s="31"/>
      <c r="CJ140" s="31"/>
      <c r="CK140" s="31"/>
      <c r="CL140" s="31"/>
      <c r="CM140" s="31"/>
      <c r="CN140" s="31"/>
      <c r="CO140" s="31"/>
      <c r="CP140" s="31"/>
      <c r="CQ140" s="32"/>
    </row>
    <row r="141" spans="1:95" x14ac:dyDescent="0.2">
      <c r="A141" s="30"/>
      <c r="B141" s="31"/>
      <c r="C141" s="31"/>
      <c r="D141" s="31"/>
      <c r="E141" s="31"/>
      <c r="F141" s="31"/>
      <c r="G141" s="31"/>
      <c r="H141" s="31"/>
      <c r="I141" s="31"/>
      <c r="J141" s="31"/>
      <c r="K141" s="31"/>
      <c r="L141" s="31"/>
      <c r="M141" s="31"/>
      <c r="N141" s="31"/>
      <c r="O141" s="31"/>
      <c r="P141" s="31"/>
      <c r="Q141" s="31"/>
      <c r="R141" s="31"/>
      <c r="S141" s="32"/>
      <c r="T141" s="30"/>
      <c r="U141" s="31"/>
      <c r="V141" s="31"/>
      <c r="W141" s="31"/>
      <c r="X141" s="31"/>
      <c r="Y141" s="31"/>
      <c r="Z141" s="31"/>
      <c r="AA141" s="31"/>
      <c r="AB141" s="31"/>
      <c r="AC141" s="31"/>
      <c r="AD141" s="31"/>
      <c r="AE141" s="31"/>
      <c r="AF141" s="31"/>
      <c r="AG141" s="31"/>
      <c r="AH141" s="31"/>
      <c r="AI141" s="31"/>
      <c r="AJ141" s="31"/>
      <c r="AK141" s="31"/>
      <c r="AL141" s="32"/>
      <c r="AM141" s="30"/>
      <c r="AN141" s="31"/>
      <c r="AO141" s="31"/>
      <c r="AP141" s="31"/>
      <c r="AQ141" s="31"/>
      <c r="AR141" s="31"/>
      <c r="AS141" s="31"/>
      <c r="AT141" s="31"/>
      <c r="AU141" s="31"/>
      <c r="AV141" s="31"/>
      <c r="AW141" s="31"/>
      <c r="AX141" s="31"/>
      <c r="AY141" s="31"/>
      <c r="AZ141" s="31"/>
      <c r="BA141" s="31"/>
      <c r="BB141" s="31"/>
      <c r="BC141" s="31"/>
      <c r="BD141" s="31"/>
      <c r="BE141" s="32"/>
      <c r="BF141" s="30"/>
      <c r="BG141" s="31"/>
      <c r="BH141" s="31"/>
      <c r="BI141" s="31"/>
      <c r="BJ141" s="31"/>
      <c r="BK141" s="31"/>
      <c r="BL141" s="31"/>
      <c r="BM141" s="31"/>
      <c r="BN141" s="31"/>
      <c r="BO141" s="31"/>
      <c r="BP141" s="31"/>
      <c r="BQ141" s="31"/>
      <c r="BR141" s="31"/>
      <c r="BS141" s="31"/>
      <c r="BT141" s="31"/>
      <c r="BU141" s="31"/>
      <c r="BV141" s="31"/>
      <c r="BW141" s="31"/>
      <c r="BX141" s="32"/>
      <c r="BY141" s="31"/>
      <c r="BZ141" s="31"/>
      <c r="CA141" s="31"/>
      <c r="CB141" s="31"/>
      <c r="CC141" s="31"/>
      <c r="CD141" s="31"/>
      <c r="CE141" s="31"/>
      <c r="CF141" s="31"/>
      <c r="CG141" s="31"/>
      <c r="CH141" s="31"/>
      <c r="CI141" s="31"/>
      <c r="CJ141" s="31"/>
      <c r="CK141" s="31"/>
      <c r="CL141" s="31"/>
      <c r="CM141" s="31"/>
      <c r="CN141" s="31"/>
      <c r="CO141" s="31"/>
      <c r="CP141" s="31"/>
      <c r="CQ141" s="32"/>
    </row>
    <row r="142" spans="1:95" x14ac:dyDescent="0.2">
      <c r="A142" s="30"/>
      <c r="B142" s="31"/>
      <c r="C142" s="31"/>
      <c r="D142" s="31"/>
      <c r="E142" s="31"/>
      <c r="F142" s="31"/>
      <c r="G142" s="31"/>
      <c r="H142" s="31"/>
      <c r="I142" s="31"/>
      <c r="J142" s="31"/>
      <c r="K142" s="31"/>
      <c r="L142" s="31"/>
      <c r="M142" s="31"/>
      <c r="N142" s="31"/>
      <c r="O142" s="31"/>
      <c r="P142" s="31"/>
      <c r="Q142" s="31"/>
      <c r="R142" s="31"/>
      <c r="S142" s="32"/>
      <c r="T142" s="30"/>
      <c r="U142" s="31"/>
      <c r="V142" s="31"/>
      <c r="W142" s="31"/>
      <c r="X142" s="31"/>
      <c r="Y142" s="31"/>
      <c r="Z142" s="31"/>
      <c r="AA142" s="31"/>
      <c r="AB142" s="31"/>
      <c r="AC142" s="31"/>
      <c r="AD142" s="31"/>
      <c r="AE142" s="31"/>
      <c r="AF142" s="31"/>
      <c r="AG142" s="31"/>
      <c r="AH142" s="31"/>
      <c r="AI142" s="31"/>
      <c r="AJ142" s="31"/>
      <c r="AK142" s="31"/>
      <c r="AL142" s="32"/>
      <c r="AM142" s="30"/>
      <c r="AN142" s="31"/>
      <c r="AO142" s="31"/>
      <c r="AP142" s="31"/>
      <c r="AQ142" s="31"/>
      <c r="AR142" s="31"/>
      <c r="AS142" s="31"/>
      <c r="AT142" s="31"/>
      <c r="AU142" s="31"/>
      <c r="AV142" s="31"/>
      <c r="AW142" s="31"/>
      <c r="AX142" s="31"/>
      <c r="AY142" s="31"/>
      <c r="AZ142" s="31"/>
      <c r="BA142" s="31"/>
      <c r="BB142" s="31"/>
      <c r="BC142" s="31"/>
      <c r="BD142" s="31"/>
      <c r="BE142" s="32"/>
      <c r="BF142" s="30"/>
      <c r="BG142" s="31"/>
      <c r="BH142" s="31"/>
      <c r="BI142" s="31"/>
      <c r="BJ142" s="31"/>
      <c r="BK142" s="31"/>
      <c r="BL142" s="31"/>
      <c r="BM142" s="31"/>
      <c r="BN142" s="31"/>
      <c r="BO142" s="31"/>
      <c r="BP142" s="31"/>
      <c r="BQ142" s="31"/>
      <c r="BR142" s="31"/>
      <c r="BS142" s="31"/>
      <c r="BT142" s="31"/>
      <c r="BU142" s="31"/>
      <c r="BV142" s="31"/>
      <c r="BW142" s="31"/>
      <c r="BX142" s="32"/>
      <c r="BY142" s="31"/>
      <c r="BZ142" s="31"/>
      <c r="CA142" s="31"/>
      <c r="CB142" s="31"/>
      <c r="CC142" s="31"/>
      <c r="CD142" s="31"/>
      <c r="CE142" s="31"/>
      <c r="CF142" s="31"/>
      <c r="CG142" s="31"/>
      <c r="CH142" s="31"/>
      <c r="CI142" s="31"/>
      <c r="CJ142" s="31"/>
      <c r="CK142" s="31"/>
      <c r="CL142" s="31"/>
      <c r="CM142" s="31"/>
      <c r="CN142" s="31"/>
      <c r="CO142" s="31"/>
      <c r="CP142" s="31"/>
      <c r="CQ142" s="32"/>
    </row>
    <row r="143" spans="1:95" x14ac:dyDescent="0.2">
      <c r="A143" s="30"/>
      <c r="B143" s="31"/>
      <c r="C143" s="31"/>
      <c r="D143" s="31"/>
      <c r="E143" s="31"/>
      <c r="F143" s="31"/>
      <c r="G143" s="31"/>
      <c r="H143" s="31"/>
      <c r="I143" s="31"/>
      <c r="J143" s="31"/>
      <c r="K143" s="31"/>
      <c r="L143" s="31"/>
      <c r="M143" s="31"/>
      <c r="N143" s="31"/>
      <c r="O143" s="31"/>
      <c r="P143" s="31"/>
      <c r="Q143" s="31"/>
      <c r="R143" s="31"/>
      <c r="S143" s="32"/>
      <c r="T143" s="30"/>
      <c r="U143" s="31"/>
      <c r="V143" s="31"/>
      <c r="W143" s="31"/>
      <c r="X143" s="31"/>
      <c r="Y143" s="31"/>
      <c r="Z143" s="31"/>
      <c r="AA143" s="31"/>
      <c r="AB143" s="31"/>
      <c r="AC143" s="31"/>
      <c r="AD143" s="31"/>
      <c r="AE143" s="31"/>
      <c r="AF143" s="31"/>
      <c r="AG143" s="31"/>
      <c r="AH143" s="31"/>
      <c r="AI143" s="31"/>
      <c r="AJ143" s="31"/>
      <c r="AK143" s="31"/>
      <c r="AL143" s="32"/>
      <c r="AM143" s="30"/>
      <c r="AN143" s="31"/>
      <c r="AO143" s="31"/>
      <c r="AP143" s="31"/>
      <c r="AQ143" s="31"/>
      <c r="AR143" s="31"/>
      <c r="AS143" s="31"/>
      <c r="AT143" s="31"/>
      <c r="AU143" s="31"/>
      <c r="AV143" s="31"/>
      <c r="AW143" s="31"/>
      <c r="AX143" s="31"/>
      <c r="AY143" s="31"/>
      <c r="AZ143" s="31"/>
      <c r="BA143" s="31"/>
      <c r="BB143" s="31"/>
      <c r="BC143" s="31"/>
      <c r="BD143" s="31"/>
      <c r="BE143" s="32"/>
      <c r="BF143" s="30"/>
      <c r="BG143" s="31"/>
      <c r="BH143" s="31"/>
      <c r="BI143" s="31"/>
      <c r="BJ143" s="31"/>
      <c r="BK143" s="31"/>
      <c r="BL143" s="31"/>
      <c r="BM143" s="31"/>
      <c r="BN143" s="31"/>
      <c r="BO143" s="31"/>
      <c r="BP143" s="31"/>
      <c r="BQ143" s="31"/>
      <c r="BR143" s="31"/>
      <c r="BS143" s="31"/>
      <c r="BT143" s="31"/>
      <c r="BU143" s="31"/>
      <c r="BV143" s="31"/>
      <c r="BW143" s="31"/>
      <c r="BX143" s="32"/>
      <c r="BY143" s="31"/>
      <c r="BZ143" s="31"/>
      <c r="CA143" s="31"/>
      <c r="CB143" s="31"/>
      <c r="CC143" s="31"/>
      <c r="CD143" s="31"/>
      <c r="CE143" s="31"/>
      <c r="CF143" s="31"/>
      <c r="CG143" s="31"/>
      <c r="CH143" s="31"/>
      <c r="CI143" s="31"/>
      <c r="CJ143" s="31"/>
      <c r="CK143" s="31"/>
      <c r="CL143" s="31"/>
      <c r="CM143" s="31"/>
      <c r="CN143" s="31"/>
      <c r="CO143" s="31"/>
      <c r="CP143" s="31"/>
      <c r="CQ143" s="32"/>
    </row>
    <row r="144" spans="1:95" x14ac:dyDescent="0.2">
      <c r="A144" s="30"/>
      <c r="B144" s="31"/>
      <c r="C144" s="31"/>
      <c r="D144" s="31"/>
      <c r="E144" s="31"/>
      <c r="F144" s="31"/>
      <c r="G144" s="31"/>
      <c r="H144" s="31"/>
      <c r="I144" s="31"/>
      <c r="J144" s="31"/>
      <c r="K144" s="31"/>
      <c r="L144" s="31"/>
      <c r="M144" s="31"/>
      <c r="N144" s="31"/>
      <c r="O144" s="31"/>
      <c r="P144" s="31"/>
      <c r="Q144" s="31"/>
      <c r="R144" s="31"/>
      <c r="S144" s="32"/>
      <c r="T144" s="30"/>
      <c r="U144" s="31"/>
      <c r="V144" s="31"/>
      <c r="W144" s="31"/>
      <c r="X144" s="31"/>
      <c r="Y144" s="31"/>
      <c r="Z144" s="31"/>
      <c r="AA144" s="31"/>
      <c r="AB144" s="31"/>
      <c r="AC144" s="31"/>
      <c r="AD144" s="31"/>
      <c r="AE144" s="31"/>
      <c r="AF144" s="31"/>
      <c r="AG144" s="31"/>
      <c r="AH144" s="31"/>
      <c r="AI144" s="31"/>
      <c r="AJ144" s="31"/>
      <c r="AK144" s="31"/>
      <c r="AL144" s="32"/>
      <c r="AM144" s="30"/>
      <c r="AN144" s="31"/>
      <c r="AO144" s="31"/>
      <c r="AP144" s="31"/>
      <c r="AQ144" s="31"/>
      <c r="AR144" s="31"/>
      <c r="AS144" s="31"/>
      <c r="AT144" s="31"/>
      <c r="AU144" s="31"/>
      <c r="AV144" s="31"/>
      <c r="AW144" s="31"/>
      <c r="AX144" s="31"/>
      <c r="AY144" s="31"/>
      <c r="AZ144" s="31"/>
      <c r="BA144" s="31"/>
      <c r="BB144" s="31"/>
      <c r="BC144" s="31"/>
      <c r="BD144" s="31"/>
      <c r="BE144" s="32"/>
      <c r="BF144" s="30"/>
      <c r="BG144" s="31"/>
      <c r="BH144" s="31"/>
      <c r="BI144" s="31"/>
      <c r="BJ144" s="31"/>
      <c r="BK144" s="31"/>
      <c r="BL144" s="31"/>
      <c r="BM144" s="31"/>
      <c r="BN144" s="31"/>
      <c r="BO144" s="31"/>
      <c r="BP144" s="31"/>
      <c r="BQ144" s="31"/>
      <c r="BR144" s="31"/>
      <c r="BS144" s="31"/>
      <c r="BT144" s="31"/>
      <c r="BU144" s="31"/>
      <c r="BV144" s="31"/>
      <c r="BW144" s="31"/>
      <c r="BX144" s="32"/>
      <c r="BY144" s="31"/>
      <c r="BZ144" s="31"/>
      <c r="CA144" s="31"/>
      <c r="CB144" s="31"/>
      <c r="CC144" s="31"/>
      <c r="CD144" s="31"/>
      <c r="CE144" s="31"/>
      <c r="CF144" s="31"/>
      <c r="CG144" s="31"/>
      <c r="CH144" s="31"/>
      <c r="CI144" s="31"/>
      <c r="CJ144" s="31"/>
      <c r="CK144" s="31"/>
      <c r="CL144" s="31"/>
      <c r="CM144" s="31"/>
      <c r="CN144" s="31"/>
      <c r="CO144" s="31"/>
      <c r="CP144" s="31"/>
      <c r="CQ144" s="32"/>
    </row>
    <row r="145" spans="1:95" x14ac:dyDescent="0.2">
      <c r="A145" s="30"/>
      <c r="B145" s="31"/>
      <c r="C145" s="31"/>
      <c r="D145" s="31"/>
      <c r="E145" s="31"/>
      <c r="F145" s="31"/>
      <c r="G145" s="31"/>
      <c r="H145" s="31"/>
      <c r="I145" s="31"/>
      <c r="J145" s="31"/>
      <c r="K145" s="31"/>
      <c r="L145" s="31"/>
      <c r="M145" s="31"/>
      <c r="N145" s="31"/>
      <c r="O145" s="31"/>
      <c r="P145" s="31"/>
      <c r="Q145" s="31"/>
      <c r="R145" s="31"/>
      <c r="S145" s="32"/>
      <c r="T145" s="30"/>
      <c r="U145" s="31"/>
      <c r="V145" s="31"/>
      <c r="W145" s="31"/>
      <c r="X145" s="31"/>
      <c r="Y145" s="31"/>
      <c r="Z145" s="31"/>
      <c r="AA145" s="31"/>
      <c r="AB145" s="31"/>
      <c r="AC145" s="31"/>
      <c r="AD145" s="31"/>
      <c r="AE145" s="31"/>
      <c r="AF145" s="31"/>
      <c r="AG145" s="31"/>
      <c r="AH145" s="31"/>
      <c r="AI145" s="31"/>
      <c r="AJ145" s="31"/>
      <c r="AK145" s="31"/>
      <c r="AL145" s="32"/>
      <c r="AM145" s="30"/>
      <c r="AN145" s="31"/>
      <c r="AO145" s="31"/>
      <c r="AP145" s="31"/>
      <c r="AQ145" s="31"/>
      <c r="AR145" s="31"/>
      <c r="AS145" s="31"/>
      <c r="AT145" s="31"/>
      <c r="AU145" s="31"/>
      <c r="AV145" s="31"/>
      <c r="AW145" s="31"/>
      <c r="AX145" s="31"/>
      <c r="AY145" s="31"/>
      <c r="AZ145" s="31"/>
      <c r="BA145" s="31"/>
      <c r="BB145" s="31"/>
      <c r="BC145" s="31"/>
      <c r="BD145" s="31"/>
      <c r="BE145" s="32"/>
      <c r="BF145" s="30"/>
      <c r="BG145" s="31"/>
      <c r="BH145" s="31"/>
      <c r="BI145" s="31"/>
      <c r="BJ145" s="31"/>
      <c r="BK145" s="31"/>
      <c r="BL145" s="31"/>
      <c r="BM145" s="31"/>
      <c r="BN145" s="31"/>
      <c r="BO145" s="31"/>
      <c r="BP145" s="31"/>
      <c r="BQ145" s="31"/>
      <c r="BR145" s="31"/>
      <c r="BS145" s="31"/>
      <c r="BT145" s="31"/>
      <c r="BU145" s="31"/>
      <c r="BV145" s="31"/>
      <c r="BW145" s="31"/>
      <c r="BX145" s="32"/>
      <c r="BY145" s="31"/>
      <c r="BZ145" s="31"/>
      <c r="CA145" s="31"/>
      <c r="CB145" s="31"/>
      <c r="CC145" s="31"/>
      <c r="CD145" s="31"/>
      <c r="CE145" s="31"/>
      <c r="CF145" s="31"/>
      <c r="CG145" s="31"/>
      <c r="CH145" s="31"/>
      <c r="CI145" s="31"/>
      <c r="CJ145" s="31"/>
      <c r="CK145" s="31"/>
      <c r="CL145" s="31"/>
      <c r="CM145" s="31"/>
      <c r="CN145" s="31"/>
      <c r="CO145" s="31"/>
      <c r="CP145" s="31"/>
      <c r="CQ145" s="32"/>
    </row>
    <row r="146" spans="1:95" x14ac:dyDescent="0.2">
      <c r="A146" s="30"/>
      <c r="B146" s="31"/>
      <c r="C146" s="31"/>
      <c r="D146" s="31"/>
      <c r="E146" s="31"/>
      <c r="F146" s="31"/>
      <c r="G146" s="31"/>
      <c r="H146" s="31"/>
      <c r="I146" s="31"/>
      <c r="J146" s="31"/>
      <c r="K146" s="31"/>
      <c r="L146" s="31"/>
      <c r="M146" s="31"/>
      <c r="N146" s="31"/>
      <c r="O146" s="31"/>
      <c r="P146" s="31"/>
      <c r="Q146" s="31"/>
      <c r="R146" s="31"/>
      <c r="S146" s="32"/>
      <c r="T146" s="30"/>
      <c r="U146" s="31"/>
      <c r="V146" s="31"/>
      <c r="W146" s="31"/>
      <c r="X146" s="31"/>
      <c r="Y146" s="31"/>
      <c r="Z146" s="31"/>
      <c r="AA146" s="31"/>
      <c r="AB146" s="31"/>
      <c r="AC146" s="31"/>
      <c r="AD146" s="31"/>
      <c r="AE146" s="31"/>
      <c r="AF146" s="31"/>
      <c r="AG146" s="31"/>
      <c r="AH146" s="31"/>
      <c r="AI146" s="31"/>
      <c r="AJ146" s="31"/>
      <c r="AK146" s="31"/>
      <c r="AL146" s="32"/>
      <c r="AM146" s="30"/>
      <c r="AN146" s="31"/>
      <c r="AO146" s="31"/>
      <c r="AP146" s="31"/>
      <c r="AQ146" s="31"/>
      <c r="AR146" s="31"/>
      <c r="AS146" s="31"/>
      <c r="AT146" s="31"/>
      <c r="AU146" s="31"/>
      <c r="AV146" s="31"/>
      <c r="AW146" s="31"/>
      <c r="AX146" s="31"/>
      <c r="AY146" s="31"/>
      <c r="AZ146" s="31"/>
      <c r="BA146" s="31"/>
      <c r="BB146" s="31"/>
      <c r="BC146" s="31"/>
      <c r="BD146" s="31"/>
      <c r="BE146" s="32"/>
      <c r="BF146" s="30"/>
      <c r="BG146" s="31"/>
      <c r="BH146" s="31"/>
      <c r="BI146" s="31"/>
      <c r="BJ146" s="31"/>
      <c r="BK146" s="31"/>
      <c r="BL146" s="31"/>
      <c r="BM146" s="31"/>
      <c r="BN146" s="31"/>
      <c r="BO146" s="31"/>
      <c r="BP146" s="31"/>
      <c r="BQ146" s="31"/>
      <c r="BR146" s="31"/>
      <c r="BS146" s="31"/>
      <c r="BT146" s="31"/>
      <c r="BU146" s="31"/>
      <c r="BV146" s="31"/>
      <c r="BW146" s="31"/>
      <c r="BX146" s="32"/>
      <c r="BY146" s="31"/>
      <c r="BZ146" s="31"/>
      <c r="CA146" s="31"/>
      <c r="CB146" s="31"/>
      <c r="CC146" s="31"/>
      <c r="CD146" s="31"/>
      <c r="CE146" s="31"/>
      <c r="CF146" s="31"/>
      <c r="CG146" s="31"/>
      <c r="CH146" s="31"/>
      <c r="CI146" s="31"/>
      <c r="CJ146" s="31"/>
      <c r="CK146" s="31"/>
      <c r="CL146" s="31"/>
      <c r="CM146" s="31"/>
      <c r="CN146" s="31"/>
      <c r="CO146" s="31"/>
      <c r="CP146" s="31"/>
      <c r="CQ146" s="32"/>
    </row>
    <row r="147" spans="1:95" x14ac:dyDescent="0.2">
      <c r="A147" s="30"/>
      <c r="B147" s="31"/>
      <c r="C147" s="31"/>
      <c r="D147" s="31"/>
      <c r="E147" s="31"/>
      <c r="F147" s="31"/>
      <c r="G147" s="31"/>
      <c r="H147" s="31"/>
      <c r="I147" s="31"/>
      <c r="J147" s="31"/>
      <c r="K147" s="31"/>
      <c r="L147" s="31"/>
      <c r="M147" s="31"/>
      <c r="N147" s="31"/>
      <c r="O147" s="31"/>
      <c r="P147" s="31"/>
      <c r="Q147" s="31"/>
      <c r="R147" s="31"/>
      <c r="S147" s="32"/>
      <c r="T147" s="30"/>
      <c r="U147" s="31"/>
      <c r="V147" s="31"/>
      <c r="W147" s="31"/>
      <c r="X147" s="31"/>
      <c r="Y147" s="31"/>
      <c r="Z147" s="31"/>
      <c r="AA147" s="31"/>
      <c r="AB147" s="31"/>
      <c r="AC147" s="31"/>
      <c r="AD147" s="31"/>
      <c r="AE147" s="31"/>
      <c r="AF147" s="31"/>
      <c r="AG147" s="31"/>
      <c r="AH147" s="31"/>
      <c r="AI147" s="31"/>
      <c r="AJ147" s="31"/>
      <c r="AK147" s="31"/>
      <c r="AL147" s="32"/>
      <c r="AM147" s="30"/>
      <c r="AN147" s="31"/>
      <c r="AO147" s="31"/>
      <c r="AP147" s="31"/>
      <c r="AQ147" s="31"/>
      <c r="AR147" s="31"/>
      <c r="AS147" s="31"/>
      <c r="AT147" s="31"/>
      <c r="AU147" s="31"/>
      <c r="AV147" s="31"/>
      <c r="AW147" s="31"/>
      <c r="AX147" s="31"/>
      <c r="AY147" s="31"/>
      <c r="AZ147" s="31"/>
      <c r="BA147" s="31"/>
      <c r="BB147" s="31"/>
      <c r="BC147" s="31"/>
      <c r="BD147" s="31"/>
      <c r="BE147" s="32"/>
      <c r="BF147" s="30"/>
      <c r="BG147" s="31"/>
      <c r="BH147" s="31"/>
      <c r="BI147" s="31"/>
      <c r="BJ147" s="31"/>
      <c r="BK147" s="31"/>
      <c r="BL147" s="31"/>
      <c r="BM147" s="31"/>
      <c r="BN147" s="31"/>
      <c r="BO147" s="31"/>
      <c r="BP147" s="31"/>
      <c r="BQ147" s="31"/>
      <c r="BR147" s="31"/>
      <c r="BS147" s="31"/>
      <c r="BT147" s="31"/>
      <c r="BU147" s="31"/>
      <c r="BV147" s="31"/>
      <c r="BW147" s="31"/>
      <c r="BX147" s="32"/>
      <c r="BY147" s="31"/>
      <c r="BZ147" s="31"/>
      <c r="CA147" s="31"/>
      <c r="CB147" s="31"/>
      <c r="CC147" s="31"/>
      <c r="CD147" s="31"/>
      <c r="CE147" s="31"/>
      <c r="CF147" s="31"/>
      <c r="CG147" s="31"/>
      <c r="CH147" s="31"/>
      <c r="CI147" s="31"/>
      <c r="CJ147" s="31"/>
      <c r="CK147" s="31"/>
      <c r="CL147" s="31"/>
      <c r="CM147" s="31"/>
      <c r="CN147" s="31"/>
      <c r="CO147" s="31"/>
      <c r="CP147" s="31"/>
      <c r="CQ147" s="32"/>
    </row>
    <row r="148" spans="1:95" x14ac:dyDescent="0.2">
      <c r="A148" s="30"/>
      <c r="B148" s="31"/>
      <c r="C148" s="31"/>
      <c r="D148" s="31"/>
      <c r="E148" s="31"/>
      <c r="F148" s="31"/>
      <c r="G148" s="31"/>
      <c r="H148" s="31"/>
      <c r="I148" s="31"/>
      <c r="J148" s="31"/>
      <c r="K148" s="31"/>
      <c r="L148" s="31"/>
      <c r="M148" s="31"/>
      <c r="N148" s="31"/>
      <c r="O148" s="31"/>
      <c r="P148" s="31"/>
      <c r="Q148" s="31"/>
      <c r="R148" s="31"/>
      <c r="S148" s="32"/>
      <c r="T148" s="30"/>
      <c r="U148" s="31"/>
      <c r="V148" s="31"/>
      <c r="W148" s="31"/>
      <c r="X148" s="31"/>
      <c r="Y148" s="31"/>
      <c r="Z148" s="31"/>
      <c r="AA148" s="31"/>
      <c r="AB148" s="31"/>
      <c r="AC148" s="31"/>
      <c r="AD148" s="31"/>
      <c r="AE148" s="31"/>
      <c r="AF148" s="31"/>
      <c r="AG148" s="31"/>
      <c r="AH148" s="31"/>
      <c r="AI148" s="31"/>
      <c r="AJ148" s="31"/>
      <c r="AK148" s="31"/>
      <c r="AL148" s="32"/>
      <c r="AM148" s="30"/>
      <c r="AN148" s="31"/>
      <c r="AO148" s="31"/>
      <c r="AP148" s="31"/>
      <c r="AQ148" s="31"/>
      <c r="AR148" s="31"/>
      <c r="AS148" s="31"/>
      <c r="AT148" s="31"/>
      <c r="AU148" s="31"/>
      <c r="AV148" s="31"/>
      <c r="AW148" s="31"/>
      <c r="AX148" s="31"/>
      <c r="AY148" s="31"/>
      <c r="AZ148" s="31"/>
      <c r="BA148" s="31"/>
      <c r="BB148" s="31"/>
      <c r="BC148" s="31"/>
      <c r="BD148" s="31"/>
      <c r="BE148" s="32"/>
      <c r="BF148" s="30"/>
      <c r="BG148" s="31"/>
      <c r="BH148" s="31"/>
      <c r="BI148" s="31"/>
      <c r="BJ148" s="31"/>
      <c r="BK148" s="31"/>
      <c r="BL148" s="31"/>
      <c r="BM148" s="31"/>
      <c r="BN148" s="31"/>
      <c r="BO148" s="31"/>
      <c r="BP148" s="31"/>
      <c r="BQ148" s="31"/>
      <c r="BR148" s="31"/>
      <c r="BS148" s="31"/>
      <c r="BT148" s="31"/>
      <c r="BU148" s="31"/>
      <c r="BV148" s="31"/>
      <c r="BW148" s="31"/>
      <c r="BX148" s="32"/>
      <c r="BY148" s="31"/>
      <c r="BZ148" s="31"/>
      <c r="CA148" s="31"/>
      <c r="CB148" s="31"/>
      <c r="CC148" s="31"/>
      <c r="CD148" s="31"/>
      <c r="CE148" s="31"/>
      <c r="CF148" s="31"/>
      <c r="CG148" s="31"/>
      <c r="CH148" s="31"/>
      <c r="CI148" s="31"/>
      <c r="CJ148" s="31"/>
      <c r="CK148" s="31"/>
      <c r="CL148" s="31"/>
      <c r="CM148" s="31"/>
      <c r="CN148" s="31"/>
      <c r="CO148" s="31"/>
      <c r="CP148" s="31"/>
      <c r="CQ148" s="32"/>
    </row>
    <row r="149" spans="1:95" x14ac:dyDescent="0.2">
      <c r="A149" s="30"/>
      <c r="B149" s="31"/>
      <c r="C149" s="31"/>
      <c r="D149" s="31"/>
      <c r="E149" s="31"/>
      <c r="F149" s="31"/>
      <c r="G149" s="31"/>
      <c r="H149" s="31"/>
      <c r="I149" s="31"/>
      <c r="J149" s="31"/>
      <c r="K149" s="31"/>
      <c r="L149" s="31"/>
      <c r="M149" s="31"/>
      <c r="N149" s="31"/>
      <c r="O149" s="31"/>
      <c r="P149" s="31"/>
      <c r="Q149" s="31"/>
      <c r="R149" s="31"/>
      <c r="S149" s="32"/>
      <c r="T149" s="30"/>
      <c r="U149" s="31"/>
      <c r="V149" s="31"/>
      <c r="W149" s="31"/>
      <c r="X149" s="31"/>
      <c r="Y149" s="31"/>
      <c r="Z149" s="31"/>
      <c r="AA149" s="31"/>
      <c r="AB149" s="31"/>
      <c r="AC149" s="31"/>
      <c r="AD149" s="31"/>
      <c r="AE149" s="31"/>
      <c r="AF149" s="31"/>
      <c r="AG149" s="31"/>
      <c r="AH149" s="31"/>
      <c r="AI149" s="31"/>
      <c r="AJ149" s="31"/>
      <c r="AK149" s="31"/>
      <c r="AL149" s="32"/>
      <c r="AM149" s="30"/>
      <c r="AN149" s="31"/>
      <c r="AO149" s="31"/>
      <c r="AP149" s="31"/>
      <c r="AQ149" s="31"/>
      <c r="AR149" s="31"/>
      <c r="AS149" s="31"/>
      <c r="AT149" s="31"/>
      <c r="AU149" s="31"/>
      <c r="AV149" s="31"/>
      <c r="AW149" s="31"/>
      <c r="AX149" s="31"/>
      <c r="AY149" s="31"/>
      <c r="AZ149" s="31"/>
      <c r="BA149" s="31"/>
      <c r="BB149" s="31"/>
      <c r="BC149" s="31"/>
      <c r="BD149" s="31"/>
      <c r="BE149" s="32"/>
      <c r="BF149" s="30"/>
      <c r="BG149" s="31"/>
      <c r="BH149" s="31"/>
      <c r="BI149" s="31"/>
      <c r="BJ149" s="31"/>
      <c r="BK149" s="31"/>
      <c r="BL149" s="31"/>
      <c r="BM149" s="31"/>
      <c r="BN149" s="31"/>
      <c r="BO149" s="31"/>
      <c r="BP149" s="31"/>
      <c r="BQ149" s="31"/>
      <c r="BR149" s="31"/>
      <c r="BS149" s="31"/>
      <c r="BT149" s="31"/>
      <c r="BU149" s="31"/>
      <c r="BV149" s="31"/>
      <c r="BW149" s="31"/>
      <c r="BX149" s="32"/>
      <c r="BY149" s="31"/>
      <c r="BZ149" s="31"/>
      <c r="CA149" s="31"/>
      <c r="CB149" s="31"/>
      <c r="CC149" s="31"/>
      <c r="CD149" s="31"/>
      <c r="CE149" s="31"/>
      <c r="CF149" s="31"/>
      <c r="CG149" s="31"/>
      <c r="CH149" s="31"/>
      <c r="CI149" s="31"/>
      <c r="CJ149" s="31"/>
      <c r="CK149" s="31"/>
      <c r="CL149" s="31"/>
      <c r="CM149" s="31"/>
      <c r="CN149" s="31"/>
      <c r="CO149" s="31"/>
      <c r="CP149" s="31"/>
      <c r="CQ149" s="32"/>
    </row>
    <row r="150" spans="1:95" x14ac:dyDescent="0.2">
      <c r="A150" s="30"/>
      <c r="B150" s="31"/>
      <c r="C150" s="31"/>
      <c r="D150" s="31"/>
      <c r="E150" s="31"/>
      <c r="F150" s="31"/>
      <c r="G150" s="31"/>
      <c r="H150" s="31"/>
      <c r="I150" s="31"/>
      <c r="J150" s="31"/>
      <c r="K150" s="31"/>
      <c r="L150" s="31"/>
      <c r="M150" s="31"/>
      <c r="N150" s="31"/>
      <c r="O150" s="31"/>
      <c r="P150" s="31"/>
      <c r="Q150" s="31"/>
      <c r="R150" s="31"/>
      <c r="S150" s="32"/>
      <c r="T150" s="30"/>
      <c r="U150" s="31"/>
      <c r="V150" s="31"/>
      <c r="W150" s="31"/>
      <c r="X150" s="31"/>
      <c r="Y150" s="31"/>
      <c r="Z150" s="31"/>
      <c r="AA150" s="31"/>
      <c r="AB150" s="31"/>
      <c r="AC150" s="31"/>
      <c r="AD150" s="31"/>
      <c r="AE150" s="31"/>
      <c r="AF150" s="31"/>
      <c r="AG150" s="31"/>
      <c r="AH150" s="31"/>
      <c r="AI150" s="31"/>
      <c r="AJ150" s="31"/>
      <c r="AK150" s="31"/>
      <c r="AL150" s="32"/>
      <c r="AM150" s="30"/>
      <c r="AN150" s="31"/>
      <c r="AO150" s="31"/>
      <c r="AP150" s="31"/>
      <c r="AQ150" s="31"/>
      <c r="AR150" s="31"/>
      <c r="AS150" s="31"/>
      <c r="AT150" s="31"/>
      <c r="AU150" s="31"/>
      <c r="AV150" s="31"/>
      <c r="AW150" s="31"/>
      <c r="AX150" s="31"/>
      <c r="AY150" s="31"/>
      <c r="AZ150" s="31"/>
      <c r="BA150" s="31"/>
      <c r="BB150" s="31"/>
      <c r="BC150" s="31"/>
      <c r="BD150" s="31"/>
      <c r="BE150" s="32"/>
      <c r="BF150" s="30"/>
      <c r="BG150" s="31"/>
      <c r="BH150" s="31"/>
      <c r="BI150" s="31"/>
      <c r="BJ150" s="31"/>
      <c r="BK150" s="31"/>
      <c r="BL150" s="31"/>
      <c r="BM150" s="31"/>
      <c r="BN150" s="31"/>
      <c r="BO150" s="31"/>
      <c r="BP150" s="31"/>
      <c r="BQ150" s="31"/>
      <c r="BR150" s="31"/>
      <c r="BS150" s="31"/>
      <c r="BT150" s="31"/>
      <c r="BU150" s="31"/>
      <c r="BV150" s="31"/>
      <c r="BW150" s="31"/>
      <c r="BX150" s="32"/>
      <c r="BY150" s="31"/>
      <c r="BZ150" s="31"/>
      <c r="CA150" s="31"/>
      <c r="CB150" s="31"/>
      <c r="CC150" s="31"/>
      <c r="CD150" s="31"/>
      <c r="CE150" s="31"/>
      <c r="CF150" s="31"/>
      <c r="CG150" s="31"/>
      <c r="CH150" s="31"/>
      <c r="CI150" s="31"/>
      <c r="CJ150" s="31"/>
      <c r="CK150" s="31"/>
      <c r="CL150" s="31"/>
      <c r="CM150" s="31"/>
      <c r="CN150" s="31"/>
      <c r="CO150" s="31"/>
      <c r="CP150" s="31"/>
      <c r="CQ150" s="32"/>
    </row>
    <row r="151" spans="1:95" x14ac:dyDescent="0.2">
      <c r="A151" s="30"/>
      <c r="B151" s="31"/>
      <c r="C151" s="31"/>
      <c r="D151" s="31"/>
      <c r="E151" s="31"/>
      <c r="F151" s="31"/>
      <c r="G151" s="31"/>
      <c r="H151" s="31"/>
      <c r="I151" s="31"/>
      <c r="J151" s="31"/>
      <c r="K151" s="31"/>
      <c r="L151" s="31"/>
      <c r="M151" s="31"/>
      <c r="N151" s="31"/>
      <c r="O151" s="31"/>
      <c r="P151" s="31"/>
      <c r="Q151" s="31"/>
      <c r="R151" s="31"/>
      <c r="S151" s="32"/>
      <c r="T151" s="30"/>
      <c r="U151" s="31"/>
      <c r="V151" s="31"/>
      <c r="W151" s="31"/>
      <c r="X151" s="31"/>
      <c r="Y151" s="31"/>
      <c r="Z151" s="31"/>
      <c r="AA151" s="31"/>
      <c r="AB151" s="31"/>
      <c r="AC151" s="31"/>
      <c r="AD151" s="31"/>
      <c r="AE151" s="31"/>
      <c r="AF151" s="31"/>
      <c r="AG151" s="31"/>
      <c r="AH151" s="31"/>
      <c r="AI151" s="31"/>
      <c r="AJ151" s="31"/>
      <c r="AK151" s="31"/>
      <c r="AL151" s="32"/>
      <c r="AM151" s="30"/>
      <c r="AN151" s="31"/>
      <c r="AO151" s="31"/>
      <c r="AP151" s="31"/>
      <c r="AQ151" s="31"/>
      <c r="AR151" s="31"/>
      <c r="AS151" s="31"/>
      <c r="AT151" s="31"/>
      <c r="AU151" s="31"/>
      <c r="AV151" s="31"/>
      <c r="AW151" s="31"/>
      <c r="AX151" s="31"/>
      <c r="AY151" s="31"/>
      <c r="AZ151" s="31"/>
      <c r="BA151" s="31"/>
      <c r="BB151" s="31"/>
      <c r="BC151" s="31"/>
      <c r="BD151" s="31"/>
      <c r="BE151" s="32"/>
      <c r="BF151" s="30"/>
      <c r="BG151" s="31"/>
      <c r="BH151" s="31"/>
      <c r="BI151" s="31"/>
      <c r="BJ151" s="31"/>
      <c r="BK151" s="31"/>
      <c r="BL151" s="31"/>
      <c r="BM151" s="31"/>
      <c r="BN151" s="31"/>
      <c r="BO151" s="31"/>
      <c r="BP151" s="31"/>
      <c r="BQ151" s="31"/>
      <c r="BR151" s="31"/>
      <c r="BS151" s="31"/>
      <c r="BT151" s="31"/>
      <c r="BU151" s="31"/>
      <c r="BV151" s="31"/>
      <c r="BW151" s="31"/>
      <c r="BX151" s="32"/>
      <c r="BY151" s="31"/>
      <c r="BZ151" s="31"/>
      <c r="CA151" s="31"/>
      <c r="CB151" s="31"/>
      <c r="CC151" s="31"/>
      <c r="CD151" s="31"/>
      <c r="CE151" s="31"/>
      <c r="CF151" s="31"/>
      <c r="CG151" s="31"/>
      <c r="CH151" s="31"/>
      <c r="CI151" s="31"/>
      <c r="CJ151" s="31"/>
      <c r="CK151" s="31"/>
      <c r="CL151" s="31"/>
      <c r="CM151" s="31"/>
      <c r="CN151" s="31"/>
      <c r="CO151" s="31"/>
      <c r="CP151" s="31"/>
      <c r="CQ151" s="32"/>
    </row>
    <row r="152" spans="1:95" x14ac:dyDescent="0.2">
      <c r="A152" s="30"/>
      <c r="B152" s="31"/>
      <c r="C152" s="31"/>
      <c r="D152" s="31"/>
      <c r="E152" s="31"/>
      <c r="F152" s="31"/>
      <c r="G152" s="31"/>
      <c r="H152" s="31"/>
      <c r="I152" s="31"/>
      <c r="J152" s="31"/>
      <c r="K152" s="31"/>
      <c r="L152" s="31"/>
      <c r="M152" s="31"/>
      <c r="N152" s="31"/>
      <c r="O152" s="31"/>
      <c r="P152" s="31"/>
      <c r="Q152" s="31"/>
      <c r="R152" s="31"/>
      <c r="S152" s="32"/>
      <c r="T152" s="30"/>
      <c r="U152" s="31"/>
      <c r="V152" s="31"/>
      <c r="W152" s="31"/>
      <c r="X152" s="31"/>
      <c r="Y152" s="31"/>
      <c r="Z152" s="31"/>
      <c r="AA152" s="31"/>
      <c r="AB152" s="31"/>
      <c r="AC152" s="31"/>
      <c r="AD152" s="31"/>
      <c r="AE152" s="31"/>
      <c r="AF152" s="31"/>
      <c r="AG152" s="31"/>
      <c r="AH152" s="31"/>
      <c r="AI152" s="31"/>
      <c r="AJ152" s="31"/>
      <c r="AK152" s="31"/>
      <c r="AL152" s="32"/>
      <c r="AM152" s="30"/>
      <c r="AN152" s="31"/>
      <c r="AO152" s="31"/>
      <c r="AP152" s="31"/>
      <c r="AQ152" s="31"/>
      <c r="AR152" s="31"/>
      <c r="AS152" s="31"/>
      <c r="AT152" s="31"/>
      <c r="AU152" s="31"/>
      <c r="AV152" s="31"/>
      <c r="AW152" s="31"/>
      <c r="AX152" s="31"/>
      <c r="AY152" s="31"/>
      <c r="AZ152" s="31"/>
      <c r="BA152" s="31"/>
      <c r="BB152" s="31"/>
      <c r="BC152" s="31"/>
      <c r="BD152" s="31"/>
      <c r="BE152" s="32"/>
      <c r="BF152" s="30"/>
      <c r="BG152" s="31"/>
      <c r="BH152" s="31"/>
      <c r="BI152" s="31"/>
      <c r="BJ152" s="31"/>
      <c r="BK152" s="31"/>
      <c r="BL152" s="31"/>
      <c r="BM152" s="31"/>
      <c r="BN152" s="31"/>
      <c r="BO152" s="31"/>
      <c r="BP152" s="31"/>
      <c r="BQ152" s="31"/>
      <c r="BR152" s="31"/>
      <c r="BS152" s="31"/>
      <c r="BT152" s="31"/>
      <c r="BU152" s="31"/>
      <c r="BV152" s="31"/>
      <c r="BW152" s="31"/>
      <c r="BX152" s="32"/>
      <c r="BY152" s="31"/>
      <c r="BZ152" s="31"/>
      <c r="CA152" s="31"/>
      <c r="CB152" s="31"/>
      <c r="CC152" s="31"/>
      <c r="CD152" s="31"/>
      <c r="CE152" s="31"/>
      <c r="CF152" s="31"/>
      <c r="CG152" s="31"/>
      <c r="CH152" s="31"/>
      <c r="CI152" s="31"/>
      <c r="CJ152" s="31"/>
      <c r="CK152" s="31"/>
      <c r="CL152" s="31"/>
      <c r="CM152" s="31"/>
      <c r="CN152" s="31"/>
      <c r="CO152" s="31"/>
      <c r="CP152" s="31"/>
      <c r="CQ152" s="32"/>
    </row>
    <row r="153" spans="1:95" x14ac:dyDescent="0.2">
      <c r="A153" s="30"/>
      <c r="B153" s="31"/>
      <c r="C153" s="31"/>
      <c r="D153" s="31"/>
      <c r="E153" s="31"/>
      <c r="F153" s="31"/>
      <c r="G153" s="31"/>
      <c r="H153" s="31"/>
      <c r="I153" s="31"/>
      <c r="J153" s="31"/>
      <c r="K153" s="31"/>
      <c r="L153" s="31"/>
      <c r="M153" s="31"/>
      <c r="N153" s="31"/>
      <c r="O153" s="31"/>
      <c r="P153" s="31"/>
      <c r="Q153" s="31"/>
      <c r="R153" s="31"/>
      <c r="S153" s="32"/>
      <c r="T153" s="30"/>
      <c r="U153" s="31"/>
      <c r="V153" s="31"/>
      <c r="W153" s="31"/>
      <c r="X153" s="31"/>
      <c r="Y153" s="31"/>
      <c r="Z153" s="31"/>
      <c r="AA153" s="31"/>
      <c r="AB153" s="31"/>
      <c r="AC153" s="31"/>
      <c r="AD153" s="31"/>
      <c r="AE153" s="31"/>
      <c r="AF153" s="31"/>
      <c r="AG153" s="31"/>
      <c r="AH153" s="31"/>
      <c r="AI153" s="31"/>
      <c r="AJ153" s="31"/>
      <c r="AK153" s="31"/>
      <c r="AL153" s="32"/>
      <c r="AM153" s="30"/>
      <c r="AN153" s="31"/>
      <c r="AO153" s="31"/>
      <c r="AP153" s="31"/>
      <c r="AQ153" s="31"/>
      <c r="AR153" s="31"/>
      <c r="AS153" s="31"/>
      <c r="AT153" s="31"/>
      <c r="AU153" s="31"/>
      <c r="AV153" s="31"/>
      <c r="AW153" s="31"/>
      <c r="AX153" s="31"/>
      <c r="AY153" s="31"/>
      <c r="AZ153" s="31"/>
      <c r="BA153" s="31"/>
      <c r="BB153" s="31"/>
      <c r="BC153" s="31"/>
      <c r="BD153" s="31"/>
      <c r="BE153" s="32"/>
      <c r="BF153" s="30"/>
      <c r="BG153" s="31"/>
      <c r="BH153" s="31"/>
      <c r="BI153" s="31"/>
      <c r="BJ153" s="31"/>
      <c r="BK153" s="31"/>
      <c r="BL153" s="31"/>
      <c r="BM153" s="31"/>
      <c r="BN153" s="31"/>
      <c r="BO153" s="31"/>
      <c r="BP153" s="31"/>
      <c r="BQ153" s="31"/>
      <c r="BR153" s="31"/>
      <c r="BS153" s="31"/>
      <c r="BT153" s="31"/>
      <c r="BU153" s="31"/>
      <c r="BV153" s="31"/>
      <c r="BW153" s="31"/>
      <c r="BX153" s="32"/>
      <c r="BY153" s="31"/>
      <c r="BZ153" s="31"/>
      <c r="CA153" s="31"/>
      <c r="CB153" s="31"/>
      <c r="CC153" s="31"/>
      <c r="CD153" s="31"/>
      <c r="CE153" s="31"/>
      <c r="CF153" s="31"/>
      <c r="CG153" s="31"/>
      <c r="CH153" s="31"/>
      <c r="CI153" s="31"/>
      <c r="CJ153" s="31"/>
      <c r="CK153" s="31"/>
      <c r="CL153" s="31"/>
      <c r="CM153" s="31"/>
      <c r="CN153" s="31"/>
      <c r="CO153" s="31"/>
      <c r="CP153" s="31"/>
      <c r="CQ153" s="32"/>
    </row>
    <row r="154" spans="1:95" x14ac:dyDescent="0.2">
      <c r="A154" s="30"/>
      <c r="B154" s="31"/>
      <c r="C154" s="31"/>
      <c r="D154" s="31"/>
      <c r="E154" s="31"/>
      <c r="F154" s="31"/>
      <c r="G154" s="31"/>
      <c r="H154" s="31"/>
      <c r="I154" s="31"/>
      <c r="J154" s="31"/>
      <c r="K154" s="31"/>
      <c r="L154" s="31"/>
      <c r="M154" s="31"/>
      <c r="N154" s="31"/>
      <c r="O154" s="31"/>
      <c r="P154" s="31"/>
      <c r="Q154" s="31"/>
      <c r="R154" s="31"/>
      <c r="S154" s="32"/>
      <c r="T154" s="30"/>
      <c r="U154" s="31"/>
      <c r="V154" s="31"/>
      <c r="W154" s="31"/>
      <c r="X154" s="31"/>
      <c r="Y154" s="31"/>
      <c r="Z154" s="31"/>
      <c r="AA154" s="31"/>
      <c r="AB154" s="31"/>
      <c r="AC154" s="31"/>
      <c r="AD154" s="31"/>
      <c r="AE154" s="31"/>
      <c r="AF154" s="31"/>
      <c r="AG154" s="31"/>
      <c r="AH154" s="31"/>
      <c r="AI154" s="31"/>
      <c r="AJ154" s="31"/>
      <c r="AK154" s="31"/>
      <c r="AL154" s="32"/>
      <c r="AM154" s="30"/>
      <c r="AN154" s="31"/>
      <c r="AO154" s="31"/>
      <c r="AP154" s="31"/>
      <c r="AQ154" s="31"/>
      <c r="AR154" s="31"/>
      <c r="AS154" s="31"/>
      <c r="AT154" s="31"/>
      <c r="AU154" s="31"/>
      <c r="AV154" s="31"/>
      <c r="AW154" s="31"/>
      <c r="AX154" s="31"/>
      <c r="AY154" s="31"/>
      <c r="AZ154" s="31"/>
      <c r="BA154" s="31"/>
      <c r="BB154" s="31"/>
      <c r="BC154" s="31"/>
      <c r="BD154" s="31"/>
      <c r="BE154" s="32"/>
      <c r="BF154" s="30"/>
      <c r="BG154" s="31"/>
      <c r="BH154" s="31"/>
      <c r="BI154" s="31"/>
      <c r="BJ154" s="31"/>
      <c r="BK154" s="31"/>
      <c r="BL154" s="31"/>
      <c r="BM154" s="31"/>
      <c r="BN154" s="31"/>
      <c r="BO154" s="31"/>
      <c r="BP154" s="31"/>
      <c r="BQ154" s="31"/>
      <c r="BR154" s="31"/>
      <c r="BS154" s="31"/>
      <c r="BT154" s="31"/>
      <c r="BU154" s="31"/>
      <c r="BV154" s="31"/>
      <c r="BW154" s="31"/>
      <c r="BX154" s="32"/>
      <c r="BY154" s="31"/>
      <c r="BZ154" s="31"/>
      <c r="CA154" s="31"/>
      <c r="CB154" s="31"/>
      <c r="CC154" s="31"/>
      <c r="CD154" s="31"/>
      <c r="CE154" s="31"/>
      <c r="CF154" s="31"/>
      <c r="CG154" s="31"/>
      <c r="CH154" s="31"/>
      <c r="CI154" s="31"/>
      <c r="CJ154" s="31"/>
      <c r="CK154" s="31"/>
      <c r="CL154" s="31"/>
      <c r="CM154" s="31"/>
      <c r="CN154" s="31"/>
      <c r="CO154" s="31"/>
      <c r="CP154" s="31"/>
      <c r="CQ154" s="32"/>
    </row>
    <row r="155" spans="1:95" x14ac:dyDescent="0.2">
      <c r="A155" s="30"/>
      <c r="B155" s="31"/>
      <c r="C155" s="31"/>
      <c r="D155" s="31"/>
      <c r="E155" s="31"/>
      <c r="F155" s="31"/>
      <c r="G155" s="31"/>
      <c r="H155" s="31"/>
      <c r="I155" s="31"/>
      <c r="J155" s="31"/>
      <c r="K155" s="31"/>
      <c r="L155" s="31"/>
      <c r="M155" s="31"/>
      <c r="N155" s="31"/>
      <c r="O155" s="31"/>
      <c r="P155" s="31"/>
      <c r="Q155" s="31"/>
      <c r="R155" s="31"/>
      <c r="S155" s="32"/>
      <c r="T155" s="30"/>
      <c r="U155" s="31"/>
      <c r="V155" s="31"/>
      <c r="W155" s="31"/>
      <c r="X155" s="31"/>
      <c r="Y155" s="31"/>
      <c r="Z155" s="31"/>
      <c r="AA155" s="31"/>
      <c r="AB155" s="31"/>
      <c r="AC155" s="31"/>
      <c r="AD155" s="31"/>
      <c r="AE155" s="31"/>
      <c r="AF155" s="31"/>
      <c r="AG155" s="31"/>
      <c r="AH155" s="31"/>
      <c r="AI155" s="31"/>
      <c r="AJ155" s="31"/>
      <c r="AK155" s="31"/>
      <c r="AL155" s="32"/>
      <c r="AM155" s="30"/>
      <c r="AN155" s="31"/>
      <c r="AO155" s="31"/>
      <c r="AP155" s="31"/>
      <c r="AQ155" s="31"/>
      <c r="AR155" s="31"/>
      <c r="AS155" s="31"/>
      <c r="AT155" s="31"/>
      <c r="AU155" s="31"/>
      <c r="AV155" s="31"/>
      <c r="AW155" s="31"/>
      <c r="AX155" s="31"/>
      <c r="AY155" s="31"/>
      <c r="AZ155" s="31"/>
      <c r="BA155" s="31"/>
      <c r="BB155" s="31"/>
      <c r="BC155" s="31"/>
      <c r="BD155" s="31"/>
      <c r="BE155" s="32"/>
      <c r="BF155" s="30"/>
      <c r="BG155" s="31"/>
      <c r="BH155" s="31"/>
      <c r="BI155" s="31"/>
      <c r="BJ155" s="31"/>
      <c r="BK155" s="31"/>
      <c r="BL155" s="31"/>
      <c r="BM155" s="31"/>
      <c r="BN155" s="31"/>
      <c r="BO155" s="31"/>
      <c r="BP155" s="31"/>
      <c r="BQ155" s="31"/>
      <c r="BR155" s="31"/>
      <c r="BS155" s="31"/>
      <c r="BT155" s="31"/>
      <c r="BU155" s="31"/>
      <c r="BV155" s="31"/>
      <c r="BW155" s="31"/>
      <c r="BX155" s="32"/>
      <c r="BY155" s="31"/>
      <c r="BZ155" s="31"/>
      <c r="CA155" s="31"/>
      <c r="CB155" s="31"/>
      <c r="CC155" s="31"/>
      <c r="CD155" s="31"/>
      <c r="CE155" s="31"/>
      <c r="CF155" s="31"/>
      <c r="CG155" s="31"/>
      <c r="CH155" s="31"/>
      <c r="CI155" s="31"/>
      <c r="CJ155" s="31"/>
      <c r="CK155" s="31"/>
      <c r="CL155" s="31"/>
      <c r="CM155" s="31"/>
      <c r="CN155" s="31"/>
      <c r="CO155" s="31"/>
      <c r="CP155" s="31"/>
      <c r="CQ155" s="32"/>
    </row>
    <row r="156" spans="1:95" x14ac:dyDescent="0.2">
      <c r="A156" s="30"/>
      <c r="B156" s="31"/>
      <c r="C156" s="31"/>
      <c r="D156" s="31"/>
      <c r="E156" s="31"/>
      <c r="F156" s="31"/>
      <c r="G156" s="31"/>
      <c r="H156" s="31"/>
      <c r="I156" s="31"/>
      <c r="J156" s="31"/>
      <c r="K156" s="31"/>
      <c r="L156" s="31"/>
      <c r="M156" s="31"/>
      <c r="N156" s="31"/>
      <c r="O156" s="31"/>
      <c r="P156" s="31"/>
      <c r="Q156" s="31"/>
      <c r="R156" s="31"/>
      <c r="S156" s="32"/>
      <c r="T156" s="30"/>
      <c r="U156" s="31"/>
      <c r="V156" s="31"/>
      <c r="W156" s="31"/>
      <c r="X156" s="31"/>
      <c r="Y156" s="31"/>
      <c r="Z156" s="31"/>
      <c r="AA156" s="31"/>
      <c r="AB156" s="31"/>
      <c r="AC156" s="31"/>
      <c r="AD156" s="31"/>
      <c r="AE156" s="31"/>
      <c r="AF156" s="31"/>
      <c r="AG156" s="31"/>
      <c r="AH156" s="31"/>
      <c r="AI156" s="31"/>
      <c r="AJ156" s="31"/>
      <c r="AK156" s="31"/>
      <c r="AL156" s="32"/>
      <c r="AM156" s="30"/>
      <c r="AN156" s="31"/>
      <c r="AO156" s="31"/>
      <c r="AP156" s="31"/>
      <c r="AQ156" s="31"/>
      <c r="AR156" s="31"/>
      <c r="AS156" s="31"/>
      <c r="AT156" s="31"/>
      <c r="AU156" s="31"/>
      <c r="AV156" s="31"/>
      <c r="AW156" s="31"/>
      <c r="AX156" s="31"/>
      <c r="AY156" s="31"/>
      <c r="AZ156" s="31"/>
      <c r="BA156" s="31"/>
      <c r="BB156" s="31"/>
      <c r="BC156" s="31"/>
      <c r="BD156" s="31"/>
      <c r="BE156" s="32"/>
      <c r="BF156" s="30"/>
      <c r="BG156" s="31"/>
      <c r="BH156" s="31"/>
      <c r="BI156" s="31"/>
      <c r="BJ156" s="31"/>
      <c r="BK156" s="31"/>
      <c r="BL156" s="31"/>
      <c r="BM156" s="31"/>
      <c r="BN156" s="31"/>
      <c r="BO156" s="31"/>
      <c r="BP156" s="31"/>
      <c r="BQ156" s="31"/>
      <c r="BR156" s="31"/>
      <c r="BS156" s="31"/>
      <c r="BT156" s="31"/>
      <c r="BU156" s="31"/>
      <c r="BV156" s="31"/>
      <c r="BW156" s="31"/>
      <c r="BX156" s="32"/>
      <c r="BY156" s="31"/>
      <c r="BZ156" s="31"/>
      <c r="CA156" s="31"/>
      <c r="CB156" s="31"/>
      <c r="CC156" s="31"/>
      <c r="CD156" s="31"/>
      <c r="CE156" s="31"/>
      <c r="CF156" s="31"/>
      <c r="CG156" s="31"/>
      <c r="CH156" s="31"/>
      <c r="CI156" s="31"/>
      <c r="CJ156" s="31"/>
      <c r="CK156" s="31"/>
      <c r="CL156" s="31"/>
      <c r="CM156" s="31"/>
      <c r="CN156" s="31"/>
      <c r="CO156" s="31"/>
      <c r="CP156" s="31"/>
      <c r="CQ156" s="32"/>
    </row>
    <row r="157" spans="1:95" x14ac:dyDescent="0.2">
      <c r="A157" s="30"/>
      <c r="B157" s="31"/>
      <c r="C157" s="31"/>
      <c r="D157" s="31"/>
      <c r="E157" s="31"/>
      <c r="F157" s="31"/>
      <c r="G157" s="31"/>
      <c r="H157" s="31"/>
      <c r="I157" s="31"/>
      <c r="J157" s="31"/>
      <c r="K157" s="31"/>
      <c r="L157" s="31"/>
      <c r="M157" s="31"/>
      <c r="N157" s="31"/>
      <c r="O157" s="31"/>
      <c r="P157" s="31"/>
      <c r="Q157" s="31"/>
      <c r="R157" s="31"/>
      <c r="S157" s="32"/>
      <c r="T157" s="30"/>
      <c r="U157" s="31"/>
      <c r="V157" s="31"/>
      <c r="W157" s="31"/>
      <c r="X157" s="31"/>
      <c r="Y157" s="31"/>
      <c r="Z157" s="31"/>
      <c r="AA157" s="31"/>
      <c r="AB157" s="31"/>
      <c r="AC157" s="31"/>
      <c r="AD157" s="31"/>
      <c r="AE157" s="31"/>
      <c r="AF157" s="31"/>
      <c r="AG157" s="31"/>
      <c r="AH157" s="31"/>
      <c r="AI157" s="31"/>
      <c r="AJ157" s="31"/>
      <c r="AK157" s="31"/>
      <c r="AL157" s="32"/>
      <c r="AM157" s="30"/>
      <c r="AN157" s="31"/>
      <c r="AO157" s="31"/>
      <c r="AP157" s="31"/>
      <c r="AQ157" s="31"/>
      <c r="AR157" s="31"/>
      <c r="AS157" s="31"/>
      <c r="AT157" s="31"/>
      <c r="AU157" s="31"/>
      <c r="AV157" s="31"/>
      <c r="AW157" s="31"/>
      <c r="AX157" s="31"/>
      <c r="AY157" s="31"/>
      <c r="AZ157" s="31"/>
      <c r="BA157" s="31"/>
      <c r="BB157" s="31"/>
      <c r="BC157" s="31"/>
      <c r="BD157" s="31"/>
      <c r="BE157" s="32"/>
      <c r="BF157" s="30"/>
      <c r="BG157" s="31"/>
      <c r="BH157" s="31"/>
      <c r="BI157" s="31"/>
      <c r="BJ157" s="31"/>
      <c r="BK157" s="31"/>
      <c r="BL157" s="31"/>
      <c r="BM157" s="31"/>
      <c r="BN157" s="31"/>
      <c r="BO157" s="31"/>
      <c r="BP157" s="31"/>
      <c r="BQ157" s="31"/>
      <c r="BR157" s="31"/>
      <c r="BS157" s="31"/>
      <c r="BT157" s="31"/>
      <c r="BU157" s="31"/>
      <c r="BV157" s="31"/>
      <c r="BW157" s="31"/>
      <c r="BX157" s="32"/>
      <c r="BY157" s="31"/>
      <c r="BZ157" s="31"/>
      <c r="CA157" s="31"/>
      <c r="CB157" s="31"/>
      <c r="CC157" s="31"/>
      <c r="CD157" s="31"/>
      <c r="CE157" s="31"/>
      <c r="CF157" s="31"/>
      <c r="CG157" s="31"/>
      <c r="CH157" s="31"/>
      <c r="CI157" s="31"/>
      <c r="CJ157" s="31"/>
      <c r="CK157" s="31"/>
      <c r="CL157" s="31"/>
      <c r="CM157" s="31"/>
      <c r="CN157" s="31"/>
      <c r="CO157" s="31"/>
      <c r="CP157" s="31"/>
      <c r="CQ157" s="32"/>
    </row>
    <row r="158" spans="1:95" x14ac:dyDescent="0.2">
      <c r="A158" s="30"/>
      <c r="B158" s="31"/>
      <c r="C158" s="31"/>
      <c r="D158" s="31"/>
      <c r="E158" s="31"/>
      <c r="F158" s="31"/>
      <c r="G158" s="31"/>
      <c r="H158" s="31"/>
      <c r="I158" s="31"/>
      <c r="J158" s="31"/>
      <c r="K158" s="31"/>
      <c r="L158" s="31"/>
      <c r="M158" s="31"/>
      <c r="N158" s="31"/>
      <c r="O158" s="31"/>
      <c r="P158" s="31"/>
      <c r="Q158" s="31"/>
      <c r="R158" s="31"/>
      <c r="S158" s="32"/>
      <c r="T158" s="30"/>
      <c r="U158" s="31"/>
      <c r="V158" s="31"/>
      <c r="W158" s="31"/>
      <c r="X158" s="31"/>
      <c r="Y158" s="31"/>
      <c r="Z158" s="31"/>
      <c r="AA158" s="31"/>
      <c r="AB158" s="31"/>
      <c r="AC158" s="31"/>
      <c r="AD158" s="31"/>
      <c r="AE158" s="31"/>
      <c r="AF158" s="31"/>
      <c r="AG158" s="31"/>
      <c r="AH158" s="31"/>
      <c r="AI158" s="31"/>
      <c r="AJ158" s="31"/>
      <c r="AK158" s="31"/>
      <c r="AL158" s="32"/>
      <c r="AM158" s="30"/>
      <c r="AN158" s="31"/>
      <c r="AO158" s="31"/>
      <c r="AP158" s="31"/>
      <c r="AQ158" s="31"/>
      <c r="AR158" s="31"/>
      <c r="AS158" s="31"/>
      <c r="AT158" s="31"/>
      <c r="AU158" s="31"/>
      <c r="AV158" s="31"/>
      <c r="AW158" s="31"/>
      <c r="AX158" s="31"/>
      <c r="AY158" s="31"/>
      <c r="AZ158" s="31"/>
      <c r="BA158" s="31"/>
      <c r="BB158" s="31"/>
      <c r="BC158" s="31"/>
      <c r="BD158" s="31"/>
      <c r="BE158" s="32"/>
      <c r="BF158" s="30"/>
      <c r="BG158" s="31"/>
      <c r="BH158" s="31"/>
      <c r="BI158" s="31"/>
      <c r="BJ158" s="31"/>
      <c r="BK158" s="31"/>
      <c r="BL158" s="31"/>
      <c r="BM158" s="31"/>
      <c r="BN158" s="31"/>
      <c r="BO158" s="31"/>
      <c r="BP158" s="31"/>
      <c r="BQ158" s="31"/>
      <c r="BR158" s="31"/>
      <c r="BS158" s="31"/>
      <c r="BT158" s="31"/>
      <c r="BU158" s="31"/>
      <c r="BV158" s="31"/>
      <c r="BW158" s="31"/>
      <c r="BX158" s="32"/>
      <c r="BY158" s="31"/>
      <c r="BZ158" s="31"/>
      <c r="CA158" s="31"/>
      <c r="CB158" s="31"/>
      <c r="CC158" s="31"/>
      <c r="CD158" s="31"/>
      <c r="CE158" s="31"/>
      <c r="CF158" s="31"/>
      <c r="CG158" s="31"/>
      <c r="CH158" s="31"/>
      <c r="CI158" s="31"/>
      <c r="CJ158" s="31"/>
      <c r="CK158" s="31"/>
      <c r="CL158" s="31"/>
      <c r="CM158" s="31"/>
      <c r="CN158" s="31"/>
      <c r="CO158" s="31"/>
      <c r="CP158" s="31"/>
      <c r="CQ158" s="32"/>
    </row>
    <row r="159" spans="1:95" x14ac:dyDescent="0.2">
      <c r="A159" s="30"/>
      <c r="B159" s="31"/>
      <c r="C159" s="31"/>
      <c r="D159" s="31"/>
      <c r="E159" s="31"/>
      <c r="F159" s="31"/>
      <c r="G159" s="31"/>
      <c r="H159" s="31"/>
      <c r="I159" s="31"/>
      <c r="J159" s="31"/>
      <c r="K159" s="31"/>
      <c r="L159" s="31"/>
      <c r="M159" s="31"/>
      <c r="N159" s="31"/>
      <c r="O159" s="31"/>
      <c r="P159" s="31"/>
      <c r="Q159" s="31"/>
      <c r="R159" s="31"/>
      <c r="S159" s="32"/>
      <c r="T159" s="30"/>
      <c r="U159" s="31"/>
      <c r="V159" s="31"/>
      <c r="W159" s="31"/>
      <c r="X159" s="31"/>
      <c r="Y159" s="31"/>
      <c r="Z159" s="31"/>
      <c r="AA159" s="31"/>
      <c r="AB159" s="31"/>
      <c r="AC159" s="31"/>
      <c r="AD159" s="31"/>
      <c r="AE159" s="31"/>
      <c r="AF159" s="31"/>
      <c r="AG159" s="31"/>
      <c r="AH159" s="31"/>
      <c r="AI159" s="31"/>
      <c r="AJ159" s="31"/>
      <c r="AK159" s="31"/>
      <c r="AL159" s="32"/>
      <c r="AM159" s="30"/>
      <c r="AN159" s="31"/>
      <c r="AO159" s="31"/>
      <c r="AP159" s="31"/>
      <c r="AQ159" s="31"/>
      <c r="AR159" s="31"/>
      <c r="AS159" s="31"/>
      <c r="AT159" s="31"/>
      <c r="AU159" s="31"/>
      <c r="AV159" s="31"/>
      <c r="AW159" s="31"/>
      <c r="AX159" s="31"/>
      <c r="AY159" s="31"/>
      <c r="AZ159" s="31"/>
      <c r="BA159" s="31"/>
      <c r="BB159" s="31"/>
      <c r="BC159" s="31"/>
      <c r="BD159" s="31"/>
      <c r="BE159" s="32"/>
      <c r="BF159" s="30"/>
      <c r="BG159" s="31"/>
      <c r="BH159" s="31"/>
      <c r="BI159" s="31"/>
      <c r="BJ159" s="31"/>
      <c r="BK159" s="31"/>
      <c r="BL159" s="31"/>
      <c r="BM159" s="31"/>
      <c r="BN159" s="31"/>
      <c r="BO159" s="31"/>
      <c r="BP159" s="31"/>
      <c r="BQ159" s="31"/>
      <c r="BR159" s="31"/>
      <c r="BS159" s="31"/>
      <c r="BT159" s="31"/>
      <c r="BU159" s="31"/>
      <c r="BV159" s="31"/>
      <c r="BW159" s="31"/>
      <c r="BX159" s="32"/>
      <c r="BY159" s="31"/>
      <c r="BZ159" s="31"/>
      <c r="CA159" s="31"/>
      <c r="CB159" s="31"/>
      <c r="CC159" s="31"/>
      <c r="CD159" s="31"/>
      <c r="CE159" s="31"/>
      <c r="CF159" s="31"/>
      <c r="CG159" s="31"/>
      <c r="CH159" s="31"/>
      <c r="CI159" s="31"/>
      <c r="CJ159" s="31"/>
      <c r="CK159" s="31"/>
      <c r="CL159" s="31"/>
      <c r="CM159" s="31"/>
      <c r="CN159" s="31"/>
      <c r="CO159" s="31"/>
      <c r="CP159" s="31"/>
      <c r="CQ159" s="32"/>
    </row>
    <row r="160" spans="1:95" x14ac:dyDescent="0.2">
      <c r="A160" s="30"/>
      <c r="B160" s="31"/>
      <c r="C160" s="31"/>
      <c r="D160" s="31"/>
      <c r="E160" s="31"/>
      <c r="F160" s="31"/>
      <c r="G160" s="31"/>
      <c r="H160" s="31"/>
      <c r="I160" s="31"/>
      <c r="J160" s="31"/>
      <c r="K160" s="31"/>
      <c r="L160" s="31"/>
      <c r="M160" s="31"/>
      <c r="N160" s="31"/>
      <c r="O160" s="31"/>
      <c r="P160" s="31"/>
      <c r="Q160" s="31"/>
      <c r="R160" s="31"/>
      <c r="S160" s="32"/>
      <c r="T160" s="30"/>
      <c r="U160" s="31"/>
      <c r="V160" s="31"/>
      <c r="W160" s="31"/>
      <c r="X160" s="31"/>
      <c r="Y160" s="31"/>
      <c r="Z160" s="31"/>
      <c r="AA160" s="31"/>
      <c r="AB160" s="31"/>
      <c r="AC160" s="31"/>
      <c r="AD160" s="31"/>
      <c r="AE160" s="31"/>
      <c r="AF160" s="31"/>
      <c r="AG160" s="31"/>
      <c r="AH160" s="31"/>
      <c r="AI160" s="31"/>
      <c r="AJ160" s="31"/>
      <c r="AK160" s="31"/>
      <c r="AL160" s="32"/>
      <c r="AM160" s="30"/>
      <c r="AN160" s="31"/>
      <c r="AO160" s="31"/>
      <c r="AP160" s="31"/>
      <c r="AQ160" s="31"/>
      <c r="AR160" s="31"/>
      <c r="AS160" s="31"/>
      <c r="AT160" s="31"/>
      <c r="AU160" s="31"/>
      <c r="AV160" s="31"/>
      <c r="AW160" s="31"/>
      <c r="AX160" s="31"/>
      <c r="AY160" s="31"/>
      <c r="AZ160" s="31"/>
      <c r="BA160" s="31"/>
      <c r="BB160" s="31"/>
      <c r="BC160" s="31"/>
      <c r="BD160" s="31"/>
      <c r="BE160" s="32"/>
      <c r="BF160" s="30"/>
      <c r="BG160" s="31"/>
      <c r="BH160" s="31"/>
      <c r="BI160" s="31"/>
      <c r="BJ160" s="31"/>
      <c r="BK160" s="31"/>
      <c r="BL160" s="31"/>
      <c r="BM160" s="31"/>
      <c r="BN160" s="31"/>
      <c r="BO160" s="31"/>
      <c r="BP160" s="31"/>
      <c r="BQ160" s="31"/>
      <c r="BR160" s="31"/>
      <c r="BS160" s="31"/>
      <c r="BT160" s="31"/>
      <c r="BU160" s="31"/>
      <c r="BV160" s="31"/>
      <c r="BW160" s="31"/>
      <c r="BX160" s="32"/>
      <c r="BY160" s="31"/>
      <c r="BZ160" s="31"/>
      <c r="CA160" s="31"/>
      <c r="CB160" s="31"/>
      <c r="CC160" s="31"/>
      <c r="CD160" s="31"/>
      <c r="CE160" s="31"/>
      <c r="CF160" s="31"/>
      <c r="CG160" s="31"/>
      <c r="CH160" s="31"/>
      <c r="CI160" s="31"/>
      <c r="CJ160" s="31"/>
      <c r="CK160" s="31"/>
      <c r="CL160" s="31"/>
      <c r="CM160" s="31"/>
      <c r="CN160" s="31"/>
      <c r="CO160" s="31"/>
      <c r="CP160" s="31"/>
      <c r="CQ160" s="32"/>
    </row>
    <row r="161" spans="1:95" x14ac:dyDescent="0.2">
      <c r="A161" s="30"/>
      <c r="B161" s="31"/>
      <c r="C161" s="31"/>
      <c r="D161" s="31"/>
      <c r="E161" s="31"/>
      <c r="F161" s="31"/>
      <c r="G161" s="31"/>
      <c r="H161" s="31"/>
      <c r="I161" s="31"/>
      <c r="J161" s="31"/>
      <c r="K161" s="31"/>
      <c r="L161" s="31"/>
      <c r="M161" s="31"/>
      <c r="N161" s="31"/>
      <c r="O161" s="31"/>
      <c r="P161" s="31"/>
      <c r="Q161" s="31"/>
      <c r="R161" s="31"/>
      <c r="S161" s="32"/>
      <c r="T161" s="30"/>
      <c r="U161" s="31"/>
      <c r="V161" s="31"/>
      <c r="W161" s="31"/>
      <c r="X161" s="31"/>
      <c r="Y161" s="31"/>
      <c r="Z161" s="31"/>
      <c r="AA161" s="31"/>
      <c r="AB161" s="31"/>
      <c r="AC161" s="31"/>
      <c r="AD161" s="31"/>
      <c r="AE161" s="31"/>
      <c r="AF161" s="31"/>
      <c r="AG161" s="31"/>
      <c r="AH161" s="31"/>
      <c r="AI161" s="31"/>
      <c r="AJ161" s="31"/>
      <c r="AK161" s="31"/>
      <c r="AL161" s="32"/>
      <c r="AM161" s="30"/>
      <c r="AN161" s="31"/>
      <c r="AO161" s="31"/>
      <c r="AP161" s="31"/>
      <c r="AQ161" s="31"/>
      <c r="AR161" s="31"/>
      <c r="AS161" s="31"/>
      <c r="AT161" s="31"/>
      <c r="AU161" s="31"/>
      <c r="AV161" s="31"/>
      <c r="AW161" s="31"/>
      <c r="AX161" s="31"/>
      <c r="AY161" s="31"/>
      <c r="AZ161" s="31"/>
      <c r="BA161" s="31"/>
      <c r="BB161" s="31"/>
      <c r="BC161" s="31"/>
      <c r="BD161" s="31"/>
      <c r="BE161" s="32"/>
      <c r="BF161" s="30"/>
      <c r="BG161" s="31"/>
      <c r="BH161" s="31"/>
      <c r="BI161" s="31"/>
      <c r="BJ161" s="31"/>
      <c r="BK161" s="31"/>
      <c r="BL161" s="31"/>
      <c r="BM161" s="31"/>
      <c r="BN161" s="31"/>
      <c r="BO161" s="31"/>
      <c r="BP161" s="31"/>
      <c r="BQ161" s="31"/>
      <c r="BR161" s="31"/>
      <c r="BS161" s="31"/>
      <c r="BT161" s="31"/>
      <c r="BU161" s="31"/>
      <c r="BV161" s="31"/>
      <c r="BW161" s="31"/>
      <c r="BX161" s="32"/>
      <c r="BY161" s="31"/>
      <c r="BZ161" s="31"/>
      <c r="CA161" s="31"/>
      <c r="CB161" s="31"/>
      <c r="CC161" s="31"/>
      <c r="CD161" s="31"/>
      <c r="CE161" s="31"/>
      <c r="CF161" s="31"/>
      <c r="CG161" s="31"/>
      <c r="CH161" s="31"/>
      <c r="CI161" s="31"/>
      <c r="CJ161" s="31"/>
      <c r="CK161" s="31"/>
      <c r="CL161" s="31"/>
      <c r="CM161" s="31"/>
      <c r="CN161" s="31"/>
      <c r="CO161" s="31"/>
      <c r="CP161" s="31"/>
      <c r="CQ161" s="32"/>
    </row>
    <row r="162" spans="1:95" x14ac:dyDescent="0.2">
      <c r="A162" s="30"/>
      <c r="B162" s="31"/>
      <c r="C162" s="31"/>
      <c r="D162" s="31"/>
      <c r="E162" s="31"/>
      <c r="F162" s="31"/>
      <c r="G162" s="31"/>
      <c r="H162" s="31"/>
      <c r="I162" s="31"/>
      <c r="J162" s="31"/>
      <c r="K162" s="31"/>
      <c r="L162" s="31"/>
      <c r="M162" s="31"/>
      <c r="N162" s="31"/>
      <c r="O162" s="31"/>
      <c r="P162" s="31"/>
      <c r="Q162" s="31"/>
      <c r="R162" s="31"/>
      <c r="S162" s="32"/>
      <c r="T162" s="30"/>
      <c r="U162" s="31"/>
      <c r="V162" s="31"/>
      <c r="W162" s="31"/>
      <c r="X162" s="31"/>
      <c r="Y162" s="31"/>
      <c r="Z162" s="31"/>
      <c r="AA162" s="31"/>
      <c r="AB162" s="31"/>
      <c r="AC162" s="31"/>
      <c r="AD162" s="31"/>
      <c r="AE162" s="31"/>
      <c r="AF162" s="31"/>
      <c r="AG162" s="31"/>
      <c r="AH162" s="31"/>
      <c r="AI162" s="31"/>
      <c r="AJ162" s="31"/>
      <c r="AK162" s="31"/>
      <c r="AL162" s="32"/>
      <c r="AM162" s="30"/>
      <c r="AN162" s="31"/>
      <c r="AO162" s="31"/>
      <c r="AP162" s="31"/>
      <c r="AQ162" s="31"/>
      <c r="AR162" s="31"/>
      <c r="AS162" s="31"/>
      <c r="AT162" s="31"/>
      <c r="AU162" s="31"/>
      <c r="AV162" s="31"/>
      <c r="AW162" s="31"/>
      <c r="AX162" s="31"/>
      <c r="AY162" s="31"/>
      <c r="AZ162" s="31"/>
      <c r="BA162" s="31"/>
      <c r="BB162" s="31"/>
      <c r="BC162" s="31"/>
      <c r="BD162" s="31"/>
      <c r="BE162" s="32"/>
      <c r="BF162" s="30"/>
      <c r="BG162" s="31"/>
      <c r="BH162" s="31"/>
      <c r="BI162" s="31"/>
      <c r="BJ162" s="31"/>
      <c r="BK162" s="31"/>
      <c r="BL162" s="31"/>
      <c r="BM162" s="31"/>
      <c r="BN162" s="31"/>
      <c r="BO162" s="31"/>
      <c r="BP162" s="31"/>
      <c r="BQ162" s="31"/>
      <c r="BR162" s="31"/>
      <c r="BS162" s="31"/>
      <c r="BT162" s="31"/>
      <c r="BU162" s="31"/>
      <c r="BV162" s="31"/>
      <c r="BW162" s="31"/>
      <c r="BX162" s="32"/>
      <c r="BY162" s="31"/>
      <c r="BZ162" s="31"/>
      <c r="CA162" s="31"/>
      <c r="CB162" s="31"/>
      <c r="CC162" s="31"/>
      <c r="CD162" s="31"/>
      <c r="CE162" s="31"/>
      <c r="CF162" s="31"/>
      <c r="CG162" s="31"/>
      <c r="CH162" s="31"/>
      <c r="CI162" s="31"/>
      <c r="CJ162" s="31"/>
      <c r="CK162" s="31"/>
      <c r="CL162" s="31"/>
      <c r="CM162" s="31"/>
      <c r="CN162" s="31"/>
      <c r="CO162" s="31"/>
      <c r="CP162" s="31"/>
      <c r="CQ162" s="32"/>
    </row>
    <row r="163" spans="1:95" x14ac:dyDescent="0.2">
      <c r="A163" s="30"/>
      <c r="B163" s="31"/>
      <c r="C163" s="31"/>
      <c r="D163" s="31"/>
      <c r="E163" s="31"/>
      <c r="F163" s="31"/>
      <c r="G163" s="31"/>
      <c r="H163" s="31"/>
      <c r="I163" s="31"/>
      <c r="J163" s="31"/>
      <c r="K163" s="31"/>
      <c r="L163" s="31"/>
      <c r="M163" s="31"/>
      <c r="N163" s="31"/>
      <c r="O163" s="31"/>
      <c r="P163" s="31"/>
      <c r="Q163" s="31"/>
      <c r="R163" s="31"/>
      <c r="S163" s="32"/>
      <c r="T163" s="30"/>
      <c r="U163" s="31"/>
      <c r="V163" s="31"/>
      <c r="W163" s="31"/>
      <c r="X163" s="31"/>
      <c r="Y163" s="31"/>
      <c r="Z163" s="31"/>
      <c r="AA163" s="31"/>
      <c r="AB163" s="31"/>
      <c r="AC163" s="31"/>
      <c r="AD163" s="31"/>
      <c r="AE163" s="31"/>
      <c r="AF163" s="31"/>
      <c r="AG163" s="31"/>
      <c r="AH163" s="31"/>
      <c r="AI163" s="31"/>
      <c r="AJ163" s="31"/>
      <c r="AK163" s="31"/>
      <c r="AL163" s="32"/>
      <c r="AM163" s="30"/>
      <c r="AN163" s="31"/>
      <c r="AO163" s="31"/>
      <c r="AP163" s="31"/>
      <c r="AQ163" s="31"/>
      <c r="AR163" s="31"/>
      <c r="AS163" s="31"/>
      <c r="AT163" s="31"/>
      <c r="AU163" s="31"/>
      <c r="AV163" s="31"/>
      <c r="AW163" s="31"/>
      <c r="AX163" s="31"/>
      <c r="AY163" s="31"/>
      <c r="AZ163" s="31"/>
      <c r="BA163" s="31"/>
      <c r="BB163" s="31"/>
      <c r="BC163" s="31"/>
      <c r="BD163" s="31"/>
      <c r="BE163" s="32"/>
      <c r="BF163" s="30"/>
      <c r="BG163" s="31"/>
      <c r="BH163" s="31"/>
      <c r="BI163" s="31"/>
      <c r="BJ163" s="31"/>
      <c r="BK163" s="31"/>
      <c r="BL163" s="31"/>
      <c r="BM163" s="31"/>
      <c r="BN163" s="31"/>
      <c r="BO163" s="31"/>
      <c r="BP163" s="31"/>
      <c r="BQ163" s="31"/>
      <c r="BR163" s="31"/>
      <c r="BS163" s="31"/>
      <c r="BT163" s="31"/>
      <c r="BU163" s="31"/>
      <c r="BV163" s="31"/>
      <c r="BW163" s="31"/>
      <c r="BX163" s="32"/>
      <c r="BY163" s="31"/>
      <c r="BZ163" s="31"/>
      <c r="CA163" s="31"/>
      <c r="CB163" s="31"/>
      <c r="CC163" s="31"/>
      <c r="CD163" s="31"/>
      <c r="CE163" s="31"/>
      <c r="CF163" s="31"/>
      <c r="CG163" s="31"/>
      <c r="CH163" s="31"/>
      <c r="CI163" s="31"/>
      <c r="CJ163" s="31"/>
      <c r="CK163" s="31"/>
      <c r="CL163" s="31"/>
      <c r="CM163" s="31"/>
      <c r="CN163" s="31"/>
      <c r="CO163" s="31"/>
      <c r="CP163" s="31"/>
      <c r="CQ163" s="32"/>
    </row>
    <row r="164" spans="1:95" x14ac:dyDescent="0.2">
      <c r="A164" s="30"/>
      <c r="B164" s="31"/>
      <c r="C164" s="31"/>
      <c r="D164" s="31"/>
      <c r="E164" s="31"/>
      <c r="F164" s="31"/>
      <c r="G164" s="31"/>
      <c r="H164" s="31"/>
      <c r="I164" s="31"/>
      <c r="J164" s="31"/>
      <c r="K164" s="31"/>
      <c r="L164" s="31"/>
      <c r="M164" s="31"/>
      <c r="N164" s="31"/>
      <c r="O164" s="31"/>
      <c r="P164" s="31"/>
      <c r="Q164" s="31"/>
      <c r="R164" s="31"/>
      <c r="S164" s="32"/>
      <c r="T164" s="30"/>
      <c r="U164" s="31"/>
      <c r="V164" s="31"/>
      <c r="W164" s="31"/>
      <c r="X164" s="31"/>
      <c r="Y164" s="31"/>
      <c r="Z164" s="31"/>
      <c r="AA164" s="31"/>
      <c r="AB164" s="31"/>
      <c r="AC164" s="31"/>
      <c r="AD164" s="31"/>
      <c r="AE164" s="31"/>
      <c r="AF164" s="31"/>
      <c r="AG164" s="31"/>
      <c r="AH164" s="31"/>
      <c r="AI164" s="31"/>
      <c r="AJ164" s="31"/>
      <c r="AK164" s="31"/>
      <c r="AL164" s="32"/>
      <c r="AM164" s="30"/>
      <c r="AN164" s="31"/>
      <c r="AO164" s="31"/>
      <c r="AP164" s="31"/>
      <c r="AQ164" s="31"/>
      <c r="AR164" s="31"/>
      <c r="AS164" s="31"/>
      <c r="AT164" s="31"/>
      <c r="AU164" s="31"/>
      <c r="AV164" s="31"/>
      <c r="AW164" s="31"/>
      <c r="AX164" s="31"/>
      <c r="AY164" s="31"/>
      <c r="AZ164" s="31"/>
      <c r="BA164" s="31"/>
      <c r="BB164" s="31"/>
      <c r="BC164" s="31"/>
      <c r="BD164" s="31"/>
      <c r="BE164" s="32"/>
      <c r="BF164" s="30"/>
      <c r="BG164" s="31"/>
      <c r="BH164" s="31"/>
      <c r="BI164" s="31"/>
      <c r="BJ164" s="31"/>
      <c r="BK164" s="31"/>
      <c r="BL164" s="31"/>
      <c r="BM164" s="31"/>
      <c r="BN164" s="31"/>
      <c r="BO164" s="31"/>
      <c r="BP164" s="31"/>
      <c r="BQ164" s="31"/>
      <c r="BR164" s="31"/>
      <c r="BS164" s="31"/>
      <c r="BT164" s="31"/>
      <c r="BU164" s="31"/>
      <c r="BV164" s="31"/>
      <c r="BW164" s="31"/>
      <c r="BX164" s="32"/>
      <c r="BY164" s="31"/>
      <c r="BZ164" s="31"/>
      <c r="CA164" s="31"/>
      <c r="CB164" s="31"/>
      <c r="CC164" s="31"/>
      <c r="CD164" s="31"/>
      <c r="CE164" s="31"/>
      <c r="CF164" s="31"/>
      <c r="CG164" s="31"/>
      <c r="CH164" s="31"/>
      <c r="CI164" s="31"/>
      <c r="CJ164" s="31"/>
      <c r="CK164" s="31"/>
      <c r="CL164" s="31"/>
      <c r="CM164" s="31"/>
      <c r="CN164" s="31"/>
      <c r="CO164" s="31"/>
      <c r="CP164" s="31"/>
      <c r="CQ164" s="32"/>
    </row>
    <row r="165" spans="1:95" x14ac:dyDescent="0.2">
      <c r="A165" s="30"/>
      <c r="B165" s="31"/>
      <c r="C165" s="31"/>
      <c r="D165" s="31"/>
      <c r="E165" s="31"/>
      <c r="F165" s="31"/>
      <c r="G165" s="31"/>
      <c r="H165" s="31"/>
      <c r="I165" s="31"/>
      <c r="J165" s="31"/>
      <c r="K165" s="31"/>
      <c r="L165" s="31"/>
      <c r="M165" s="31"/>
      <c r="N165" s="31"/>
      <c r="O165" s="31"/>
      <c r="P165" s="31"/>
      <c r="Q165" s="31"/>
      <c r="R165" s="31"/>
      <c r="S165" s="32"/>
      <c r="T165" s="30"/>
      <c r="U165" s="31"/>
      <c r="V165" s="31"/>
      <c r="W165" s="31"/>
      <c r="X165" s="31"/>
      <c r="Y165" s="31"/>
      <c r="Z165" s="31"/>
      <c r="AA165" s="31"/>
      <c r="AB165" s="31"/>
      <c r="AC165" s="31"/>
      <c r="AD165" s="31"/>
      <c r="AE165" s="31"/>
      <c r="AF165" s="31"/>
      <c r="AG165" s="31"/>
      <c r="AH165" s="31"/>
      <c r="AI165" s="31"/>
      <c r="AJ165" s="31"/>
      <c r="AK165" s="31"/>
      <c r="AL165" s="32"/>
      <c r="AM165" s="30"/>
      <c r="AN165" s="31"/>
      <c r="AO165" s="31"/>
      <c r="AP165" s="31"/>
      <c r="AQ165" s="31"/>
      <c r="AR165" s="31"/>
      <c r="AS165" s="31"/>
      <c r="AT165" s="31"/>
      <c r="AU165" s="31"/>
      <c r="AV165" s="31"/>
      <c r="AW165" s="31"/>
      <c r="AX165" s="31"/>
      <c r="AY165" s="31"/>
      <c r="AZ165" s="31"/>
      <c r="BA165" s="31"/>
      <c r="BB165" s="31"/>
      <c r="BC165" s="31"/>
      <c r="BD165" s="31"/>
      <c r="BE165" s="32"/>
      <c r="BF165" s="30"/>
      <c r="BG165" s="31"/>
      <c r="BH165" s="31"/>
      <c r="BI165" s="31"/>
      <c r="BJ165" s="31"/>
      <c r="BK165" s="31"/>
      <c r="BL165" s="31"/>
      <c r="BM165" s="31"/>
      <c r="BN165" s="31"/>
      <c r="BO165" s="31"/>
      <c r="BP165" s="31"/>
      <c r="BQ165" s="31"/>
      <c r="BR165" s="31"/>
      <c r="BS165" s="31"/>
      <c r="BT165" s="31"/>
      <c r="BU165" s="31"/>
      <c r="BV165" s="31"/>
      <c r="BW165" s="31"/>
      <c r="BX165" s="32"/>
      <c r="BY165" s="31"/>
      <c r="BZ165" s="31"/>
      <c r="CA165" s="31"/>
      <c r="CB165" s="31"/>
      <c r="CC165" s="31"/>
      <c r="CD165" s="31"/>
      <c r="CE165" s="31"/>
      <c r="CF165" s="31"/>
      <c r="CG165" s="31"/>
      <c r="CH165" s="31"/>
      <c r="CI165" s="31"/>
      <c r="CJ165" s="31"/>
      <c r="CK165" s="31"/>
      <c r="CL165" s="31"/>
      <c r="CM165" s="31"/>
      <c r="CN165" s="31"/>
      <c r="CO165" s="31"/>
      <c r="CP165" s="31"/>
      <c r="CQ165" s="32"/>
    </row>
    <row r="166" spans="1:95" x14ac:dyDescent="0.2">
      <c r="A166" s="30"/>
      <c r="B166" s="31"/>
      <c r="C166" s="31"/>
      <c r="D166" s="31"/>
      <c r="E166" s="31"/>
      <c r="F166" s="31"/>
      <c r="G166" s="31"/>
      <c r="H166" s="31"/>
      <c r="I166" s="31"/>
      <c r="J166" s="31"/>
      <c r="K166" s="31"/>
      <c r="L166" s="31"/>
      <c r="M166" s="31"/>
      <c r="N166" s="31"/>
      <c r="O166" s="31"/>
      <c r="P166" s="31"/>
      <c r="Q166" s="31"/>
      <c r="R166" s="31"/>
      <c r="S166" s="32"/>
      <c r="T166" s="30"/>
      <c r="U166" s="31"/>
      <c r="V166" s="31"/>
      <c r="W166" s="31"/>
      <c r="X166" s="31"/>
      <c r="Y166" s="31"/>
      <c r="Z166" s="31"/>
      <c r="AA166" s="31"/>
      <c r="AB166" s="31"/>
      <c r="AC166" s="31"/>
      <c r="AD166" s="31"/>
      <c r="AE166" s="31"/>
      <c r="AF166" s="31"/>
      <c r="AG166" s="31"/>
      <c r="AH166" s="31"/>
      <c r="AI166" s="31"/>
      <c r="AJ166" s="31"/>
      <c r="AK166" s="31"/>
      <c r="AL166" s="32"/>
      <c r="AM166" s="30"/>
      <c r="AN166" s="31"/>
      <c r="AO166" s="31"/>
      <c r="AP166" s="31"/>
      <c r="AQ166" s="31"/>
      <c r="AR166" s="31"/>
      <c r="AS166" s="31"/>
      <c r="AT166" s="31"/>
      <c r="AU166" s="31"/>
      <c r="AV166" s="31"/>
      <c r="AW166" s="31"/>
      <c r="AX166" s="31"/>
      <c r="AY166" s="31"/>
      <c r="AZ166" s="31"/>
      <c r="BA166" s="31"/>
      <c r="BB166" s="31"/>
      <c r="BC166" s="31"/>
      <c r="BD166" s="31"/>
      <c r="BE166" s="32"/>
      <c r="BF166" s="30"/>
      <c r="BG166" s="31"/>
      <c r="BH166" s="31"/>
      <c r="BI166" s="31"/>
      <c r="BJ166" s="31"/>
      <c r="BK166" s="31"/>
      <c r="BL166" s="31"/>
      <c r="BM166" s="31"/>
      <c r="BN166" s="31"/>
      <c r="BO166" s="31"/>
      <c r="BP166" s="31"/>
      <c r="BQ166" s="31"/>
      <c r="BR166" s="31"/>
      <c r="BS166" s="31"/>
      <c r="BT166" s="31"/>
      <c r="BU166" s="31"/>
      <c r="BV166" s="31"/>
      <c r="BW166" s="31"/>
      <c r="BX166" s="32"/>
      <c r="BY166" s="31"/>
      <c r="BZ166" s="31"/>
      <c r="CA166" s="31"/>
      <c r="CB166" s="31"/>
      <c r="CC166" s="31"/>
      <c r="CD166" s="31"/>
      <c r="CE166" s="31"/>
      <c r="CF166" s="31"/>
      <c r="CG166" s="31"/>
      <c r="CH166" s="31"/>
      <c r="CI166" s="31"/>
      <c r="CJ166" s="31"/>
      <c r="CK166" s="31"/>
      <c r="CL166" s="31"/>
      <c r="CM166" s="31"/>
      <c r="CN166" s="31"/>
      <c r="CO166" s="31"/>
      <c r="CP166" s="31"/>
      <c r="CQ166" s="32"/>
    </row>
    <row r="167" spans="1:95" x14ac:dyDescent="0.2">
      <c r="A167" s="30"/>
      <c r="B167" s="31"/>
      <c r="C167" s="31"/>
      <c r="D167" s="31"/>
      <c r="E167" s="31"/>
      <c r="F167" s="31"/>
      <c r="G167" s="31"/>
      <c r="H167" s="31"/>
      <c r="I167" s="31"/>
      <c r="J167" s="31"/>
      <c r="K167" s="31"/>
      <c r="L167" s="31"/>
      <c r="M167" s="31"/>
      <c r="N167" s="31"/>
      <c r="O167" s="31"/>
      <c r="P167" s="31"/>
      <c r="Q167" s="31"/>
      <c r="R167" s="31"/>
      <c r="S167" s="32"/>
      <c r="T167" s="30"/>
      <c r="U167" s="31"/>
      <c r="V167" s="31"/>
      <c r="W167" s="31"/>
      <c r="X167" s="31"/>
      <c r="Y167" s="31"/>
      <c r="Z167" s="31"/>
      <c r="AA167" s="31"/>
      <c r="AB167" s="31"/>
      <c r="AC167" s="31"/>
      <c r="AD167" s="31"/>
      <c r="AE167" s="31"/>
      <c r="AF167" s="31"/>
      <c r="AG167" s="31"/>
      <c r="AH167" s="31"/>
      <c r="AI167" s="31"/>
      <c r="AJ167" s="31"/>
      <c r="AK167" s="31"/>
      <c r="AL167" s="32"/>
      <c r="AM167" s="30"/>
      <c r="AN167" s="31"/>
      <c r="AO167" s="31"/>
      <c r="AP167" s="31"/>
      <c r="AQ167" s="31"/>
      <c r="AR167" s="31"/>
      <c r="AS167" s="31"/>
      <c r="AT167" s="31"/>
      <c r="AU167" s="31"/>
      <c r="AV167" s="31"/>
      <c r="AW167" s="31"/>
      <c r="AX167" s="31"/>
      <c r="AY167" s="31"/>
      <c r="AZ167" s="31"/>
      <c r="BA167" s="31"/>
      <c r="BB167" s="31"/>
      <c r="BC167" s="31"/>
      <c r="BD167" s="31"/>
      <c r="BE167" s="32"/>
      <c r="BF167" s="30"/>
      <c r="BG167" s="31"/>
      <c r="BH167" s="31"/>
      <c r="BI167" s="31"/>
      <c r="BJ167" s="31"/>
      <c r="BK167" s="31"/>
      <c r="BL167" s="31"/>
      <c r="BM167" s="31"/>
      <c r="BN167" s="31"/>
      <c r="BO167" s="31"/>
      <c r="BP167" s="31"/>
      <c r="BQ167" s="31"/>
      <c r="BR167" s="31"/>
      <c r="BS167" s="31"/>
      <c r="BT167" s="31"/>
      <c r="BU167" s="31"/>
      <c r="BV167" s="31"/>
      <c r="BW167" s="31"/>
      <c r="BX167" s="32"/>
      <c r="BY167" s="31"/>
      <c r="BZ167" s="31"/>
      <c r="CA167" s="31"/>
      <c r="CB167" s="31"/>
      <c r="CC167" s="31"/>
      <c r="CD167" s="31"/>
      <c r="CE167" s="31"/>
      <c r="CF167" s="31"/>
      <c r="CG167" s="31"/>
      <c r="CH167" s="31"/>
      <c r="CI167" s="31"/>
      <c r="CJ167" s="31"/>
      <c r="CK167" s="31"/>
      <c r="CL167" s="31"/>
      <c r="CM167" s="31"/>
      <c r="CN167" s="31"/>
      <c r="CO167" s="31"/>
      <c r="CP167" s="31"/>
      <c r="CQ167" s="32"/>
    </row>
    <row r="168" spans="1:95" x14ac:dyDescent="0.2">
      <c r="A168" s="30"/>
      <c r="B168" s="31"/>
      <c r="C168" s="31"/>
      <c r="D168" s="31"/>
      <c r="E168" s="31"/>
      <c r="F168" s="31"/>
      <c r="G168" s="31"/>
      <c r="H168" s="31"/>
      <c r="I168" s="31"/>
      <c r="J168" s="31"/>
      <c r="K168" s="31"/>
      <c r="L168" s="31"/>
      <c r="M168" s="31"/>
      <c r="N168" s="31"/>
      <c r="O168" s="31"/>
      <c r="P168" s="31"/>
      <c r="Q168" s="31"/>
      <c r="R168" s="31"/>
      <c r="S168" s="32"/>
      <c r="T168" s="30"/>
      <c r="U168" s="31"/>
      <c r="V168" s="31"/>
      <c r="W168" s="31"/>
      <c r="X168" s="31"/>
      <c r="Y168" s="31"/>
      <c r="Z168" s="31"/>
      <c r="AA168" s="31"/>
      <c r="AB168" s="31"/>
      <c r="AC168" s="31"/>
      <c r="AD168" s="31"/>
      <c r="AE168" s="31"/>
      <c r="AF168" s="31"/>
      <c r="AG168" s="31"/>
      <c r="AH168" s="31"/>
      <c r="AI168" s="31"/>
      <c r="AJ168" s="31"/>
      <c r="AK168" s="31"/>
      <c r="AL168" s="32"/>
      <c r="AM168" s="30"/>
      <c r="AN168" s="31"/>
      <c r="AO168" s="31"/>
      <c r="AP168" s="31"/>
      <c r="AQ168" s="31"/>
      <c r="AR168" s="31"/>
      <c r="AS168" s="31"/>
      <c r="AT168" s="31"/>
      <c r="AU168" s="31"/>
      <c r="AV168" s="31"/>
      <c r="AW168" s="31"/>
      <c r="AX168" s="31"/>
      <c r="AY168" s="31"/>
      <c r="AZ168" s="31"/>
      <c r="BA168" s="31"/>
      <c r="BB168" s="31"/>
      <c r="BC168" s="31"/>
      <c r="BD168" s="31"/>
      <c r="BE168" s="32"/>
      <c r="BF168" s="30"/>
      <c r="BG168" s="31"/>
      <c r="BH168" s="31"/>
      <c r="BI168" s="31"/>
      <c r="BJ168" s="31"/>
      <c r="BK168" s="31"/>
      <c r="BL168" s="31"/>
      <c r="BM168" s="31"/>
      <c r="BN168" s="31"/>
      <c r="BO168" s="31"/>
      <c r="BP168" s="31"/>
      <c r="BQ168" s="31"/>
      <c r="BR168" s="31"/>
      <c r="BS168" s="31"/>
      <c r="BT168" s="31"/>
      <c r="BU168" s="31"/>
      <c r="BV168" s="31"/>
      <c r="BW168" s="31"/>
      <c r="BX168" s="32"/>
      <c r="BY168" s="31"/>
      <c r="BZ168" s="31"/>
      <c r="CA168" s="31"/>
      <c r="CB168" s="31"/>
      <c r="CC168" s="31"/>
      <c r="CD168" s="31"/>
      <c r="CE168" s="31"/>
      <c r="CF168" s="31"/>
      <c r="CG168" s="31"/>
      <c r="CH168" s="31"/>
      <c r="CI168" s="31"/>
      <c r="CJ168" s="31"/>
      <c r="CK168" s="31"/>
      <c r="CL168" s="31"/>
      <c r="CM168" s="31"/>
      <c r="CN168" s="31"/>
      <c r="CO168" s="31"/>
      <c r="CP168" s="31"/>
      <c r="CQ168" s="32"/>
    </row>
    <row r="169" spans="1:95" x14ac:dyDescent="0.2">
      <c r="A169" s="30"/>
      <c r="B169" s="31"/>
      <c r="C169" s="31"/>
      <c r="D169" s="31"/>
      <c r="E169" s="31"/>
      <c r="F169" s="31"/>
      <c r="G169" s="31"/>
      <c r="H169" s="31"/>
      <c r="I169" s="31"/>
      <c r="J169" s="31"/>
      <c r="K169" s="31"/>
      <c r="L169" s="31"/>
      <c r="M169" s="31"/>
      <c r="N169" s="31"/>
      <c r="O169" s="31"/>
      <c r="P169" s="31"/>
      <c r="Q169" s="31"/>
      <c r="R169" s="31"/>
      <c r="S169" s="32"/>
      <c r="T169" s="30"/>
      <c r="U169" s="31"/>
      <c r="V169" s="31"/>
      <c r="W169" s="31"/>
      <c r="X169" s="31"/>
      <c r="Y169" s="31"/>
      <c r="Z169" s="31"/>
      <c r="AA169" s="31"/>
      <c r="AB169" s="31"/>
      <c r="AC169" s="31"/>
      <c r="AD169" s="31"/>
      <c r="AE169" s="31"/>
      <c r="AF169" s="31"/>
      <c r="AG169" s="31"/>
      <c r="AH169" s="31"/>
      <c r="AI169" s="31"/>
      <c r="AJ169" s="31"/>
      <c r="AK169" s="31"/>
      <c r="AL169" s="32"/>
      <c r="AM169" s="30"/>
      <c r="AN169" s="31"/>
      <c r="AO169" s="31"/>
      <c r="AP169" s="31"/>
      <c r="AQ169" s="31"/>
      <c r="AR169" s="31"/>
      <c r="AS169" s="31"/>
      <c r="AT169" s="31"/>
      <c r="AU169" s="31"/>
      <c r="AV169" s="31"/>
      <c r="AW169" s="31"/>
      <c r="AX169" s="31"/>
      <c r="AY169" s="31"/>
      <c r="AZ169" s="31"/>
      <c r="BA169" s="31"/>
      <c r="BB169" s="31"/>
      <c r="BC169" s="31"/>
      <c r="BD169" s="31"/>
      <c r="BE169" s="32"/>
      <c r="BF169" s="30"/>
      <c r="BG169" s="31"/>
      <c r="BH169" s="31"/>
      <c r="BI169" s="31"/>
      <c r="BJ169" s="31"/>
      <c r="BK169" s="31"/>
      <c r="BL169" s="31"/>
      <c r="BM169" s="31"/>
      <c r="BN169" s="31"/>
      <c r="BO169" s="31"/>
      <c r="BP169" s="31"/>
      <c r="BQ169" s="31"/>
      <c r="BR169" s="31"/>
      <c r="BS169" s="31"/>
      <c r="BT169" s="31"/>
      <c r="BU169" s="31"/>
      <c r="BV169" s="31"/>
      <c r="BW169" s="31"/>
      <c r="BX169" s="32"/>
      <c r="BY169" s="31"/>
      <c r="BZ169" s="31"/>
      <c r="CA169" s="31"/>
      <c r="CB169" s="31"/>
      <c r="CC169" s="31"/>
      <c r="CD169" s="31"/>
      <c r="CE169" s="31"/>
      <c r="CF169" s="31"/>
      <c r="CG169" s="31"/>
      <c r="CH169" s="31"/>
      <c r="CI169" s="31"/>
      <c r="CJ169" s="31"/>
      <c r="CK169" s="31"/>
      <c r="CL169" s="31"/>
      <c r="CM169" s="31"/>
      <c r="CN169" s="31"/>
      <c r="CO169" s="31"/>
      <c r="CP169" s="31"/>
      <c r="CQ169" s="32"/>
    </row>
    <row r="170" spans="1:95" x14ac:dyDescent="0.2">
      <c r="A170" s="30"/>
      <c r="B170" s="31"/>
      <c r="C170" s="31"/>
      <c r="D170" s="31"/>
      <c r="E170" s="31"/>
      <c r="F170" s="31"/>
      <c r="G170" s="31"/>
      <c r="H170" s="31"/>
      <c r="I170" s="31"/>
      <c r="J170" s="31"/>
      <c r="K170" s="31"/>
      <c r="L170" s="31"/>
      <c r="M170" s="31"/>
      <c r="N170" s="31"/>
      <c r="O170" s="31"/>
      <c r="P170" s="31"/>
      <c r="Q170" s="31"/>
      <c r="R170" s="31"/>
      <c r="S170" s="32"/>
      <c r="T170" s="30"/>
      <c r="U170" s="31"/>
      <c r="V170" s="31"/>
      <c r="W170" s="31"/>
      <c r="X170" s="31"/>
      <c r="Y170" s="31"/>
      <c r="Z170" s="31"/>
      <c r="AA170" s="31"/>
      <c r="AB170" s="31"/>
      <c r="AC170" s="31"/>
      <c r="AD170" s="31"/>
      <c r="AE170" s="31"/>
      <c r="AF170" s="31"/>
      <c r="AG170" s="31"/>
      <c r="AH170" s="31"/>
      <c r="AI170" s="31"/>
      <c r="AJ170" s="31"/>
      <c r="AK170" s="31"/>
      <c r="AL170" s="32"/>
      <c r="AM170" s="30"/>
      <c r="AN170" s="31"/>
      <c r="AO170" s="31"/>
      <c r="AP170" s="31"/>
      <c r="AQ170" s="31"/>
      <c r="AR170" s="31"/>
      <c r="AS170" s="31"/>
      <c r="AT170" s="31"/>
      <c r="AU170" s="31"/>
      <c r="AV170" s="31"/>
      <c r="AW170" s="31"/>
      <c r="AX170" s="31"/>
      <c r="AY170" s="31"/>
      <c r="AZ170" s="31"/>
      <c r="BA170" s="31"/>
      <c r="BB170" s="31"/>
      <c r="BC170" s="31"/>
      <c r="BD170" s="31"/>
      <c r="BE170" s="32"/>
      <c r="BF170" s="30"/>
      <c r="BG170" s="31"/>
      <c r="BH170" s="31"/>
      <c r="BI170" s="31"/>
      <c r="BJ170" s="31"/>
      <c r="BK170" s="31"/>
      <c r="BL170" s="31"/>
      <c r="BM170" s="31"/>
      <c r="BN170" s="31"/>
      <c r="BO170" s="31"/>
      <c r="BP170" s="31"/>
      <c r="BQ170" s="31"/>
      <c r="BR170" s="31"/>
      <c r="BS170" s="31"/>
      <c r="BT170" s="31"/>
      <c r="BU170" s="31"/>
      <c r="BV170" s="31"/>
      <c r="BW170" s="31"/>
      <c r="BX170" s="32"/>
      <c r="BY170" s="31"/>
      <c r="BZ170" s="31"/>
      <c r="CA170" s="31"/>
      <c r="CB170" s="31"/>
      <c r="CC170" s="31"/>
      <c r="CD170" s="31"/>
      <c r="CE170" s="31"/>
      <c r="CF170" s="31"/>
      <c r="CG170" s="31"/>
      <c r="CH170" s="31"/>
      <c r="CI170" s="31"/>
      <c r="CJ170" s="31"/>
      <c r="CK170" s="31"/>
      <c r="CL170" s="31"/>
      <c r="CM170" s="31"/>
      <c r="CN170" s="31"/>
      <c r="CO170" s="31"/>
      <c r="CP170" s="31"/>
      <c r="CQ170" s="32"/>
    </row>
    <row r="171" spans="1:95" x14ac:dyDescent="0.2">
      <c r="A171" s="30"/>
      <c r="B171" s="31"/>
      <c r="C171" s="31"/>
      <c r="D171" s="31"/>
      <c r="E171" s="31"/>
      <c r="F171" s="31"/>
      <c r="G171" s="31"/>
      <c r="H171" s="31"/>
      <c r="I171" s="31"/>
      <c r="J171" s="31"/>
      <c r="K171" s="31"/>
      <c r="L171" s="31"/>
      <c r="M171" s="31"/>
      <c r="N171" s="31"/>
      <c r="O171" s="31"/>
      <c r="P171" s="31"/>
      <c r="Q171" s="31"/>
      <c r="R171" s="31"/>
      <c r="S171" s="32"/>
      <c r="T171" s="30"/>
      <c r="U171" s="31"/>
      <c r="V171" s="31"/>
      <c r="W171" s="31"/>
      <c r="X171" s="31"/>
      <c r="Y171" s="31"/>
      <c r="Z171" s="31"/>
      <c r="AA171" s="31"/>
      <c r="AB171" s="31"/>
      <c r="AC171" s="31"/>
      <c r="AD171" s="31"/>
      <c r="AE171" s="31"/>
      <c r="AF171" s="31"/>
      <c r="AG171" s="31"/>
      <c r="AH171" s="31"/>
      <c r="AI171" s="31"/>
      <c r="AJ171" s="31"/>
      <c r="AK171" s="31"/>
      <c r="AL171" s="32"/>
      <c r="AM171" s="30"/>
      <c r="AN171" s="31"/>
      <c r="AO171" s="31"/>
      <c r="AP171" s="31"/>
      <c r="AQ171" s="31"/>
      <c r="AR171" s="31"/>
      <c r="AS171" s="31"/>
      <c r="AT171" s="31"/>
      <c r="AU171" s="31"/>
      <c r="AV171" s="31"/>
      <c r="AW171" s="31"/>
      <c r="AX171" s="31"/>
      <c r="AY171" s="31"/>
      <c r="AZ171" s="31"/>
      <c r="BA171" s="31"/>
      <c r="BB171" s="31"/>
      <c r="BC171" s="31"/>
      <c r="BD171" s="31"/>
      <c r="BE171" s="32"/>
      <c r="BF171" s="30"/>
      <c r="BG171" s="31"/>
      <c r="BH171" s="31"/>
      <c r="BI171" s="31"/>
      <c r="BJ171" s="31"/>
      <c r="BK171" s="31"/>
      <c r="BL171" s="31"/>
      <c r="BM171" s="31"/>
      <c r="BN171" s="31"/>
      <c r="BO171" s="31"/>
      <c r="BP171" s="31"/>
      <c r="BQ171" s="31"/>
      <c r="BR171" s="31"/>
      <c r="BS171" s="31"/>
      <c r="BT171" s="31"/>
      <c r="BU171" s="31"/>
      <c r="BV171" s="31"/>
      <c r="BW171" s="31"/>
      <c r="BX171" s="32"/>
      <c r="BY171" s="31"/>
      <c r="BZ171" s="31"/>
      <c r="CA171" s="31"/>
      <c r="CB171" s="31"/>
      <c r="CC171" s="31"/>
      <c r="CD171" s="31"/>
      <c r="CE171" s="31"/>
      <c r="CF171" s="31"/>
      <c r="CG171" s="31"/>
      <c r="CH171" s="31"/>
      <c r="CI171" s="31"/>
      <c r="CJ171" s="31"/>
      <c r="CK171" s="31"/>
      <c r="CL171" s="31"/>
      <c r="CM171" s="31"/>
      <c r="CN171" s="31"/>
      <c r="CO171" s="31"/>
      <c r="CP171" s="31"/>
      <c r="CQ171" s="32"/>
    </row>
    <row r="172" spans="1:95" x14ac:dyDescent="0.2">
      <c r="A172" s="30"/>
      <c r="B172" s="31"/>
      <c r="C172" s="31"/>
      <c r="D172" s="31"/>
      <c r="E172" s="31"/>
      <c r="F172" s="31"/>
      <c r="G172" s="31"/>
      <c r="H172" s="31"/>
      <c r="I172" s="31"/>
      <c r="J172" s="31"/>
      <c r="K172" s="31"/>
      <c r="L172" s="31"/>
      <c r="M172" s="31"/>
      <c r="N172" s="31"/>
      <c r="O172" s="31"/>
      <c r="P172" s="31"/>
      <c r="Q172" s="31"/>
      <c r="R172" s="31"/>
      <c r="S172" s="32"/>
      <c r="T172" s="30"/>
      <c r="U172" s="31"/>
      <c r="V172" s="31"/>
      <c r="W172" s="31"/>
      <c r="X172" s="31"/>
      <c r="Y172" s="31"/>
      <c r="Z172" s="31"/>
      <c r="AA172" s="31"/>
      <c r="AB172" s="31"/>
      <c r="AC172" s="31"/>
      <c r="AD172" s="31"/>
      <c r="AE172" s="31"/>
      <c r="AF172" s="31"/>
      <c r="AG172" s="31"/>
      <c r="AH172" s="31"/>
      <c r="AI172" s="31"/>
      <c r="AJ172" s="31"/>
      <c r="AK172" s="31"/>
      <c r="AL172" s="32"/>
      <c r="AM172" s="30"/>
      <c r="AN172" s="31"/>
      <c r="AO172" s="31"/>
      <c r="AP172" s="31"/>
      <c r="AQ172" s="31"/>
      <c r="AR172" s="31"/>
      <c r="AS172" s="31"/>
      <c r="AT172" s="31"/>
      <c r="AU172" s="31"/>
      <c r="AV172" s="31"/>
      <c r="AW172" s="31"/>
      <c r="AX172" s="31"/>
      <c r="AY172" s="31"/>
      <c r="AZ172" s="31"/>
      <c r="BA172" s="31"/>
      <c r="BB172" s="31"/>
      <c r="BC172" s="31"/>
      <c r="BD172" s="31"/>
      <c r="BE172" s="32"/>
      <c r="BF172" s="30"/>
      <c r="BG172" s="31"/>
      <c r="BH172" s="31"/>
      <c r="BI172" s="31"/>
      <c r="BJ172" s="31"/>
      <c r="BK172" s="31"/>
      <c r="BL172" s="31"/>
      <c r="BM172" s="31"/>
      <c r="BN172" s="31"/>
      <c r="BO172" s="31"/>
      <c r="BP172" s="31"/>
      <c r="BQ172" s="31"/>
      <c r="BR172" s="31"/>
      <c r="BS172" s="31"/>
      <c r="BT172" s="31"/>
      <c r="BU172" s="31"/>
      <c r="BV172" s="31"/>
      <c r="BW172" s="31"/>
      <c r="BX172" s="32"/>
      <c r="BY172" s="31"/>
      <c r="BZ172" s="31"/>
      <c r="CA172" s="31"/>
      <c r="CB172" s="31"/>
      <c r="CC172" s="31"/>
      <c r="CD172" s="31"/>
      <c r="CE172" s="31"/>
      <c r="CF172" s="31"/>
      <c r="CG172" s="31"/>
      <c r="CH172" s="31"/>
      <c r="CI172" s="31"/>
      <c r="CJ172" s="31"/>
      <c r="CK172" s="31"/>
      <c r="CL172" s="31"/>
      <c r="CM172" s="31"/>
      <c r="CN172" s="31"/>
      <c r="CO172" s="31"/>
      <c r="CP172" s="31"/>
      <c r="CQ172" s="32"/>
    </row>
    <row r="173" spans="1:95" x14ac:dyDescent="0.2">
      <c r="A173" s="30"/>
      <c r="B173" s="31"/>
      <c r="C173" s="31"/>
      <c r="D173" s="31"/>
      <c r="E173" s="31"/>
      <c r="F173" s="31"/>
      <c r="G173" s="31"/>
      <c r="H173" s="31"/>
      <c r="I173" s="31"/>
      <c r="J173" s="31"/>
      <c r="K173" s="31"/>
      <c r="L173" s="31"/>
      <c r="M173" s="31"/>
      <c r="N173" s="31"/>
      <c r="O173" s="31"/>
      <c r="P173" s="31"/>
      <c r="Q173" s="31"/>
      <c r="R173" s="31"/>
      <c r="S173" s="32"/>
      <c r="T173" s="30"/>
      <c r="U173" s="31"/>
      <c r="V173" s="31"/>
      <c r="W173" s="31"/>
      <c r="X173" s="31"/>
      <c r="Y173" s="31"/>
      <c r="Z173" s="31"/>
      <c r="AA173" s="31"/>
      <c r="AB173" s="31"/>
      <c r="AC173" s="31"/>
      <c r="AD173" s="31"/>
      <c r="AE173" s="31"/>
      <c r="AF173" s="31"/>
      <c r="AG173" s="31"/>
      <c r="AH173" s="31"/>
      <c r="AI173" s="31"/>
      <c r="AJ173" s="31"/>
      <c r="AK173" s="31"/>
      <c r="AL173" s="32"/>
      <c r="AM173" s="30"/>
      <c r="AN173" s="31"/>
      <c r="AO173" s="31"/>
      <c r="AP173" s="31"/>
      <c r="AQ173" s="31"/>
      <c r="AR173" s="31"/>
      <c r="AS173" s="31"/>
      <c r="AT173" s="31"/>
      <c r="AU173" s="31"/>
      <c r="AV173" s="31"/>
      <c r="AW173" s="31"/>
      <c r="AX173" s="31"/>
      <c r="AY173" s="31"/>
      <c r="AZ173" s="31"/>
      <c r="BA173" s="31"/>
      <c r="BB173" s="31"/>
      <c r="BC173" s="31"/>
      <c r="BD173" s="31"/>
      <c r="BE173" s="32"/>
      <c r="BF173" s="30"/>
      <c r="BG173" s="31"/>
      <c r="BH173" s="31"/>
      <c r="BI173" s="31"/>
      <c r="BJ173" s="31"/>
      <c r="BK173" s="31"/>
      <c r="BL173" s="31"/>
      <c r="BM173" s="31"/>
      <c r="BN173" s="31"/>
      <c r="BO173" s="31"/>
      <c r="BP173" s="31"/>
      <c r="BQ173" s="31"/>
      <c r="BR173" s="31"/>
      <c r="BS173" s="31"/>
      <c r="BT173" s="31"/>
      <c r="BU173" s="31"/>
      <c r="BV173" s="31"/>
      <c r="BW173" s="31"/>
      <c r="BX173" s="32"/>
      <c r="BY173" s="31"/>
      <c r="BZ173" s="31"/>
      <c r="CA173" s="31"/>
      <c r="CB173" s="31"/>
      <c r="CC173" s="31"/>
      <c r="CD173" s="31"/>
      <c r="CE173" s="31"/>
      <c r="CF173" s="31"/>
      <c r="CG173" s="31"/>
      <c r="CH173" s="31"/>
      <c r="CI173" s="31"/>
      <c r="CJ173" s="31"/>
      <c r="CK173" s="31"/>
      <c r="CL173" s="31"/>
      <c r="CM173" s="31"/>
      <c r="CN173" s="31"/>
      <c r="CO173" s="31"/>
      <c r="CP173" s="31"/>
      <c r="CQ173" s="32"/>
    </row>
    <row r="174" spans="1:95" x14ac:dyDescent="0.2">
      <c r="A174" s="30"/>
      <c r="B174" s="31"/>
      <c r="C174" s="31"/>
      <c r="D174" s="31"/>
      <c r="E174" s="31"/>
      <c r="F174" s="31"/>
      <c r="G174" s="31"/>
      <c r="H174" s="31"/>
      <c r="I174" s="31"/>
      <c r="J174" s="31"/>
      <c r="K174" s="31"/>
      <c r="L174" s="31"/>
      <c r="M174" s="31"/>
      <c r="N174" s="31"/>
      <c r="O174" s="31"/>
      <c r="P174" s="31"/>
      <c r="Q174" s="31"/>
      <c r="R174" s="31"/>
      <c r="S174" s="32"/>
      <c r="T174" s="30"/>
      <c r="U174" s="31"/>
      <c r="V174" s="31"/>
      <c r="W174" s="31"/>
      <c r="X174" s="31"/>
      <c r="Y174" s="31"/>
      <c r="Z174" s="31"/>
      <c r="AA174" s="31"/>
      <c r="AB174" s="31"/>
      <c r="AC174" s="31"/>
      <c r="AD174" s="31"/>
      <c r="AE174" s="31"/>
      <c r="AF174" s="31"/>
      <c r="AG174" s="31"/>
      <c r="AH174" s="31"/>
      <c r="AI174" s="31"/>
      <c r="AJ174" s="31"/>
      <c r="AK174" s="31"/>
      <c r="AL174" s="32"/>
      <c r="AM174" s="30"/>
      <c r="AN174" s="31"/>
      <c r="AO174" s="31"/>
      <c r="AP174" s="31"/>
      <c r="AQ174" s="31"/>
      <c r="AR174" s="31"/>
      <c r="AS174" s="31"/>
      <c r="AT174" s="31"/>
      <c r="AU174" s="31"/>
      <c r="AV174" s="31"/>
      <c r="AW174" s="31"/>
      <c r="AX174" s="31"/>
      <c r="AY174" s="31"/>
      <c r="AZ174" s="31"/>
      <c r="BA174" s="31"/>
      <c r="BB174" s="31"/>
      <c r="BC174" s="31"/>
      <c r="BD174" s="31"/>
      <c r="BE174" s="32"/>
      <c r="BF174" s="30"/>
      <c r="BG174" s="31"/>
      <c r="BH174" s="31"/>
      <c r="BI174" s="31"/>
      <c r="BJ174" s="31"/>
      <c r="BK174" s="31"/>
      <c r="BL174" s="31"/>
      <c r="BM174" s="31"/>
      <c r="BN174" s="31"/>
      <c r="BO174" s="31"/>
      <c r="BP174" s="31"/>
      <c r="BQ174" s="31"/>
      <c r="BR174" s="31"/>
      <c r="BS174" s="31"/>
      <c r="BT174" s="31"/>
      <c r="BU174" s="31"/>
      <c r="BV174" s="31"/>
      <c r="BW174" s="31"/>
      <c r="BX174" s="32"/>
      <c r="BY174" s="31"/>
      <c r="BZ174" s="31"/>
      <c r="CA174" s="31"/>
      <c r="CB174" s="31"/>
      <c r="CC174" s="31"/>
      <c r="CD174" s="31"/>
      <c r="CE174" s="31"/>
      <c r="CF174" s="31"/>
      <c r="CG174" s="31"/>
      <c r="CH174" s="31"/>
      <c r="CI174" s="31"/>
      <c r="CJ174" s="31"/>
      <c r="CK174" s="31"/>
      <c r="CL174" s="31"/>
      <c r="CM174" s="31"/>
      <c r="CN174" s="31"/>
      <c r="CO174" s="31"/>
      <c r="CP174" s="31"/>
      <c r="CQ174" s="32"/>
    </row>
    <row r="175" spans="1:95" x14ac:dyDescent="0.2">
      <c r="A175" s="30"/>
      <c r="B175" s="31"/>
      <c r="C175" s="31"/>
      <c r="D175" s="31"/>
      <c r="E175" s="31"/>
      <c r="F175" s="31"/>
      <c r="G175" s="31"/>
      <c r="H175" s="31"/>
      <c r="I175" s="31"/>
      <c r="J175" s="31"/>
      <c r="K175" s="31"/>
      <c r="L175" s="31"/>
      <c r="M175" s="31"/>
      <c r="N175" s="31"/>
      <c r="O175" s="31"/>
      <c r="P175" s="31"/>
      <c r="Q175" s="31"/>
      <c r="R175" s="31"/>
      <c r="S175" s="32"/>
      <c r="T175" s="30"/>
      <c r="U175" s="31"/>
      <c r="V175" s="31"/>
      <c r="W175" s="31"/>
      <c r="X175" s="31"/>
      <c r="Y175" s="31"/>
      <c r="Z175" s="31"/>
      <c r="AA175" s="31"/>
      <c r="AB175" s="31"/>
      <c r="AC175" s="31"/>
      <c r="AD175" s="31"/>
      <c r="AE175" s="31"/>
      <c r="AF175" s="31"/>
      <c r="AG175" s="31"/>
      <c r="AH175" s="31"/>
      <c r="AI175" s="31"/>
      <c r="AJ175" s="31"/>
      <c r="AK175" s="31"/>
      <c r="AL175" s="32"/>
      <c r="AM175" s="30"/>
      <c r="AN175" s="31"/>
      <c r="AO175" s="31"/>
      <c r="AP175" s="31"/>
      <c r="AQ175" s="31"/>
      <c r="AR175" s="31"/>
      <c r="AS175" s="31"/>
      <c r="AT175" s="31"/>
      <c r="AU175" s="31"/>
      <c r="AV175" s="31"/>
      <c r="AW175" s="31"/>
      <c r="AX175" s="31"/>
      <c r="AY175" s="31"/>
      <c r="AZ175" s="31"/>
      <c r="BA175" s="31"/>
      <c r="BB175" s="31"/>
      <c r="BC175" s="31"/>
      <c r="BD175" s="31"/>
      <c r="BE175" s="32"/>
      <c r="BF175" s="30"/>
      <c r="BG175" s="31"/>
      <c r="BH175" s="31"/>
      <c r="BI175" s="31"/>
      <c r="BJ175" s="31"/>
      <c r="BK175" s="31"/>
      <c r="BL175" s="31"/>
      <c r="BM175" s="31"/>
      <c r="BN175" s="31"/>
      <c r="BO175" s="31"/>
      <c r="BP175" s="31"/>
      <c r="BQ175" s="31"/>
      <c r="BR175" s="31"/>
      <c r="BS175" s="31"/>
      <c r="BT175" s="31"/>
      <c r="BU175" s="31"/>
      <c r="BV175" s="31"/>
      <c r="BW175" s="31"/>
      <c r="BX175" s="32"/>
      <c r="BY175" s="31"/>
      <c r="BZ175" s="31"/>
      <c r="CA175" s="31"/>
      <c r="CB175" s="31"/>
      <c r="CC175" s="31"/>
      <c r="CD175" s="31"/>
      <c r="CE175" s="31"/>
      <c r="CF175" s="31"/>
      <c r="CG175" s="31"/>
      <c r="CH175" s="31"/>
      <c r="CI175" s="31"/>
      <c r="CJ175" s="31"/>
      <c r="CK175" s="31"/>
      <c r="CL175" s="31"/>
      <c r="CM175" s="31"/>
      <c r="CN175" s="31"/>
      <c r="CO175" s="31"/>
      <c r="CP175" s="31"/>
      <c r="CQ175" s="32"/>
    </row>
    <row r="176" spans="1:95" x14ac:dyDescent="0.2">
      <c r="A176" s="30"/>
      <c r="B176" s="31"/>
      <c r="C176" s="31"/>
      <c r="D176" s="31"/>
      <c r="E176" s="31"/>
      <c r="F176" s="31"/>
      <c r="G176" s="31"/>
      <c r="H176" s="31"/>
      <c r="I176" s="31"/>
      <c r="J176" s="31"/>
      <c r="K176" s="31"/>
      <c r="L176" s="31"/>
      <c r="M176" s="31"/>
      <c r="N176" s="31"/>
      <c r="O176" s="31"/>
      <c r="P176" s="31"/>
      <c r="Q176" s="31"/>
      <c r="R176" s="31"/>
      <c r="S176" s="32"/>
      <c r="T176" s="30"/>
      <c r="U176" s="31"/>
      <c r="V176" s="31"/>
      <c r="W176" s="31"/>
      <c r="X176" s="31"/>
      <c r="Y176" s="31"/>
      <c r="Z176" s="31"/>
      <c r="AA176" s="31"/>
      <c r="AB176" s="31"/>
      <c r="AC176" s="31"/>
      <c r="AD176" s="31"/>
      <c r="AE176" s="31"/>
      <c r="AF176" s="31"/>
      <c r="AG176" s="31"/>
      <c r="AH176" s="31"/>
      <c r="AI176" s="31"/>
      <c r="AJ176" s="31"/>
      <c r="AK176" s="31"/>
      <c r="AL176" s="32"/>
      <c r="AM176" s="30"/>
      <c r="AN176" s="31"/>
      <c r="AO176" s="31"/>
      <c r="AP176" s="31"/>
      <c r="AQ176" s="31"/>
      <c r="AR176" s="31"/>
      <c r="AS176" s="31"/>
      <c r="AT176" s="31"/>
      <c r="AU176" s="31"/>
      <c r="AV176" s="31"/>
      <c r="AW176" s="31"/>
      <c r="AX176" s="31"/>
      <c r="AY176" s="31"/>
      <c r="AZ176" s="31"/>
      <c r="BA176" s="31"/>
      <c r="BB176" s="31"/>
      <c r="BC176" s="31"/>
      <c r="BD176" s="31"/>
      <c r="BE176" s="32"/>
      <c r="BF176" s="30"/>
      <c r="BG176" s="31"/>
      <c r="BH176" s="31"/>
      <c r="BI176" s="31"/>
      <c r="BJ176" s="31"/>
      <c r="BK176" s="31"/>
      <c r="BL176" s="31"/>
      <c r="BM176" s="31"/>
      <c r="BN176" s="31"/>
      <c r="BO176" s="31"/>
      <c r="BP176" s="31"/>
      <c r="BQ176" s="31"/>
      <c r="BR176" s="31"/>
      <c r="BS176" s="31"/>
      <c r="BT176" s="31"/>
      <c r="BU176" s="31"/>
      <c r="BV176" s="31"/>
      <c r="BW176" s="31"/>
      <c r="BX176" s="32"/>
      <c r="BY176" s="31"/>
      <c r="BZ176" s="31"/>
      <c r="CA176" s="31"/>
      <c r="CB176" s="31"/>
      <c r="CC176" s="31"/>
      <c r="CD176" s="31"/>
      <c r="CE176" s="31"/>
      <c r="CF176" s="31"/>
      <c r="CG176" s="31"/>
      <c r="CH176" s="31"/>
      <c r="CI176" s="31"/>
      <c r="CJ176" s="31"/>
      <c r="CK176" s="31"/>
      <c r="CL176" s="31"/>
      <c r="CM176" s="31"/>
      <c r="CN176" s="31"/>
      <c r="CO176" s="31"/>
      <c r="CP176" s="31"/>
      <c r="CQ176" s="32"/>
    </row>
    <row r="177" spans="1:95" x14ac:dyDescent="0.2">
      <c r="A177" s="30"/>
      <c r="B177" s="31"/>
      <c r="C177" s="31"/>
      <c r="D177" s="31"/>
      <c r="E177" s="31"/>
      <c r="F177" s="31"/>
      <c r="G177" s="31"/>
      <c r="H177" s="31"/>
      <c r="I177" s="31"/>
      <c r="J177" s="31"/>
      <c r="K177" s="31"/>
      <c r="L177" s="31"/>
      <c r="M177" s="31"/>
      <c r="N177" s="31"/>
      <c r="O177" s="31"/>
      <c r="P177" s="31"/>
      <c r="Q177" s="31"/>
      <c r="R177" s="31"/>
      <c r="S177" s="32"/>
      <c r="T177" s="30"/>
      <c r="U177" s="31"/>
      <c r="V177" s="31"/>
      <c r="W177" s="31"/>
      <c r="X177" s="31"/>
      <c r="Y177" s="31"/>
      <c r="Z177" s="31"/>
      <c r="AA177" s="31"/>
      <c r="AB177" s="31"/>
      <c r="AC177" s="31"/>
      <c r="AD177" s="31"/>
      <c r="AE177" s="31"/>
      <c r="AF177" s="31"/>
      <c r="AG177" s="31"/>
      <c r="AH177" s="31"/>
      <c r="AI177" s="31"/>
      <c r="AJ177" s="31"/>
      <c r="AK177" s="31"/>
      <c r="AL177" s="32"/>
      <c r="AM177" s="30"/>
      <c r="AN177" s="31"/>
      <c r="AO177" s="31"/>
      <c r="AP177" s="31"/>
      <c r="AQ177" s="31"/>
      <c r="AR177" s="31"/>
      <c r="AS177" s="31"/>
      <c r="AT177" s="31"/>
      <c r="AU177" s="31"/>
      <c r="AV177" s="31"/>
      <c r="AW177" s="31"/>
      <c r="AX177" s="31"/>
      <c r="AY177" s="31"/>
      <c r="AZ177" s="31"/>
      <c r="BA177" s="31"/>
      <c r="BB177" s="31"/>
      <c r="BC177" s="31"/>
      <c r="BD177" s="31"/>
      <c r="BE177" s="32"/>
      <c r="BF177" s="30"/>
      <c r="BG177" s="31"/>
      <c r="BH177" s="31"/>
      <c r="BI177" s="31"/>
      <c r="BJ177" s="31"/>
      <c r="BK177" s="31"/>
      <c r="BL177" s="31"/>
      <c r="BM177" s="31"/>
      <c r="BN177" s="31"/>
      <c r="BO177" s="31"/>
      <c r="BP177" s="31"/>
      <c r="BQ177" s="31"/>
      <c r="BR177" s="31"/>
      <c r="BS177" s="31"/>
      <c r="BT177" s="31"/>
      <c r="BU177" s="31"/>
      <c r="BV177" s="31"/>
      <c r="BW177" s="31"/>
      <c r="BX177" s="32"/>
      <c r="BY177" s="31"/>
      <c r="BZ177" s="31"/>
      <c r="CA177" s="31"/>
      <c r="CB177" s="31"/>
      <c r="CC177" s="31"/>
      <c r="CD177" s="31"/>
      <c r="CE177" s="31"/>
      <c r="CF177" s="31"/>
      <c r="CG177" s="31"/>
      <c r="CH177" s="31"/>
      <c r="CI177" s="31"/>
      <c r="CJ177" s="31"/>
      <c r="CK177" s="31"/>
      <c r="CL177" s="31"/>
      <c r="CM177" s="31"/>
      <c r="CN177" s="31"/>
      <c r="CO177" s="31"/>
      <c r="CP177" s="31"/>
      <c r="CQ177" s="32"/>
    </row>
    <row r="178" spans="1:95" x14ac:dyDescent="0.2">
      <c r="A178" s="30"/>
      <c r="B178" s="31"/>
      <c r="C178" s="31"/>
      <c r="D178" s="31"/>
      <c r="E178" s="31"/>
      <c r="F178" s="31"/>
      <c r="G178" s="31"/>
      <c r="H178" s="31"/>
      <c r="I178" s="31"/>
      <c r="J178" s="31"/>
      <c r="K178" s="31"/>
      <c r="L178" s="31"/>
      <c r="M178" s="31"/>
      <c r="N178" s="31"/>
      <c r="O178" s="31"/>
      <c r="P178" s="31"/>
      <c r="Q178" s="31"/>
      <c r="R178" s="31"/>
      <c r="S178" s="32"/>
      <c r="T178" s="30"/>
      <c r="U178" s="31"/>
      <c r="V178" s="31"/>
      <c r="W178" s="31"/>
      <c r="X178" s="31"/>
      <c r="Y178" s="31"/>
      <c r="Z178" s="31"/>
      <c r="AA178" s="31"/>
      <c r="AB178" s="31"/>
      <c r="AC178" s="31"/>
      <c r="AD178" s="31"/>
      <c r="AE178" s="31"/>
      <c r="AF178" s="31"/>
      <c r="AG178" s="31"/>
      <c r="AH178" s="31"/>
      <c r="AI178" s="31"/>
      <c r="AJ178" s="31"/>
      <c r="AK178" s="31"/>
      <c r="AL178" s="32"/>
      <c r="AM178" s="30"/>
      <c r="AN178" s="31"/>
      <c r="AO178" s="31"/>
      <c r="AP178" s="31"/>
      <c r="AQ178" s="31"/>
      <c r="AR178" s="31"/>
      <c r="AS178" s="31"/>
      <c r="AT178" s="31"/>
      <c r="AU178" s="31"/>
      <c r="AV178" s="31"/>
      <c r="AW178" s="31"/>
      <c r="AX178" s="31"/>
      <c r="AY178" s="31"/>
      <c r="AZ178" s="31"/>
      <c r="BA178" s="31"/>
      <c r="BB178" s="31"/>
      <c r="BC178" s="31"/>
      <c r="BD178" s="31"/>
      <c r="BE178" s="32"/>
      <c r="BF178" s="30"/>
      <c r="BG178" s="31"/>
      <c r="BH178" s="31"/>
      <c r="BI178" s="31"/>
      <c r="BJ178" s="31"/>
      <c r="BK178" s="31"/>
      <c r="BL178" s="31"/>
      <c r="BM178" s="31"/>
      <c r="BN178" s="31"/>
      <c r="BO178" s="31"/>
      <c r="BP178" s="31"/>
      <c r="BQ178" s="31"/>
      <c r="BR178" s="31"/>
      <c r="BS178" s="31"/>
      <c r="BT178" s="31"/>
      <c r="BU178" s="31"/>
      <c r="BV178" s="31"/>
      <c r="BW178" s="31"/>
      <c r="BX178" s="32"/>
      <c r="BY178" s="31"/>
      <c r="BZ178" s="31"/>
      <c r="CA178" s="31"/>
      <c r="CB178" s="31"/>
      <c r="CC178" s="31"/>
      <c r="CD178" s="31"/>
      <c r="CE178" s="31"/>
      <c r="CF178" s="31"/>
      <c r="CG178" s="31"/>
      <c r="CH178" s="31"/>
      <c r="CI178" s="31"/>
      <c r="CJ178" s="31"/>
      <c r="CK178" s="31"/>
      <c r="CL178" s="31"/>
      <c r="CM178" s="31"/>
      <c r="CN178" s="31"/>
      <c r="CO178" s="31"/>
      <c r="CP178" s="31"/>
      <c r="CQ178" s="32"/>
    </row>
    <row r="179" spans="1:95" x14ac:dyDescent="0.2">
      <c r="A179" s="30"/>
      <c r="B179" s="31"/>
      <c r="C179" s="31"/>
      <c r="D179" s="31"/>
      <c r="E179" s="31"/>
      <c r="F179" s="31"/>
      <c r="G179" s="31"/>
      <c r="H179" s="31"/>
      <c r="I179" s="31"/>
      <c r="J179" s="31"/>
      <c r="K179" s="31"/>
      <c r="L179" s="31"/>
      <c r="M179" s="31"/>
      <c r="N179" s="31"/>
      <c r="O179" s="31"/>
      <c r="P179" s="31"/>
      <c r="Q179" s="31"/>
      <c r="R179" s="31"/>
      <c r="S179" s="32"/>
      <c r="T179" s="30"/>
      <c r="U179" s="31"/>
      <c r="V179" s="31"/>
      <c r="W179" s="31"/>
      <c r="X179" s="31"/>
      <c r="Y179" s="31"/>
      <c r="Z179" s="31"/>
      <c r="AA179" s="31"/>
      <c r="AB179" s="31"/>
      <c r="AC179" s="31"/>
      <c r="AD179" s="31"/>
      <c r="AE179" s="31"/>
      <c r="AF179" s="31"/>
      <c r="AG179" s="31"/>
      <c r="AH179" s="31"/>
      <c r="AI179" s="31"/>
      <c r="AJ179" s="31"/>
      <c r="AK179" s="31"/>
      <c r="AL179" s="32"/>
      <c r="AM179" s="30"/>
      <c r="AN179" s="31"/>
      <c r="AO179" s="31"/>
      <c r="AP179" s="31"/>
      <c r="AQ179" s="31"/>
      <c r="AR179" s="31"/>
      <c r="AS179" s="31"/>
      <c r="AT179" s="31"/>
      <c r="AU179" s="31"/>
      <c r="AV179" s="31"/>
      <c r="AW179" s="31"/>
      <c r="AX179" s="31"/>
      <c r="AY179" s="31"/>
      <c r="AZ179" s="31"/>
      <c r="BA179" s="31"/>
      <c r="BB179" s="31"/>
      <c r="BC179" s="31"/>
      <c r="BD179" s="31"/>
      <c r="BE179" s="32"/>
      <c r="BF179" s="30"/>
      <c r="BG179" s="31"/>
      <c r="BH179" s="31"/>
      <c r="BI179" s="31"/>
      <c r="BJ179" s="31"/>
      <c r="BK179" s="31"/>
      <c r="BL179" s="31"/>
      <c r="BM179" s="31"/>
      <c r="BN179" s="31"/>
      <c r="BO179" s="31"/>
      <c r="BP179" s="31"/>
      <c r="BQ179" s="31"/>
      <c r="BR179" s="31"/>
      <c r="BS179" s="31"/>
      <c r="BT179" s="31"/>
      <c r="BU179" s="31"/>
      <c r="BV179" s="31"/>
      <c r="BW179" s="31"/>
      <c r="BX179" s="32"/>
      <c r="BY179" s="31"/>
      <c r="BZ179" s="31"/>
      <c r="CA179" s="31"/>
      <c r="CB179" s="31"/>
      <c r="CC179" s="31"/>
      <c r="CD179" s="31"/>
      <c r="CE179" s="31"/>
      <c r="CF179" s="31"/>
      <c r="CG179" s="31"/>
      <c r="CH179" s="31"/>
      <c r="CI179" s="31"/>
      <c r="CJ179" s="31"/>
      <c r="CK179" s="31"/>
      <c r="CL179" s="31"/>
      <c r="CM179" s="31"/>
      <c r="CN179" s="31"/>
      <c r="CO179" s="31"/>
      <c r="CP179" s="31"/>
      <c r="CQ179" s="32"/>
    </row>
    <row r="180" spans="1:95" x14ac:dyDescent="0.2">
      <c r="A180" s="30"/>
      <c r="B180" s="31"/>
      <c r="C180" s="31"/>
      <c r="D180" s="31"/>
      <c r="E180" s="31"/>
      <c r="F180" s="31"/>
      <c r="G180" s="31"/>
      <c r="H180" s="31"/>
      <c r="I180" s="31"/>
      <c r="J180" s="31"/>
      <c r="K180" s="31"/>
      <c r="L180" s="31"/>
      <c r="M180" s="31"/>
      <c r="N180" s="31"/>
      <c r="O180" s="31"/>
      <c r="P180" s="31"/>
      <c r="Q180" s="31"/>
      <c r="R180" s="31"/>
      <c r="S180" s="32"/>
      <c r="T180" s="30"/>
      <c r="U180" s="31"/>
      <c r="V180" s="31"/>
      <c r="W180" s="31"/>
      <c r="X180" s="31"/>
      <c r="Y180" s="31"/>
      <c r="Z180" s="31"/>
      <c r="AA180" s="31"/>
      <c r="AB180" s="31"/>
      <c r="AC180" s="31"/>
      <c r="AD180" s="31"/>
      <c r="AE180" s="31"/>
      <c r="AF180" s="31"/>
      <c r="AG180" s="31"/>
      <c r="AH180" s="31"/>
      <c r="AI180" s="31"/>
      <c r="AJ180" s="31"/>
      <c r="AK180" s="31"/>
      <c r="AL180" s="32"/>
      <c r="AM180" s="30"/>
      <c r="AN180" s="31"/>
      <c r="AO180" s="31"/>
      <c r="AP180" s="31"/>
      <c r="AQ180" s="31"/>
      <c r="AR180" s="31"/>
      <c r="AS180" s="31"/>
      <c r="AT180" s="31"/>
      <c r="AU180" s="31"/>
      <c r="AV180" s="31"/>
      <c r="AW180" s="31"/>
      <c r="AX180" s="31"/>
      <c r="AY180" s="31"/>
      <c r="AZ180" s="31"/>
      <c r="BA180" s="31"/>
      <c r="BB180" s="31"/>
      <c r="BC180" s="31"/>
      <c r="BD180" s="31"/>
      <c r="BE180" s="32"/>
      <c r="BF180" s="30"/>
      <c r="BG180" s="31"/>
      <c r="BH180" s="31"/>
      <c r="BI180" s="31"/>
      <c r="BJ180" s="31"/>
      <c r="BK180" s="31"/>
      <c r="BL180" s="31"/>
      <c r="BM180" s="31"/>
      <c r="BN180" s="31"/>
      <c r="BO180" s="31"/>
      <c r="BP180" s="31"/>
      <c r="BQ180" s="31"/>
      <c r="BR180" s="31"/>
      <c r="BS180" s="31"/>
      <c r="BT180" s="31"/>
      <c r="BU180" s="31"/>
      <c r="BV180" s="31"/>
      <c r="BW180" s="31"/>
      <c r="BX180" s="32"/>
      <c r="BY180" s="31"/>
      <c r="BZ180" s="31"/>
      <c r="CA180" s="31"/>
      <c r="CB180" s="31"/>
      <c r="CC180" s="31"/>
      <c r="CD180" s="31"/>
      <c r="CE180" s="31"/>
      <c r="CF180" s="31"/>
      <c r="CG180" s="31"/>
      <c r="CH180" s="31"/>
      <c r="CI180" s="31"/>
      <c r="CJ180" s="31"/>
      <c r="CK180" s="31"/>
      <c r="CL180" s="31"/>
      <c r="CM180" s="31"/>
      <c r="CN180" s="31"/>
      <c r="CO180" s="31"/>
      <c r="CP180" s="31"/>
      <c r="CQ180" s="32"/>
    </row>
    <row r="181" spans="1:95" x14ac:dyDescent="0.2">
      <c r="A181" s="30"/>
      <c r="B181" s="31"/>
      <c r="C181" s="31"/>
      <c r="D181" s="31"/>
      <c r="E181" s="31"/>
      <c r="F181" s="31"/>
      <c r="G181" s="31"/>
      <c r="H181" s="31"/>
      <c r="I181" s="31"/>
      <c r="J181" s="31"/>
      <c r="K181" s="31"/>
      <c r="L181" s="31"/>
      <c r="M181" s="31"/>
      <c r="N181" s="31"/>
      <c r="O181" s="31"/>
      <c r="P181" s="31"/>
      <c r="Q181" s="31"/>
      <c r="R181" s="31"/>
      <c r="S181" s="32"/>
      <c r="T181" s="30"/>
      <c r="U181" s="31"/>
      <c r="V181" s="31"/>
      <c r="W181" s="31"/>
      <c r="X181" s="31"/>
      <c r="Y181" s="31"/>
      <c r="Z181" s="31"/>
      <c r="AA181" s="31"/>
      <c r="AB181" s="31"/>
      <c r="AC181" s="31"/>
      <c r="AD181" s="31"/>
      <c r="AE181" s="31"/>
      <c r="AF181" s="31"/>
      <c r="AG181" s="31"/>
      <c r="AH181" s="31"/>
      <c r="AI181" s="31"/>
      <c r="AJ181" s="31"/>
      <c r="AK181" s="31"/>
      <c r="AL181" s="32"/>
      <c r="AM181" s="30"/>
      <c r="AN181" s="31"/>
      <c r="AO181" s="31"/>
      <c r="AP181" s="31"/>
      <c r="AQ181" s="31"/>
      <c r="AR181" s="31"/>
      <c r="AS181" s="31"/>
      <c r="AT181" s="31"/>
      <c r="AU181" s="31"/>
      <c r="AV181" s="31"/>
      <c r="AW181" s="31"/>
      <c r="AX181" s="31"/>
      <c r="AY181" s="31"/>
      <c r="AZ181" s="31"/>
      <c r="BA181" s="31"/>
      <c r="BB181" s="31"/>
      <c r="BC181" s="31"/>
      <c r="BD181" s="31"/>
      <c r="BE181" s="32"/>
      <c r="BF181" s="30"/>
      <c r="BG181" s="31"/>
      <c r="BH181" s="31"/>
      <c r="BI181" s="31"/>
      <c r="BJ181" s="31"/>
      <c r="BK181" s="31"/>
      <c r="BL181" s="31"/>
      <c r="BM181" s="31"/>
      <c r="BN181" s="31"/>
      <c r="BO181" s="31"/>
      <c r="BP181" s="31"/>
      <c r="BQ181" s="31"/>
      <c r="BR181" s="31"/>
      <c r="BS181" s="31"/>
      <c r="BT181" s="31"/>
      <c r="BU181" s="31"/>
      <c r="BV181" s="31"/>
      <c r="BW181" s="31"/>
      <c r="BX181" s="32"/>
      <c r="BY181" s="31"/>
      <c r="BZ181" s="31"/>
      <c r="CA181" s="31"/>
      <c r="CB181" s="31"/>
      <c r="CC181" s="31"/>
      <c r="CD181" s="31"/>
      <c r="CE181" s="31"/>
      <c r="CF181" s="31"/>
      <c r="CG181" s="31"/>
      <c r="CH181" s="31"/>
      <c r="CI181" s="31"/>
      <c r="CJ181" s="31"/>
      <c r="CK181" s="31"/>
      <c r="CL181" s="31"/>
      <c r="CM181" s="31"/>
      <c r="CN181" s="31"/>
      <c r="CO181" s="31"/>
      <c r="CP181" s="31"/>
      <c r="CQ181" s="32"/>
    </row>
    <row r="182" spans="1:95" x14ac:dyDescent="0.2">
      <c r="A182" s="30"/>
      <c r="B182" s="31"/>
      <c r="C182" s="31"/>
      <c r="D182" s="31"/>
      <c r="E182" s="31"/>
      <c r="F182" s="31"/>
      <c r="G182" s="31"/>
      <c r="H182" s="31"/>
      <c r="I182" s="31"/>
      <c r="J182" s="31"/>
      <c r="K182" s="31"/>
      <c r="L182" s="31"/>
      <c r="M182" s="31"/>
      <c r="N182" s="31"/>
      <c r="O182" s="31"/>
      <c r="P182" s="31"/>
      <c r="Q182" s="31"/>
      <c r="R182" s="31"/>
      <c r="S182" s="32"/>
      <c r="T182" s="30"/>
      <c r="U182" s="31"/>
      <c r="V182" s="31"/>
      <c r="W182" s="31"/>
      <c r="X182" s="31"/>
      <c r="Y182" s="31"/>
      <c r="Z182" s="31"/>
      <c r="AA182" s="31"/>
      <c r="AB182" s="31"/>
      <c r="AC182" s="31"/>
      <c r="AD182" s="31"/>
      <c r="AE182" s="31"/>
      <c r="AF182" s="31"/>
      <c r="AG182" s="31"/>
      <c r="AH182" s="31"/>
      <c r="AI182" s="31"/>
      <c r="AJ182" s="31"/>
      <c r="AK182" s="31"/>
      <c r="AL182" s="32"/>
      <c r="AM182" s="30"/>
      <c r="AN182" s="31"/>
      <c r="AO182" s="31"/>
      <c r="AP182" s="31"/>
      <c r="AQ182" s="31"/>
      <c r="AR182" s="31"/>
      <c r="AS182" s="31"/>
      <c r="AT182" s="31"/>
      <c r="AU182" s="31"/>
      <c r="AV182" s="31"/>
      <c r="AW182" s="31"/>
      <c r="AX182" s="31"/>
      <c r="AY182" s="31"/>
      <c r="AZ182" s="31"/>
      <c r="BA182" s="31"/>
      <c r="BB182" s="31"/>
      <c r="BC182" s="31"/>
      <c r="BD182" s="31"/>
      <c r="BE182" s="32"/>
      <c r="BF182" s="30"/>
      <c r="BG182" s="31"/>
      <c r="BH182" s="31"/>
      <c r="BI182" s="31"/>
      <c r="BJ182" s="31"/>
      <c r="BK182" s="31"/>
      <c r="BL182" s="31"/>
      <c r="BM182" s="31"/>
      <c r="BN182" s="31"/>
      <c r="BO182" s="31"/>
      <c r="BP182" s="31"/>
      <c r="BQ182" s="31"/>
      <c r="BR182" s="31"/>
      <c r="BS182" s="31"/>
      <c r="BT182" s="31"/>
      <c r="BU182" s="31"/>
      <c r="BV182" s="31"/>
      <c r="BW182" s="31"/>
      <c r="BX182" s="32"/>
      <c r="BY182" s="31"/>
      <c r="BZ182" s="31"/>
      <c r="CA182" s="31"/>
      <c r="CB182" s="31"/>
      <c r="CC182" s="31"/>
      <c r="CD182" s="31"/>
      <c r="CE182" s="31"/>
      <c r="CF182" s="31"/>
      <c r="CG182" s="31"/>
      <c r="CH182" s="31"/>
      <c r="CI182" s="31"/>
      <c r="CJ182" s="31"/>
      <c r="CK182" s="31"/>
      <c r="CL182" s="31"/>
      <c r="CM182" s="31"/>
      <c r="CN182" s="31"/>
      <c r="CO182" s="31"/>
      <c r="CP182" s="31"/>
      <c r="CQ182" s="32"/>
    </row>
    <row r="183" spans="1:95" x14ac:dyDescent="0.2">
      <c r="A183" s="30"/>
      <c r="B183" s="31"/>
      <c r="C183" s="31"/>
      <c r="D183" s="31"/>
      <c r="E183" s="31"/>
      <c r="F183" s="31"/>
      <c r="G183" s="31"/>
      <c r="H183" s="31"/>
      <c r="I183" s="31"/>
      <c r="J183" s="31"/>
      <c r="K183" s="31"/>
      <c r="L183" s="31"/>
      <c r="M183" s="31"/>
      <c r="N183" s="31"/>
      <c r="O183" s="31"/>
      <c r="P183" s="31"/>
      <c r="Q183" s="31"/>
      <c r="R183" s="31"/>
      <c r="S183" s="32"/>
      <c r="T183" s="30"/>
      <c r="U183" s="31"/>
      <c r="V183" s="31"/>
      <c r="W183" s="31"/>
      <c r="X183" s="31"/>
      <c r="Y183" s="31"/>
      <c r="Z183" s="31"/>
      <c r="AA183" s="31"/>
      <c r="AB183" s="31"/>
      <c r="AC183" s="31"/>
      <c r="AD183" s="31"/>
      <c r="AE183" s="31"/>
      <c r="AF183" s="31"/>
      <c r="AG183" s="31"/>
      <c r="AH183" s="31"/>
      <c r="AI183" s="31"/>
      <c r="AJ183" s="31"/>
      <c r="AK183" s="31"/>
      <c r="AL183" s="32"/>
      <c r="AM183" s="30"/>
      <c r="AN183" s="31"/>
      <c r="AO183" s="31"/>
      <c r="AP183" s="31"/>
      <c r="AQ183" s="31"/>
      <c r="AR183" s="31"/>
      <c r="AS183" s="31"/>
      <c r="AT183" s="31"/>
      <c r="AU183" s="31"/>
      <c r="AV183" s="31"/>
      <c r="AW183" s="31"/>
      <c r="AX183" s="31"/>
      <c r="AY183" s="31"/>
      <c r="AZ183" s="31"/>
      <c r="BA183" s="31"/>
      <c r="BB183" s="31"/>
      <c r="BC183" s="31"/>
      <c r="BD183" s="31"/>
      <c r="BE183" s="32"/>
      <c r="BF183" s="30"/>
      <c r="BG183" s="31"/>
      <c r="BH183" s="31"/>
      <c r="BI183" s="31"/>
      <c r="BJ183" s="31"/>
      <c r="BK183" s="31"/>
      <c r="BL183" s="31"/>
      <c r="BM183" s="31"/>
      <c r="BN183" s="31"/>
      <c r="BO183" s="31"/>
      <c r="BP183" s="31"/>
      <c r="BQ183" s="31"/>
      <c r="BR183" s="31"/>
      <c r="BS183" s="31"/>
      <c r="BT183" s="31"/>
      <c r="BU183" s="31"/>
      <c r="BV183" s="31"/>
      <c r="BW183" s="31"/>
      <c r="BX183" s="32"/>
      <c r="BY183" s="31"/>
      <c r="BZ183" s="31"/>
      <c r="CA183" s="31"/>
      <c r="CB183" s="31"/>
      <c r="CC183" s="31"/>
      <c r="CD183" s="31"/>
      <c r="CE183" s="31"/>
      <c r="CF183" s="31"/>
      <c r="CG183" s="31"/>
      <c r="CH183" s="31"/>
      <c r="CI183" s="31"/>
      <c r="CJ183" s="31"/>
      <c r="CK183" s="31"/>
      <c r="CL183" s="31"/>
      <c r="CM183" s="31"/>
      <c r="CN183" s="31"/>
      <c r="CO183" s="31"/>
      <c r="CP183" s="31"/>
      <c r="CQ183" s="32"/>
    </row>
    <row r="184" spans="1:95" x14ac:dyDescent="0.2">
      <c r="A184" s="30"/>
      <c r="B184" s="31"/>
      <c r="C184" s="31"/>
      <c r="D184" s="31"/>
      <c r="E184" s="31"/>
      <c r="F184" s="31"/>
      <c r="G184" s="31"/>
      <c r="H184" s="31"/>
      <c r="I184" s="31"/>
      <c r="J184" s="31"/>
      <c r="K184" s="31"/>
      <c r="L184" s="31"/>
      <c r="M184" s="31"/>
      <c r="N184" s="31"/>
      <c r="O184" s="31"/>
      <c r="P184" s="31"/>
      <c r="Q184" s="31"/>
      <c r="R184" s="31"/>
      <c r="S184" s="32"/>
      <c r="T184" s="30"/>
      <c r="U184" s="31"/>
      <c r="V184" s="31"/>
      <c r="W184" s="31"/>
      <c r="X184" s="31"/>
      <c r="Y184" s="31"/>
      <c r="Z184" s="31"/>
      <c r="AA184" s="31"/>
      <c r="AB184" s="31"/>
      <c r="AC184" s="31"/>
      <c r="AD184" s="31"/>
      <c r="AE184" s="31"/>
      <c r="AF184" s="31"/>
      <c r="AG184" s="31"/>
      <c r="AH184" s="31"/>
      <c r="AI184" s="31"/>
      <c r="AJ184" s="31"/>
      <c r="AK184" s="31"/>
      <c r="AL184" s="32"/>
      <c r="AM184" s="30"/>
      <c r="AN184" s="31"/>
      <c r="AO184" s="31"/>
      <c r="AP184" s="31"/>
      <c r="AQ184" s="31"/>
      <c r="AR184" s="31"/>
      <c r="AS184" s="31"/>
      <c r="AT184" s="31"/>
      <c r="AU184" s="31"/>
      <c r="AV184" s="31"/>
      <c r="AW184" s="31"/>
      <c r="AX184" s="31"/>
      <c r="AY184" s="31"/>
      <c r="AZ184" s="31"/>
      <c r="BA184" s="31"/>
      <c r="BB184" s="31"/>
      <c r="BC184" s="31"/>
      <c r="BD184" s="31"/>
      <c r="BE184" s="32"/>
      <c r="BF184" s="30"/>
      <c r="BG184" s="31"/>
      <c r="BH184" s="31"/>
      <c r="BI184" s="31"/>
      <c r="BJ184" s="31"/>
      <c r="BK184" s="31"/>
      <c r="BL184" s="31"/>
      <c r="BM184" s="31"/>
      <c r="BN184" s="31"/>
      <c r="BO184" s="31"/>
      <c r="BP184" s="31"/>
      <c r="BQ184" s="31"/>
      <c r="BR184" s="31"/>
      <c r="BS184" s="31"/>
      <c r="BT184" s="31"/>
      <c r="BU184" s="31"/>
      <c r="BV184" s="31"/>
      <c r="BW184" s="31"/>
      <c r="BX184" s="32"/>
      <c r="BY184" s="31"/>
      <c r="BZ184" s="31"/>
      <c r="CA184" s="31"/>
      <c r="CB184" s="31"/>
      <c r="CC184" s="31"/>
      <c r="CD184" s="31"/>
      <c r="CE184" s="31"/>
      <c r="CF184" s="31"/>
      <c r="CG184" s="31"/>
      <c r="CH184" s="31"/>
      <c r="CI184" s="31"/>
      <c r="CJ184" s="31"/>
      <c r="CK184" s="31"/>
      <c r="CL184" s="31"/>
      <c r="CM184" s="31"/>
      <c r="CN184" s="31"/>
      <c r="CO184" s="31"/>
      <c r="CP184" s="31"/>
      <c r="CQ184" s="32"/>
    </row>
    <row r="185" spans="1:95" x14ac:dyDescent="0.2">
      <c r="A185" s="30"/>
      <c r="B185" s="31"/>
      <c r="C185" s="31"/>
      <c r="D185" s="31"/>
      <c r="E185" s="31"/>
      <c r="F185" s="31"/>
      <c r="G185" s="31"/>
      <c r="H185" s="31"/>
      <c r="I185" s="31"/>
      <c r="J185" s="31"/>
      <c r="K185" s="31"/>
      <c r="L185" s="31"/>
      <c r="M185" s="31"/>
      <c r="N185" s="31"/>
      <c r="O185" s="31"/>
      <c r="P185" s="31"/>
      <c r="Q185" s="31"/>
      <c r="R185" s="31"/>
      <c r="S185" s="32"/>
      <c r="T185" s="30"/>
      <c r="U185" s="31"/>
      <c r="V185" s="31"/>
      <c r="W185" s="31"/>
      <c r="X185" s="31"/>
      <c r="Y185" s="31"/>
      <c r="Z185" s="31"/>
      <c r="AA185" s="31"/>
      <c r="AB185" s="31"/>
      <c r="AC185" s="31"/>
      <c r="AD185" s="31"/>
      <c r="AE185" s="31"/>
      <c r="AF185" s="31"/>
      <c r="AG185" s="31"/>
      <c r="AH185" s="31"/>
      <c r="AI185" s="31"/>
      <c r="AJ185" s="31"/>
      <c r="AK185" s="31"/>
      <c r="AL185" s="32"/>
      <c r="AM185" s="30"/>
      <c r="AN185" s="31"/>
      <c r="AO185" s="31"/>
      <c r="AP185" s="31"/>
      <c r="AQ185" s="31"/>
      <c r="AR185" s="31"/>
      <c r="AS185" s="31"/>
      <c r="AT185" s="31"/>
      <c r="AU185" s="31"/>
      <c r="AV185" s="31"/>
      <c r="AW185" s="31"/>
      <c r="AX185" s="31"/>
      <c r="AY185" s="31"/>
      <c r="AZ185" s="31"/>
      <c r="BA185" s="31"/>
      <c r="BB185" s="31"/>
      <c r="BC185" s="31"/>
      <c r="BD185" s="31"/>
      <c r="BE185" s="32"/>
      <c r="BF185" s="30"/>
      <c r="BG185" s="31"/>
      <c r="BH185" s="31"/>
      <c r="BI185" s="31"/>
      <c r="BJ185" s="31"/>
      <c r="BK185" s="31"/>
      <c r="BL185" s="31"/>
      <c r="BM185" s="31"/>
      <c r="BN185" s="31"/>
      <c r="BO185" s="31"/>
      <c r="BP185" s="31"/>
      <c r="BQ185" s="31"/>
      <c r="BR185" s="31"/>
      <c r="BS185" s="31"/>
      <c r="BT185" s="31"/>
      <c r="BU185" s="31"/>
      <c r="BV185" s="31"/>
      <c r="BW185" s="31"/>
      <c r="BX185" s="32"/>
      <c r="BY185" s="31"/>
      <c r="BZ185" s="31"/>
      <c r="CA185" s="31"/>
      <c r="CB185" s="31"/>
      <c r="CC185" s="31"/>
      <c r="CD185" s="31"/>
      <c r="CE185" s="31"/>
      <c r="CF185" s="31"/>
      <c r="CG185" s="31"/>
      <c r="CH185" s="31"/>
      <c r="CI185" s="31"/>
      <c r="CJ185" s="31"/>
      <c r="CK185" s="31"/>
      <c r="CL185" s="31"/>
      <c r="CM185" s="31"/>
      <c r="CN185" s="31"/>
      <c r="CO185" s="31"/>
      <c r="CP185" s="31"/>
      <c r="CQ185" s="32"/>
    </row>
    <row r="186" spans="1:95" x14ac:dyDescent="0.2">
      <c r="A186" s="38"/>
      <c r="B186" s="36"/>
      <c r="C186" s="36"/>
      <c r="D186" s="36"/>
      <c r="E186" s="36"/>
      <c r="F186" s="36"/>
      <c r="G186" s="36"/>
      <c r="H186" s="36"/>
      <c r="I186" s="36"/>
      <c r="J186" s="36"/>
      <c r="K186" s="36"/>
      <c r="L186" s="36"/>
      <c r="M186" s="36"/>
      <c r="N186" s="36"/>
      <c r="O186" s="36"/>
      <c r="P186" s="36"/>
      <c r="Q186" s="36"/>
      <c r="R186" s="36"/>
      <c r="S186" s="39"/>
      <c r="T186" s="38"/>
      <c r="U186" s="36"/>
      <c r="V186" s="36"/>
      <c r="W186" s="36"/>
      <c r="X186" s="36"/>
      <c r="Y186" s="36"/>
      <c r="Z186" s="36"/>
      <c r="AA186" s="36"/>
      <c r="AB186" s="36"/>
      <c r="AC186" s="36"/>
      <c r="AD186" s="36"/>
      <c r="AE186" s="36"/>
      <c r="AF186" s="36"/>
      <c r="AG186" s="36"/>
      <c r="AH186" s="36"/>
      <c r="AI186" s="36"/>
      <c r="AJ186" s="36"/>
      <c r="AK186" s="36"/>
      <c r="AL186" s="39"/>
      <c r="AM186" s="38"/>
      <c r="AN186" s="36"/>
      <c r="AO186" s="36"/>
      <c r="AP186" s="36"/>
      <c r="AQ186" s="36"/>
      <c r="AR186" s="36"/>
      <c r="AS186" s="36"/>
      <c r="AT186" s="36"/>
      <c r="AU186" s="36"/>
      <c r="AV186" s="36"/>
      <c r="AW186" s="36"/>
      <c r="AX186" s="36"/>
      <c r="AY186" s="36"/>
      <c r="AZ186" s="36"/>
      <c r="BA186" s="36"/>
      <c r="BB186" s="36"/>
      <c r="BC186" s="36"/>
      <c r="BD186" s="36"/>
      <c r="BE186" s="39"/>
      <c r="BF186" s="38"/>
      <c r="BG186" s="36"/>
      <c r="BH186" s="36"/>
      <c r="BI186" s="36"/>
      <c r="BJ186" s="36"/>
      <c r="BK186" s="36"/>
      <c r="BL186" s="36"/>
      <c r="BM186" s="36"/>
      <c r="BN186" s="36"/>
      <c r="BO186" s="36"/>
      <c r="BP186" s="36"/>
      <c r="BQ186" s="36"/>
      <c r="BR186" s="36"/>
      <c r="BS186" s="36"/>
      <c r="BT186" s="36"/>
      <c r="BU186" s="36"/>
      <c r="BV186" s="36"/>
      <c r="BW186" s="36"/>
      <c r="BX186" s="39"/>
      <c r="BY186" s="36"/>
      <c r="BZ186" s="36"/>
      <c r="CA186" s="36"/>
      <c r="CB186" s="36"/>
      <c r="CC186" s="36"/>
      <c r="CD186" s="36"/>
      <c r="CE186" s="36"/>
      <c r="CF186" s="36"/>
      <c r="CG186" s="36"/>
      <c r="CH186" s="36"/>
      <c r="CI186" s="36"/>
      <c r="CJ186" s="36"/>
      <c r="CK186" s="36"/>
      <c r="CL186" s="36"/>
      <c r="CM186" s="36"/>
      <c r="CN186" s="36"/>
      <c r="CO186" s="36"/>
      <c r="CP186" s="36"/>
      <c r="CQ186" s="39"/>
    </row>
  </sheetData>
  <sheetProtection password="E10F" sheet="1"/>
  <mergeCells count="135">
    <mergeCell ref="A1:S1"/>
    <mergeCell ref="BY1:CQ1"/>
    <mergeCell ref="D3:J3"/>
    <mergeCell ref="O3:S3"/>
    <mergeCell ref="CB3:CH3"/>
    <mergeCell ref="CM3:CQ3"/>
    <mergeCell ref="T1:AL1"/>
    <mergeCell ref="W3:AC3"/>
    <mergeCell ref="AH3:AL3"/>
    <mergeCell ref="AP3:AV3"/>
    <mergeCell ref="A5:S5"/>
    <mergeCell ref="A46:B46"/>
    <mergeCell ref="C46:D46"/>
    <mergeCell ref="E46:F46"/>
    <mergeCell ref="G46:H46"/>
    <mergeCell ref="N46:O46"/>
    <mergeCell ref="P46:R46"/>
    <mergeCell ref="CL46:CM46"/>
    <mergeCell ref="A47:B47"/>
    <mergeCell ref="C47:D47"/>
    <mergeCell ref="E47:F47"/>
    <mergeCell ref="G47:H47"/>
    <mergeCell ref="BY47:BZ47"/>
    <mergeCell ref="BY46:BZ46"/>
    <mergeCell ref="CA46:CB46"/>
    <mergeCell ref="CC46:CD46"/>
    <mergeCell ref="CE46:CF46"/>
    <mergeCell ref="CA47:CB47"/>
    <mergeCell ref="CC47:CD47"/>
    <mergeCell ref="CE47:CF47"/>
    <mergeCell ref="T5:AL5"/>
    <mergeCell ref="A50:B50"/>
    <mergeCell ref="C50:D50"/>
    <mergeCell ref="CA50:CB50"/>
    <mergeCell ref="T47:U47"/>
    <mergeCell ref="V47:W47"/>
    <mergeCell ref="X47:Y47"/>
    <mergeCell ref="Z47:AA47"/>
    <mergeCell ref="C53:D53"/>
    <mergeCell ref="CA52:CB52"/>
    <mergeCell ref="CL52:CM52"/>
    <mergeCell ref="AO51:AP51"/>
    <mergeCell ref="T50:U50"/>
    <mergeCell ref="V50:W50"/>
    <mergeCell ref="V51:W51"/>
    <mergeCell ref="CL50:CM50"/>
    <mergeCell ref="C58:D58"/>
    <mergeCell ref="C59:D59"/>
    <mergeCell ref="C51:D51"/>
    <mergeCell ref="CA51:CB51"/>
    <mergeCell ref="CL51:CM51"/>
    <mergeCell ref="V56:W56"/>
    <mergeCell ref="AO59:AP59"/>
    <mergeCell ref="T57:U57"/>
    <mergeCell ref="BH58:BI58"/>
    <mergeCell ref="BH59:BI59"/>
    <mergeCell ref="A55:B55"/>
    <mergeCell ref="C55:D55"/>
    <mergeCell ref="AO53:AP53"/>
    <mergeCell ref="AM54:AN54"/>
    <mergeCell ref="AO54:AP54"/>
    <mergeCell ref="AZ46:BA46"/>
    <mergeCell ref="AO55:AP55"/>
    <mergeCell ref="CA53:CB53"/>
    <mergeCell ref="A54:B54"/>
    <mergeCell ref="C54:D54"/>
    <mergeCell ref="T46:U46"/>
    <mergeCell ref="V46:W46"/>
    <mergeCell ref="X46:Y46"/>
    <mergeCell ref="Z46:AA46"/>
    <mergeCell ref="AG46:AH46"/>
    <mergeCell ref="AI46:AK46"/>
    <mergeCell ref="T55:U55"/>
    <mergeCell ref="T54:U54"/>
    <mergeCell ref="BH46:BI46"/>
    <mergeCell ref="BJ46:BK46"/>
    <mergeCell ref="BF50:BG50"/>
    <mergeCell ref="BH50:BI50"/>
    <mergeCell ref="BH51:BI51"/>
    <mergeCell ref="BH53:BI53"/>
    <mergeCell ref="C60:D60"/>
    <mergeCell ref="A56:B56"/>
    <mergeCell ref="C56:D56"/>
    <mergeCell ref="A57:B57"/>
    <mergeCell ref="C57:D57"/>
    <mergeCell ref="AM57:AN57"/>
    <mergeCell ref="AO57:AP57"/>
    <mergeCell ref="AO58:AP58"/>
    <mergeCell ref="BB46:BD46"/>
    <mergeCell ref="AM47:AN47"/>
    <mergeCell ref="AO47:AP47"/>
    <mergeCell ref="AQ47:AR47"/>
    <mergeCell ref="AS47:AT47"/>
    <mergeCell ref="AM50:AN50"/>
    <mergeCell ref="AO50:AP50"/>
    <mergeCell ref="AM46:AN46"/>
    <mergeCell ref="AO46:AP46"/>
    <mergeCell ref="AQ46:AR46"/>
    <mergeCell ref="AS46:AT46"/>
    <mergeCell ref="AM56:AN56"/>
    <mergeCell ref="AO56:AP56"/>
    <mergeCell ref="AM55:AN55"/>
    <mergeCell ref="V60:W60"/>
    <mergeCell ref="T56:U56"/>
    <mergeCell ref="BF54:BG54"/>
    <mergeCell ref="BF1:BX1"/>
    <mergeCell ref="BI3:BO3"/>
    <mergeCell ref="BT3:BX3"/>
    <mergeCell ref="BF5:BX5"/>
    <mergeCell ref="V54:W54"/>
    <mergeCell ref="V55:W55"/>
    <mergeCell ref="AM1:BE1"/>
    <mergeCell ref="V57:W57"/>
    <mergeCell ref="BF46:BG46"/>
    <mergeCell ref="V53:W53"/>
    <mergeCell ref="BA3:BE3"/>
    <mergeCell ref="AM5:BE5"/>
    <mergeCell ref="BL46:BM46"/>
    <mergeCell ref="BS46:BT46"/>
    <mergeCell ref="BU46:BW46"/>
    <mergeCell ref="BF47:BG47"/>
    <mergeCell ref="BH47:BI47"/>
    <mergeCell ref="BJ47:BK47"/>
    <mergeCell ref="BL47:BM47"/>
    <mergeCell ref="BH54:BI54"/>
    <mergeCell ref="BH60:BI60"/>
    <mergeCell ref="BF55:BG55"/>
    <mergeCell ref="BH55:BI55"/>
    <mergeCell ref="BF56:BG56"/>
    <mergeCell ref="BH56:BI56"/>
    <mergeCell ref="BF57:BG57"/>
    <mergeCell ref="BH57:BI57"/>
    <mergeCell ref="AO60:AP60"/>
    <mergeCell ref="V59:W59"/>
    <mergeCell ref="V58:W58"/>
  </mergeCells>
  <phoneticPr fontId="0" type="noConversion"/>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9"/>
  <dimension ref="A1:BX180"/>
  <sheetViews>
    <sheetView showGridLines="0" zoomScale="60" zoomScaleNormal="60" zoomScaleSheetLayoutView="100" workbookViewId="0">
      <selection sqref="A1:S1"/>
    </sheetView>
  </sheetViews>
  <sheetFormatPr baseColWidth="10" defaultColWidth="9.140625" defaultRowHeight="12.75" x14ac:dyDescent="0.2"/>
  <cols>
    <col min="1" max="76" width="5" style="350" customWidth="1"/>
    <col min="77" max="16384" width="9.140625" style="350"/>
  </cols>
  <sheetData>
    <row r="1" spans="1:76" x14ac:dyDescent="0.2">
      <c r="A1" s="732" t="s">
        <v>577</v>
      </c>
      <c r="B1" s="732"/>
      <c r="C1" s="732"/>
      <c r="D1" s="732"/>
      <c r="E1" s="732"/>
      <c r="F1" s="732"/>
      <c r="G1" s="732"/>
      <c r="H1" s="732"/>
      <c r="I1" s="732"/>
      <c r="J1" s="732"/>
      <c r="K1" s="732"/>
      <c r="L1" s="732"/>
      <c r="M1" s="732"/>
      <c r="N1" s="732"/>
      <c r="O1" s="732"/>
      <c r="P1" s="732"/>
      <c r="Q1" s="732"/>
      <c r="R1" s="732"/>
      <c r="S1" s="732"/>
      <c r="T1" s="732" t="s">
        <v>578</v>
      </c>
      <c r="U1" s="732"/>
      <c r="V1" s="732"/>
      <c r="W1" s="732"/>
      <c r="X1" s="732"/>
      <c r="Y1" s="732"/>
      <c r="Z1" s="732"/>
      <c r="AA1" s="732"/>
      <c r="AB1" s="732"/>
      <c r="AC1" s="732"/>
      <c r="AD1" s="732"/>
      <c r="AE1" s="732"/>
      <c r="AF1" s="732"/>
      <c r="AG1" s="732"/>
      <c r="AH1" s="732"/>
      <c r="AI1" s="732"/>
      <c r="AJ1" s="732"/>
      <c r="AK1" s="732"/>
      <c r="AL1" s="732"/>
      <c r="AM1" s="732" t="s">
        <v>579</v>
      </c>
      <c r="AN1" s="732"/>
      <c r="AO1" s="732"/>
      <c r="AP1" s="732"/>
      <c r="AQ1" s="732"/>
      <c r="AR1" s="732"/>
      <c r="AS1" s="732"/>
      <c r="AT1" s="732"/>
      <c r="AU1" s="732"/>
      <c r="AV1" s="732"/>
      <c r="AW1" s="732"/>
      <c r="AX1" s="732"/>
      <c r="AY1" s="732"/>
      <c r="AZ1" s="732"/>
      <c r="BA1" s="732"/>
      <c r="BB1" s="732"/>
      <c r="BC1" s="732"/>
      <c r="BD1" s="732"/>
      <c r="BE1" s="732"/>
      <c r="BF1" s="732" t="s">
        <v>580</v>
      </c>
      <c r="BG1" s="732"/>
      <c r="BH1" s="732"/>
      <c r="BI1" s="732"/>
      <c r="BJ1" s="732"/>
      <c r="BK1" s="732"/>
      <c r="BL1" s="732"/>
      <c r="BM1" s="732"/>
      <c r="BN1" s="732"/>
      <c r="BO1" s="732"/>
      <c r="BP1" s="732"/>
      <c r="BQ1" s="732"/>
      <c r="BR1" s="732"/>
      <c r="BS1" s="732"/>
      <c r="BT1" s="732"/>
      <c r="BU1" s="732"/>
      <c r="BV1" s="732"/>
      <c r="BW1" s="732"/>
      <c r="BX1" s="732"/>
    </row>
    <row r="3" spans="1:76" x14ac:dyDescent="0.2">
      <c r="A3" s="350" t="s">
        <v>47</v>
      </c>
      <c r="D3" s="733" t="str">
        <f>IF('Cover Sheet'!$D$14&gt;0,'Cover Sheet'!$D$14,"")</f>
        <v>EPSA</v>
      </c>
      <c r="E3" s="733"/>
      <c r="F3" s="733"/>
      <c r="G3" s="733"/>
      <c r="H3" s="733"/>
      <c r="I3" s="733"/>
      <c r="J3" s="733"/>
      <c r="K3" s="350" t="s">
        <v>48</v>
      </c>
      <c r="O3" s="733" t="str">
        <f>IF('Cover Sheet'!O14&gt;0,'Cover Sheet'!O14,"")</f>
        <v/>
      </c>
      <c r="P3" s="733"/>
      <c r="Q3" s="733"/>
      <c r="R3" s="733"/>
      <c r="S3" s="733"/>
      <c r="T3" s="350" t="s">
        <v>47</v>
      </c>
      <c r="W3" s="733" t="str">
        <f>IF('Cover Sheet'!$D$14&gt;0,'Cover Sheet'!$D$14,"")</f>
        <v>EPSA</v>
      </c>
      <c r="X3" s="733"/>
      <c r="Y3" s="733"/>
      <c r="Z3" s="733"/>
      <c r="AA3" s="733"/>
      <c r="AB3" s="733"/>
      <c r="AC3" s="733"/>
      <c r="AD3" s="350" t="s">
        <v>48</v>
      </c>
      <c r="AH3" s="733" t="str">
        <f>IF('Cover Sheet'!O14&gt;0,'Cover Sheet'!O14,"")</f>
        <v/>
      </c>
      <c r="AI3" s="733"/>
      <c r="AJ3" s="733"/>
      <c r="AK3" s="733"/>
      <c r="AL3" s="733"/>
      <c r="AM3" s="350" t="s">
        <v>47</v>
      </c>
      <c r="AP3" s="733" t="str">
        <f>IF('Cover Sheet'!$D$14&gt;0,'Cover Sheet'!$D$14,"")</f>
        <v>EPSA</v>
      </c>
      <c r="AQ3" s="733"/>
      <c r="AR3" s="733"/>
      <c r="AS3" s="733"/>
      <c r="AT3" s="733"/>
      <c r="AU3" s="733"/>
      <c r="AV3" s="733"/>
      <c r="AW3" s="350" t="s">
        <v>48</v>
      </c>
      <c r="BA3" s="733" t="str">
        <f>IF('Cover Sheet'!O14&gt;0,'Cover Sheet'!O14,"")</f>
        <v/>
      </c>
      <c r="BB3" s="733"/>
      <c r="BC3" s="733"/>
      <c r="BD3" s="733"/>
      <c r="BE3" s="733"/>
      <c r="BF3" s="350" t="s">
        <v>47</v>
      </c>
      <c r="BI3" s="733" t="str">
        <f>IF('Cover Sheet'!$D$14&gt;0,'Cover Sheet'!$D$14,"")</f>
        <v>EPSA</v>
      </c>
      <c r="BJ3" s="733"/>
      <c r="BK3" s="733"/>
      <c r="BL3" s="733"/>
      <c r="BM3" s="733"/>
      <c r="BN3" s="733"/>
      <c r="BO3" s="733"/>
      <c r="BP3" s="350" t="s">
        <v>48</v>
      </c>
      <c r="BT3" s="733" t="str">
        <f>IF('Cover Sheet'!O14&gt;0,'Cover Sheet'!O14,"")</f>
        <v/>
      </c>
      <c r="BU3" s="733"/>
      <c r="BV3" s="733"/>
      <c r="BW3" s="733"/>
      <c r="BX3" s="733"/>
    </row>
    <row r="5" spans="1:76" ht="12.75" customHeight="1" x14ac:dyDescent="0.2">
      <c r="A5" s="351"/>
      <c r="B5" s="352"/>
      <c r="C5" s="352"/>
      <c r="D5" s="352"/>
      <c r="E5" s="352"/>
      <c r="F5" s="352"/>
      <c r="G5" s="352"/>
      <c r="H5" s="352"/>
      <c r="I5" s="352"/>
      <c r="J5" s="352"/>
      <c r="K5" s="352"/>
      <c r="L5" s="352"/>
      <c r="M5" s="352"/>
      <c r="N5" s="352"/>
      <c r="O5" s="352"/>
      <c r="P5" s="352"/>
      <c r="Q5" s="352"/>
      <c r="R5" s="352"/>
      <c r="S5" s="353"/>
      <c r="T5" s="351"/>
      <c r="U5" s="352"/>
      <c r="V5" s="352"/>
      <c r="W5" s="352"/>
      <c r="X5" s="352"/>
      <c r="Y5" s="352"/>
      <c r="Z5" s="352"/>
      <c r="AA5" s="352"/>
      <c r="AB5" s="352"/>
      <c r="AC5" s="352"/>
      <c r="AD5" s="352"/>
      <c r="AE5" s="352"/>
      <c r="AF5" s="352"/>
      <c r="AG5" s="352"/>
      <c r="AH5" s="352"/>
      <c r="AI5" s="352"/>
      <c r="AJ5" s="352"/>
      <c r="AK5" s="352"/>
      <c r="AL5" s="353"/>
      <c r="AM5" s="351"/>
      <c r="AN5" s="352"/>
      <c r="AO5" s="352"/>
      <c r="AP5" s="352"/>
      <c r="AQ5" s="352"/>
      <c r="AR5" s="352"/>
      <c r="AS5" s="352"/>
      <c r="AT5" s="352"/>
      <c r="AU5" s="352"/>
      <c r="AV5" s="352"/>
      <c r="AW5" s="352"/>
      <c r="AX5" s="352"/>
      <c r="AY5" s="352"/>
      <c r="AZ5" s="352"/>
      <c r="BA5" s="352"/>
      <c r="BB5" s="352"/>
      <c r="BC5" s="352"/>
      <c r="BD5" s="352"/>
      <c r="BE5" s="353"/>
      <c r="BF5" s="351"/>
      <c r="BG5" s="352"/>
      <c r="BH5" s="352"/>
      <c r="BI5" s="352"/>
      <c r="BJ5" s="352"/>
      <c r="BK5" s="352"/>
      <c r="BL5" s="352"/>
      <c r="BM5" s="352"/>
      <c r="BN5" s="352"/>
      <c r="BO5" s="352"/>
      <c r="BP5" s="352"/>
      <c r="BQ5" s="352"/>
      <c r="BR5" s="352"/>
      <c r="BS5" s="352"/>
      <c r="BT5" s="352"/>
      <c r="BU5" s="352"/>
      <c r="BV5" s="352"/>
      <c r="BW5" s="352"/>
      <c r="BX5" s="353"/>
    </row>
    <row r="6" spans="1:76" x14ac:dyDescent="0.2">
      <c r="A6" s="354"/>
      <c r="B6" s="355"/>
      <c r="C6" s="355"/>
      <c r="D6" s="355"/>
      <c r="E6" s="355"/>
      <c r="F6" s="355"/>
      <c r="G6" s="355"/>
      <c r="H6" s="355"/>
      <c r="I6" s="355"/>
      <c r="J6" s="355"/>
      <c r="K6" s="355"/>
      <c r="L6" s="355"/>
      <c r="M6" s="355"/>
      <c r="N6" s="355"/>
      <c r="O6" s="355"/>
      <c r="P6" s="355"/>
      <c r="Q6" s="355"/>
      <c r="R6" s="355"/>
      <c r="S6" s="356"/>
      <c r="T6" s="354"/>
      <c r="U6" s="355"/>
      <c r="V6" s="355"/>
      <c r="W6" s="355"/>
      <c r="X6" s="355"/>
      <c r="Y6" s="355"/>
      <c r="Z6" s="355"/>
      <c r="AA6" s="355"/>
      <c r="AB6" s="355"/>
      <c r="AC6" s="355"/>
      <c r="AD6" s="355"/>
      <c r="AE6" s="355"/>
      <c r="AF6" s="355"/>
      <c r="AG6" s="355"/>
      <c r="AH6" s="355"/>
      <c r="AI6" s="355"/>
      <c r="AJ6" s="355"/>
      <c r="AK6" s="355"/>
      <c r="AL6" s="356"/>
      <c r="AM6" s="354"/>
      <c r="AN6" s="355"/>
      <c r="AO6" s="355"/>
      <c r="AP6" s="355"/>
      <c r="AQ6" s="355"/>
      <c r="AR6" s="355"/>
      <c r="AS6" s="355"/>
      <c r="AT6" s="355"/>
      <c r="AU6" s="355"/>
      <c r="AV6" s="355"/>
      <c r="AW6" s="355"/>
      <c r="AX6" s="355"/>
      <c r="AY6" s="355"/>
      <c r="AZ6" s="355"/>
      <c r="BA6" s="355"/>
      <c r="BB6" s="355"/>
      <c r="BC6" s="355"/>
      <c r="BD6" s="355"/>
      <c r="BE6" s="356"/>
      <c r="BF6" s="354"/>
      <c r="BG6" s="355"/>
      <c r="BH6" s="355"/>
      <c r="BI6" s="355"/>
      <c r="BJ6" s="355"/>
      <c r="BK6" s="355"/>
      <c r="BL6" s="355"/>
      <c r="BM6" s="355"/>
      <c r="BN6" s="355"/>
      <c r="BO6" s="355"/>
      <c r="BP6" s="355"/>
      <c r="BQ6" s="355"/>
      <c r="BR6" s="355"/>
      <c r="BS6" s="355"/>
      <c r="BT6" s="355"/>
      <c r="BU6" s="355"/>
      <c r="BV6" s="355"/>
      <c r="BW6" s="355"/>
      <c r="BX6" s="356"/>
    </row>
    <row r="7" spans="1:76" x14ac:dyDescent="0.2">
      <c r="A7" s="354"/>
      <c r="B7" s="355"/>
      <c r="C7" s="355"/>
      <c r="D7" s="355"/>
      <c r="E7" s="355"/>
      <c r="F7" s="355"/>
      <c r="G7" s="355"/>
      <c r="H7" s="355"/>
      <c r="I7" s="355"/>
      <c r="J7" s="355"/>
      <c r="K7" s="355"/>
      <c r="L7" s="355"/>
      <c r="M7" s="355"/>
      <c r="N7" s="355"/>
      <c r="O7" s="355"/>
      <c r="P7" s="355"/>
      <c r="Q7" s="355"/>
      <c r="R7" s="355"/>
      <c r="S7" s="356"/>
      <c r="T7" s="354"/>
      <c r="U7" s="355"/>
      <c r="V7" s="355"/>
      <c r="W7" s="355"/>
      <c r="X7" s="355"/>
      <c r="Y7" s="355"/>
      <c r="Z7" s="355"/>
      <c r="AA7" s="355"/>
      <c r="AB7" s="355"/>
      <c r="AC7" s="355"/>
      <c r="AD7" s="355"/>
      <c r="AE7" s="355"/>
      <c r="AF7" s="355"/>
      <c r="AG7" s="355"/>
      <c r="AH7" s="355"/>
      <c r="AI7" s="355"/>
      <c r="AJ7" s="355"/>
      <c r="AK7" s="355"/>
      <c r="AL7" s="356"/>
      <c r="AM7" s="354"/>
      <c r="AN7" s="355"/>
      <c r="AO7" s="355"/>
      <c r="AP7" s="355"/>
      <c r="AQ7" s="355"/>
      <c r="AR7" s="355"/>
      <c r="AS7" s="355"/>
      <c r="AT7" s="355"/>
      <c r="AU7" s="355"/>
      <c r="AV7" s="355"/>
      <c r="AW7" s="355"/>
      <c r="AX7" s="355"/>
      <c r="AY7" s="355"/>
      <c r="AZ7" s="355"/>
      <c r="BA7" s="355"/>
      <c r="BB7" s="355"/>
      <c r="BC7" s="355"/>
      <c r="BD7" s="355"/>
      <c r="BE7" s="356"/>
      <c r="BF7" s="354"/>
      <c r="BG7" s="355"/>
      <c r="BH7" s="355"/>
      <c r="BI7" s="355"/>
      <c r="BJ7" s="355"/>
      <c r="BK7" s="355"/>
      <c r="BL7" s="355"/>
      <c r="BM7" s="355"/>
      <c r="BN7" s="355"/>
      <c r="BO7" s="355"/>
      <c r="BP7" s="355"/>
      <c r="BQ7" s="355"/>
      <c r="BR7" s="355"/>
      <c r="BS7" s="355"/>
      <c r="BT7" s="355"/>
      <c r="BU7" s="355"/>
      <c r="BV7" s="355"/>
      <c r="BW7" s="355"/>
      <c r="BX7" s="356"/>
    </row>
    <row r="8" spans="1:76" x14ac:dyDescent="0.2">
      <c r="A8" s="354"/>
      <c r="B8" s="355"/>
      <c r="C8" s="355"/>
      <c r="D8" s="355"/>
      <c r="E8" s="355"/>
      <c r="F8" s="355"/>
      <c r="G8" s="355"/>
      <c r="H8" s="355"/>
      <c r="I8" s="355"/>
      <c r="J8" s="355"/>
      <c r="K8" s="355"/>
      <c r="L8" s="355"/>
      <c r="M8" s="355"/>
      <c r="N8" s="355"/>
      <c r="O8" s="355"/>
      <c r="P8" s="355"/>
      <c r="Q8" s="355"/>
      <c r="R8" s="355"/>
      <c r="S8" s="356"/>
      <c r="T8" s="354"/>
      <c r="U8" s="355"/>
      <c r="V8" s="355"/>
      <c r="W8" s="355"/>
      <c r="X8" s="355"/>
      <c r="Y8" s="355"/>
      <c r="Z8" s="355"/>
      <c r="AA8" s="355"/>
      <c r="AB8" s="355"/>
      <c r="AC8" s="355"/>
      <c r="AD8" s="355"/>
      <c r="AE8" s="355"/>
      <c r="AF8" s="355"/>
      <c r="AG8" s="355"/>
      <c r="AH8" s="355"/>
      <c r="AI8" s="355"/>
      <c r="AJ8" s="355"/>
      <c r="AK8" s="355"/>
      <c r="AL8" s="356"/>
      <c r="AM8" s="354"/>
      <c r="AN8" s="355"/>
      <c r="AO8" s="355"/>
      <c r="AP8" s="355"/>
      <c r="AQ8" s="355"/>
      <c r="AR8" s="355"/>
      <c r="AS8" s="355"/>
      <c r="AT8" s="355"/>
      <c r="AU8" s="355"/>
      <c r="AV8" s="355"/>
      <c r="AW8" s="355"/>
      <c r="AX8" s="355"/>
      <c r="AY8" s="355"/>
      <c r="AZ8" s="355"/>
      <c r="BA8" s="355"/>
      <c r="BB8" s="355"/>
      <c r="BC8" s="355"/>
      <c r="BD8" s="355"/>
      <c r="BE8" s="356"/>
      <c r="BF8" s="354"/>
      <c r="BG8" s="355"/>
      <c r="BH8" s="355"/>
      <c r="BI8" s="355"/>
      <c r="BJ8" s="355"/>
      <c r="BK8" s="355"/>
      <c r="BL8" s="355"/>
      <c r="BM8" s="355"/>
      <c r="BN8" s="355"/>
      <c r="BO8" s="355"/>
      <c r="BP8" s="355"/>
      <c r="BQ8" s="355"/>
      <c r="BR8" s="355"/>
      <c r="BS8" s="355"/>
      <c r="BT8" s="355"/>
      <c r="BU8" s="355"/>
      <c r="BV8" s="355"/>
      <c r="BW8" s="355"/>
      <c r="BX8" s="356"/>
    </row>
    <row r="9" spans="1:76" x14ac:dyDescent="0.2">
      <c r="A9" s="354"/>
      <c r="B9" s="355"/>
      <c r="C9" s="355"/>
      <c r="D9" s="355"/>
      <c r="E9" s="355"/>
      <c r="F9" s="357"/>
      <c r="G9" s="357"/>
      <c r="H9" s="355"/>
      <c r="I9" s="355"/>
      <c r="J9" s="355"/>
      <c r="K9" s="355"/>
      <c r="L9" s="355"/>
      <c r="M9" s="355"/>
      <c r="N9" s="355"/>
      <c r="O9" s="355"/>
      <c r="P9" s="355"/>
      <c r="Q9" s="355"/>
      <c r="R9" s="355"/>
      <c r="S9" s="356"/>
      <c r="T9" s="354"/>
      <c r="U9" s="355"/>
      <c r="V9" s="355"/>
      <c r="W9" s="355"/>
      <c r="X9" s="355"/>
      <c r="Y9" s="357"/>
      <c r="Z9" s="357"/>
      <c r="AA9" s="355"/>
      <c r="AB9" s="355"/>
      <c r="AC9" s="355"/>
      <c r="AD9" s="355"/>
      <c r="AE9" s="355"/>
      <c r="AF9" s="355"/>
      <c r="AG9" s="355"/>
      <c r="AH9" s="355"/>
      <c r="AI9" s="355"/>
      <c r="AJ9" s="355"/>
      <c r="AK9" s="355"/>
      <c r="AL9" s="356"/>
      <c r="AM9" s="354"/>
      <c r="AN9" s="355"/>
      <c r="AO9" s="355"/>
      <c r="AP9" s="355"/>
      <c r="AQ9" s="355"/>
      <c r="AR9" s="357"/>
      <c r="AS9" s="357"/>
      <c r="AT9" s="355"/>
      <c r="AU9" s="355"/>
      <c r="AV9" s="355"/>
      <c r="AW9" s="355"/>
      <c r="AX9" s="355"/>
      <c r="AY9" s="355"/>
      <c r="AZ9" s="355"/>
      <c r="BA9" s="355"/>
      <c r="BB9" s="355"/>
      <c r="BC9" s="355"/>
      <c r="BD9" s="355"/>
      <c r="BE9" s="356"/>
      <c r="BF9" s="354"/>
      <c r="BG9" s="355"/>
      <c r="BH9" s="355"/>
      <c r="BI9" s="355"/>
      <c r="BJ9" s="355"/>
      <c r="BK9" s="357"/>
      <c r="BL9" s="357"/>
      <c r="BM9" s="355"/>
      <c r="BN9" s="355"/>
      <c r="BO9" s="355"/>
      <c r="BP9" s="355"/>
      <c r="BQ9" s="355"/>
      <c r="BR9" s="355"/>
      <c r="BS9" s="355"/>
      <c r="BT9" s="355"/>
      <c r="BU9" s="355"/>
      <c r="BV9" s="355"/>
      <c r="BW9" s="355"/>
      <c r="BX9" s="356"/>
    </row>
    <row r="10" spans="1:76" x14ac:dyDescent="0.2">
      <c r="A10" s="354"/>
      <c r="B10" s="355"/>
      <c r="C10" s="355"/>
      <c r="D10" s="355"/>
      <c r="E10" s="355"/>
      <c r="F10" s="355"/>
      <c r="G10" s="355"/>
      <c r="H10" s="355"/>
      <c r="I10" s="355"/>
      <c r="J10" s="355"/>
      <c r="K10" s="355"/>
      <c r="L10" s="355"/>
      <c r="M10" s="355"/>
      <c r="N10" s="355"/>
      <c r="O10" s="355"/>
      <c r="P10" s="355"/>
      <c r="Q10" s="355"/>
      <c r="R10" s="355"/>
      <c r="S10" s="356"/>
      <c r="T10" s="354"/>
      <c r="U10" s="355"/>
      <c r="V10" s="355"/>
      <c r="W10" s="355"/>
      <c r="X10" s="355"/>
      <c r="Y10" s="355"/>
      <c r="Z10" s="355"/>
      <c r="AA10" s="355"/>
      <c r="AB10" s="355"/>
      <c r="AC10" s="355"/>
      <c r="AD10" s="355"/>
      <c r="AE10" s="355"/>
      <c r="AF10" s="355"/>
      <c r="AG10" s="355"/>
      <c r="AH10" s="355"/>
      <c r="AI10" s="355"/>
      <c r="AJ10" s="355"/>
      <c r="AK10" s="355"/>
      <c r="AL10" s="356"/>
      <c r="AM10" s="354"/>
      <c r="AN10" s="355"/>
      <c r="AO10" s="355"/>
      <c r="AP10" s="355"/>
      <c r="AQ10" s="355"/>
      <c r="AR10" s="355"/>
      <c r="AS10" s="355"/>
      <c r="AT10" s="355"/>
      <c r="AU10" s="355"/>
      <c r="AV10" s="355"/>
      <c r="AW10" s="355"/>
      <c r="AX10" s="355"/>
      <c r="AY10" s="355"/>
      <c r="AZ10" s="355"/>
      <c r="BA10" s="355"/>
      <c r="BB10" s="355"/>
      <c r="BC10" s="355"/>
      <c r="BD10" s="355"/>
      <c r="BE10" s="356"/>
      <c r="BF10" s="354"/>
      <c r="BG10" s="355"/>
      <c r="BH10" s="355"/>
      <c r="BI10" s="355"/>
      <c r="BJ10" s="355"/>
      <c r="BK10" s="355"/>
      <c r="BL10" s="355"/>
      <c r="BM10" s="355"/>
      <c r="BN10" s="355"/>
      <c r="BO10" s="355"/>
      <c r="BP10" s="355"/>
      <c r="BQ10" s="355"/>
      <c r="BR10" s="355"/>
      <c r="BS10" s="355"/>
      <c r="BT10" s="355"/>
      <c r="BU10" s="355"/>
      <c r="BV10" s="355"/>
      <c r="BW10" s="355"/>
      <c r="BX10" s="356"/>
    </row>
    <row r="11" spans="1:76" x14ac:dyDescent="0.2">
      <c r="A11" s="354"/>
      <c r="B11" s="355"/>
      <c r="C11" s="355"/>
      <c r="D11" s="355"/>
      <c r="E11" s="355"/>
      <c r="F11" s="355"/>
      <c r="G11" s="358" t="s">
        <v>101</v>
      </c>
      <c r="H11" s="355"/>
      <c r="I11" s="355"/>
      <c r="J11" s="355"/>
      <c r="K11" s="355"/>
      <c r="L11" s="355"/>
      <c r="M11" s="355"/>
      <c r="N11" s="355"/>
      <c r="O11" s="355"/>
      <c r="P11" s="355"/>
      <c r="Q11" s="355"/>
      <c r="R11" s="355"/>
      <c r="S11" s="356"/>
      <c r="T11" s="354"/>
      <c r="U11" s="355"/>
      <c r="V11" s="355"/>
      <c r="W11" s="355"/>
      <c r="X11" s="355"/>
      <c r="Y11" s="355"/>
      <c r="Z11" s="358" t="s">
        <v>101</v>
      </c>
      <c r="AA11" s="355"/>
      <c r="AB11" s="355"/>
      <c r="AC11" s="355"/>
      <c r="AD11" s="355"/>
      <c r="AE11" s="355"/>
      <c r="AF11" s="355"/>
      <c r="AG11" s="355"/>
      <c r="AH11" s="355"/>
      <c r="AI11" s="355"/>
      <c r="AJ11" s="355"/>
      <c r="AK11" s="355"/>
      <c r="AL11" s="356"/>
      <c r="AM11" s="354"/>
      <c r="AN11" s="355"/>
      <c r="AO11" s="355"/>
      <c r="AP11" s="355"/>
      <c r="AQ11" s="355"/>
      <c r="AR11" s="355"/>
      <c r="AS11" s="358" t="s">
        <v>101</v>
      </c>
      <c r="AT11" s="355"/>
      <c r="AU11" s="355"/>
      <c r="AV11" s="355"/>
      <c r="AW11" s="355"/>
      <c r="AX11" s="355"/>
      <c r="AY11" s="355"/>
      <c r="AZ11" s="355"/>
      <c r="BA11" s="355"/>
      <c r="BB11" s="355"/>
      <c r="BC11" s="355"/>
      <c r="BD11" s="355"/>
      <c r="BE11" s="356"/>
      <c r="BF11" s="354"/>
      <c r="BG11" s="355"/>
      <c r="BH11" s="355"/>
      <c r="BI11" s="355"/>
      <c r="BJ11" s="355"/>
      <c r="BK11" s="355"/>
      <c r="BL11" s="358" t="s">
        <v>101</v>
      </c>
      <c r="BM11" s="355"/>
      <c r="BN11" s="355"/>
      <c r="BO11" s="355"/>
      <c r="BP11" s="355"/>
      <c r="BQ11" s="355"/>
      <c r="BR11" s="355"/>
      <c r="BS11" s="355"/>
      <c r="BT11" s="355"/>
      <c r="BU11" s="355"/>
      <c r="BV11" s="355"/>
      <c r="BW11" s="355"/>
      <c r="BX11" s="356"/>
    </row>
    <row r="12" spans="1:76" x14ac:dyDescent="0.2">
      <c r="A12" s="354"/>
      <c r="B12" s="355"/>
      <c r="C12" s="355"/>
      <c r="D12" s="355"/>
      <c r="E12" s="355"/>
      <c r="F12" s="355"/>
      <c r="G12" s="355"/>
      <c r="H12" s="355"/>
      <c r="I12" s="355"/>
      <c r="J12" s="355"/>
      <c r="K12" s="355"/>
      <c r="L12" s="355"/>
      <c r="M12" s="355"/>
      <c r="N12" s="355"/>
      <c r="O12" s="355"/>
      <c r="P12" s="355"/>
      <c r="Q12" s="355"/>
      <c r="R12" s="355"/>
      <c r="S12" s="356"/>
      <c r="T12" s="354"/>
      <c r="U12" s="355"/>
      <c r="V12" s="355"/>
      <c r="W12" s="355"/>
      <c r="X12" s="355"/>
      <c r="Y12" s="355"/>
      <c r="Z12" s="355"/>
      <c r="AA12" s="355"/>
      <c r="AB12" s="355"/>
      <c r="AC12" s="355"/>
      <c r="AD12" s="355"/>
      <c r="AE12" s="355"/>
      <c r="AF12" s="355"/>
      <c r="AG12" s="355"/>
      <c r="AH12" s="355"/>
      <c r="AI12" s="355"/>
      <c r="AJ12" s="355"/>
      <c r="AK12" s="355"/>
      <c r="AL12" s="356"/>
      <c r="AM12" s="354"/>
      <c r="AN12" s="355"/>
      <c r="AO12" s="355"/>
      <c r="AP12" s="355"/>
      <c r="AQ12" s="355"/>
      <c r="AR12" s="355"/>
      <c r="AS12" s="355"/>
      <c r="AT12" s="355"/>
      <c r="AU12" s="355"/>
      <c r="AV12" s="355"/>
      <c r="AW12" s="355"/>
      <c r="AX12" s="355"/>
      <c r="AY12" s="355"/>
      <c r="AZ12" s="355"/>
      <c r="BA12" s="355"/>
      <c r="BB12" s="355"/>
      <c r="BC12" s="355"/>
      <c r="BD12" s="355"/>
      <c r="BE12" s="356"/>
      <c r="BF12" s="354"/>
      <c r="BG12" s="355"/>
      <c r="BH12" s="355"/>
      <c r="BI12" s="355"/>
      <c r="BJ12" s="355"/>
      <c r="BK12" s="355"/>
      <c r="BL12" s="355"/>
      <c r="BM12" s="355"/>
      <c r="BN12" s="355"/>
      <c r="BO12" s="355"/>
      <c r="BP12" s="355"/>
      <c r="BQ12" s="355"/>
      <c r="BR12" s="355"/>
      <c r="BS12" s="355"/>
      <c r="BT12" s="355"/>
      <c r="BU12" s="355"/>
      <c r="BV12" s="355"/>
      <c r="BW12" s="355"/>
      <c r="BX12" s="356"/>
    </row>
    <row r="13" spans="1:76" x14ac:dyDescent="0.2">
      <c r="A13" s="354"/>
      <c r="B13" s="355"/>
      <c r="C13" s="355"/>
      <c r="D13" s="355"/>
      <c r="E13" s="355"/>
      <c r="F13" s="355"/>
      <c r="G13" s="358" t="s">
        <v>282</v>
      </c>
      <c r="H13" s="355"/>
      <c r="I13" s="355"/>
      <c r="J13" s="355"/>
      <c r="K13" s="355"/>
      <c r="L13" s="355"/>
      <c r="M13" s="355"/>
      <c r="N13" s="355"/>
      <c r="O13" s="355"/>
      <c r="P13" s="355"/>
      <c r="Q13" s="355"/>
      <c r="R13" s="355"/>
      <c r="S13" s="356"/>
      <c r="T13" s="354"/>
      <c r="U13" s="355"/>
      <c r="V13" s="355"/>
      <c r="W13" s="355"/>
      <c r="X13" s="355"/>
      <c r="Y13" s="355"/>
      <c r="Z13" s="358" t="s">
        <v>282</v>
      </c>
      <c r="AA13" s="355"/>
      <c r="AB13" s="355"/>
      <c r="AC13" s="355"/>
      <c r="AD13" s="355"/>
      <c r="AE13" s="355"/>
      <c r="AF13" s="355"/>
      <c r="AG13" s="355"/>
      <c r="AH13" s="355"/>
      <c r="AI13" s="355"/>
      <c r="AJ13" s="355"/>
      <c r="AK13" s="355"/>
      <c r="AL13" s="356"/>
      <c r="AM13" s="354"/>
      <c r="AN13" s="355"/>
      <c r="AO13" s="355"/>
      <c r="AP13" s="355"/>
      <c r="AQ13" s="355"/>
      <c r="AR13" s="355"/>
      <c r="AS13" s="358" t="s">
        <v>282</v>
      </c>
      <c r="AT13" s="355"/>
      <c r="AU13" s="355"/>
      <c r="AV13" s="355"/>
      <c r="AW13" s="355"/>
      <c r="AX13" s="355"/>
      <c r="AY13" s="355"/>
      <c r="AZ13" s="355"/>
      <c r="BA13" s="355"/>
      <c r="BB13" s="355"/>
      <c r="BC13" s="355"/>
      <c r="BD13" s="355"/>
      <c r="BE13" s="356"/>
      <c r="BF13" s="354"/>
      <c r="BG13" s="355"/>
      <c r="BH13" s="355"/>
      <c r="BI13" s="355"/>
      <c r="BJ13" s="355"/>
      <c r="BK13" s="355"/>
      <c r="BL13" s="358" t="s">
        <v>282</v>
      </c>
      <c r="BM13" s="355"/>
      <c r="BN13" s="355"/>
      <c r="BO13" s="355"/>
      <c r="BP13" s="355"/>
      <c r="BQ13" s="355"/>
      <c r="BR13" s="355"/>
      <c r="BS13" s="355"/>
      <c r="BT13" s="355"/>
      <c r="BU13" s="355"/>
      <c r="BV13" s="355"/>
      <c r="BW13" s="355"/>
      <c r="BX13" s="356"/>
    </row>
    <row r="14" spans="1:76" x14ac:dyDescent="0.2">
      <c r="A14" s="354"/>
      <c r="B14" s="355"/>
      <c r="C14" s="355"/>
      <c r="D14" s="355"/>
      <c r="E14" s="355"/>
      <c r="F14" s="355"/>
      <c r="G14" s="355"/>
      <c r="H14" s="355"/>
      <c r="I14" s="355"/>
      <c r="J14" s="355"/>
      <c r="K14" s="355"/>
      <c r="L14" s="355"/>
      <c r="M14" s="355"/>
      <c r="N14" s="355"/>
      <c r="O14" s="355"/>
      <c r="P14" s="355"/>
      <c r="Q14" s="355"/>
      <c r="R14" s="355"/>
      <c r="S14" s="356"/>
      <c r="T14" s="354"/>
      <c r="U14" s="355"/>
      <c r="V14" s="355"/>
      <c r="W14" s="355"/>
      <c r="X14" s="355"/>
      <c r="Y14" s="355"/>
      <c r="Z14" s="355"/>
      <c r="AA14" s="355"/>
      <c r="AB14" s="355"/>
      <c r="AC14" s="355"/>
      <c r="AD14" s="355"/>
      <c r="AE14" s="355"/>
      <c r="AF14" s="355"/>
      <c r="AG14" s="355"/>
      <c r="AH14" s="355"/>
      <c r="AI14" s="355"/>
      <c r="AJ14" s="355"/>
      <c r="AK14" s="355"/>
      <c r="AL14" s="356"/>
      <c r="AM14" s="354"/>
      <c r="AN14" s="355"/>
      <c r="AO14" s="355"/>
      <c r="AP14" s="355"/>
      <c r="AQ14" s="355"/>
      <c r="AR14" s="355"/>
      <c r="AS14" s="355"/>
      <c r="AT14" s="355"/>
      <c r="AU14" s="355"/>
      <c r="AV14" s="355"/>
      <c r="AW14" s="355"/>
      <c r="AX14" s="355"/>
      <c r="AY14" s="355"/>
      <c r="AZ14" s="355"/>
      <c r="BA14" s="355"/>
      <c r="BB14" s="355"/>
      <c r="BC14" s="355"/>
      <c r="BD14" s="355"/>
      <c r="BE14" s="356"/>
      <c r="BF14" s="354"/>
      <c r="BG14" s="355"/>
      <c r="BH14" s="355"/>
      <c r="BI14" s="355"/>
      <c r="BJ14" s="355"/>
      <c r="BK14" s="355"/>
      <c r="BL14" s="355"/>
      <c r="BM14" s="355"/>
      <c r="BN14" s="355"/>
      <c r="BO14" s="355"/>
      <c r="BP14" s="355"/>
      <c r="BQ14" s="355"/>
      <c r="BR14" s="355"/>
      <c r="BS14" s="355"/>
      <c r="BT14" s="355"/>
      <c r="BU14" s="355"/>
      <c r="BV14" s="355"/>
      <c r="BW14" s="355"/>
      <c r="BX14" s="356"/>
    </row>
    <row r="15" spans="1:76" x14ac:dyDescent="0.2">
      <c r="A15" s="354"/>
      <c r="B15" s="355"/>
      <c r="C15" s="355"/>
      <c r="D15" s="355"/>
      <c r="E15" s="355"/>
      <c r="F15" s="355"/>
      <c r="G15" s="355"/>
      <c r="H15" s="355"/>
      <c r="I15" s="355"/>
      <c r="J15" s="355"/>
      <c r="K15" s="355"/>
      <c r="L15" s="355"/>
      <c r="M15" s="355"/>
      <c r="N15" s="355"/>
      <c r="O15" s="355"/>
      <c r="P15" s="355"/>
      <c r="Q15" s="355"/>
      <c r="R15" s="355"/>
      <c r="S15" s="356"/>
      <c r="T15" s="354"/>
      <c r="U15" s="355"/>
      <c r="V15" s="355"/>
      <c r="W15" s="355"/>
      <c r="X15" s="355"/>
      <c r="Y15" s="355"/>
      <c r="Z15" s="355"/>
      <c r="AA15" s="355"/>
      <c r="AB15" s="355"/>
      <c r="AC15" s="355"/>
      <c r="AD15" s="355"/>
      <c r="AE15" s="355"/>
      <c r="AF15" s="355"/>
      <c r="AG15" s="355"/>
      <c r="AH15" s="355"/>
      <c r="AI15" s="355"/>
      <c r="AJ15" s="355"/>
      <c r="AK15" s="355"/>
      <c r="AL15" s="356"/>
      <c r="AM15" s="354"/>
      <c r="AN15" s="355"/>
      <c r="AO15" s="355"/>
      <c r="AP15" s="355"/>
      <c r="AQ15" s="355"/>
      <c r="AR15" s="355"/>
      <c r="AS15" s="355"/>
      <c r="AT15" s="355"/>
      <c r="AU15" s="355"/>
      <c r="AV15" s="355"/>
      <c r="AW15" s="355"/>
      <c r="AX15" s="355"/>
      <c r="AY15" s="355"/>
      <c r="AZ15" s="355"/>
      <c r="BA15" s="355"/>
      <c r="BB15" s="355"/>
      <c r="BC15" s="355"/>
      <c r="BD15" s="355"/>
      <c r="BE15" s="356"/>
      <c r="BF15" s="354"/>
      <c r="BG15" s="355"/>
      <c r="BH15" s="355"/>
      <c r="BI15" s="355"/>
      <c r="BJ15" s="355"/>
      <c r="BK15" s="355"/>
      <c r="BL15" s="355"/>
      <c r="BM15" s="355"/>
      <c r="BN15" s="355"/>
      <c r="BO15" s="355"/>
      <c r="BP15" s="355"/>
      <c r="BQ15" s="355"/>
      <c r="BR15" s="355"/>
      <c r="BS15" s="355"/>
      <c r="BT15" s="355"/>
      <c r="BU15" s="355"/>
      <c r="BV15" s="355"/>
      <c r="BW15" s="355"/>
      <c r="BX15" s="356"/>
    </row>
    <row r="16" spans="1:76" x14ac:dyDescent="0.2">
      <c r="A16" s="354"/>
      <c r="B16" s="355"/>
      <c r="C16" s="355"/>
      <c r="D16" s="355"/>
      <c r="E16" s="355"/>
      <c r="F16" s="355"/>
      <c r="G16" s="355"/>
      <c r="H16" s="355"/>
      <c r="I16" s="355"/>
      <c r="J16" s="355"/>
      <c r="K16" s="355"/>
      <c r="L16" s="355"/>
      <c r="M16" s="355"/>
      <c r="N16" s="355"/>
      <c r="O16" s="355"/>
      <c r="P16" s="355"/>
      <c r="Q16" s="355"/>
      <c r="R16" s="355"/>
      <c r="S16" s="356"/>
      <c r="T16" s="354"/>
      <c r="U16" s="355"/>
      <c r="V16" s="355"/>
      <c r="W16" s="355"/>
      <c r="X16" s="355"/>
      <c r="Y16" s="355"/>
      <c r="Z16" s="355"/>
      <c r="AA16" s="355"/>
      <c r="AB16" s="355"/>
      <c r="AC16" s="355"/>
      <c r="AD16" s="355"/>
      <c r="AE16" s="355"/>
      <c r="AF16" s="355"/>
      <c r="AG16" s="355"/>
      <c r="AH16" s="355"/>
      <c r="AI16" s="355"/>
      <c r="AJ16" s="355"/>
      <c r="AK16" s="355"/>
      <c r="AL16" s="356"/>
      <c r="AM16" s="354"/>
      <c r="AN16" s="355"/>
      <c r="AO16" s="355"/>
      <c r="AP16" s="355"/>
      <c r="AQ16" s="355"/>
      <c r="AR16" s="355"/>
      <c r="AS16" s="355"/>
      <c r="AT16" s="355"/>
      <c r="AU16" s="355"/>
      <c r="AV16" s="355"/>
      <c r="AW16" s="355"/>
      <c r="AX16" s="355"/>
      <c r="AY16" s="355"/>
      <c r="AZ16" s="355"/>
      <c r="BA16" s="355"/>
      <c r="BB16" s="355"/>
      <c r="BC16" s="355"/>
      <c r="BD16" s="355"/>
      <c r="BE16" s="356"/>
      <c r="BF16" s="354"/>
      <c r="BG16" s="355"/>
      <c r="BH16" s="355"/>
      <c r="BI16" s="355"/>
      <c r="BJ16" s="355"/>
      <c r="BK16" s="355"/>
      <c r="BL16" s="355"/>
      <c r="BM16" s="355"/>
      <c r="BN16" s="355"/>
      <c r="BO16" s="355"/>
      <c r="BP16" s="355"/>
      <c r="BQ16" s="355"/>
      <c r="BR16" s="355"/>
      <c r="BS16" s="355"/>
      <c r="BT16" s="355"/>
      <c r="BU16" s="355"/>
      <c r="BV16" s="355"/>
      <c r="BW16" s="355"/>
      <c r="BX16" s="356"/>
    </row>
    <row r="17" spans="1:76" x14ac:dyDescent="0.2">
      <c r="A17" s="354"/>
      <c r="B17" s="355"/>
      <c r="C17" s="355"/>
      <c r="D17" s="355"/>
      <c r="E17" s="355"/>
      <c r="F17" s="355"/>
      <c r="G17" s="355"/>
      <c r="H17" s="355"/>
      <c r="I17" s="355"/>
      <c r="J17" s="355"/>
      <c r="K17" s="355"/>
      <c r="L17" s="355"/>
      <c r="M17" s="355"/>
      <c r="N17" s="355"/>
      <c r="O17" s="355"/>
      <c r="P17" s="355"/>
      <c r="Q17" s="355"/>
      <c r="R17" s="355"/>
      <c r="S17" s="356"/>
      <c r="T17" s="354"/>
      <c r="U17" s="355"/>
      <c r="V17" s="355"/>
      <c r="W17" s="355"/>
      <c r="X17" s="355"/>
      <c r="Y17" s="355"/>
      <c r="Z17" s="355"/>
      <c r="AA17" s="355"/>
      <c r="AB17" s="355"/>
      <c r="AC17" s="355"/>
      <c r="AD17" s="355"/>
      <c r="AE17" s="355"/>
      <c r="AF17" s="355"/>
      <c r="AG17" s="355"/>
      <c r="AH17" s="355"/>
      <c r="AI17" s="355"/>
      <c r="AJ17" s="355"/>
      <c r="AK17" s="355"/>
      <c r="AL17" s="356"/>
      <c r="AM17" s="354"/>
      <c r="AN17" s="355"/>
      <c r="AO17" s="355"/>
      <c r="AP17" s="355"/>
      <c r="AQ17" s="355"/>
      <c r="AR17" s="355"/>
      <c r="AS17" s="355"/>
      <c r="AT17" s="355"/>
      <c r="AU17" s="355"/>
      <c r="AV17" s="355"/>
      <c r="AW17" s="355"/>
      <c r="AX17" s="355"/>
      <c r="AY17" s="355"/>
      <c r="AZ17" s="355"/>
      <c r="BA17" s="355"/>
      <c r="BB17" s="355"/>
      <c r="BC17" s="355"/>
      <c r="BD17" s="355"/>
      <c r="BE17" s="356"/>
      <c r="BF17" s="354"/>
      <c r="BG17" s="355"/>
      <c r="BH17" s="355"/>
      <c r="BI17" s="355"/>
      <c r="BJ17" s="355"/>
      <c r="BK17" s="355"/>
      <c r="BL17" s="355"/>
      <c r="BM17" s="355"/>
      <c r="BN17" s="355"/>
      <c r="BO17" s="355"/>
      <c r="BP17" s="355"/>
      <c r="BQ17" s="355"/>
      <c r="BR17" s="355"/>
      <c r="BS17" s="355"/>
      <c r="BT17" s="355"/>
      <c r="BU17" s="355"/>
      <c r="BV17" s="355"/>
      <c r="BW17" s="355"/>
      <c r="BX17" s="356"/>
    </row>
    <row r="18" spans="1:76" x14ac:dyDescent="0.2">
      <c r="A18" s="359"/>
      <c r="B18" s="360"/>
      <c r="C18" s="360"/>
      <c r="D18" s="360"/>
      <c r="E18" s="361"/>
      <c r="F18" s="361"/>
      <c r="G18" s="360"/>
      <c r="H18" s="361"/>
      <c r="I18" s="360"/>
      <c r="J18" s="360"/>
      <c r="K18" s="360"/>
      <c r="L18" s="360"/>
      <c r="M18" s="360"/>
      <c r="N18" s="360"/>
      <c r="O18" s="360"/>
      <c r="P18" s="360"/>
      <c r="Q18" s="360"/>
      <c r="R18" s="360"/>
      <c r="S18" s="362"/>
      <c r="T18" s="359"/>
      <c r="U18" s="360"/>
      <c r="V18" s="360"/>
      <c r="W18" s="360"/>
      <c r="X18" s="361"/>
      <c r="Y18" s="361"/>
      <c r="Z18" s="360"/>
      <c r="AA18" s="361"/>
      <c r="AB18" s="360"/>
      <c r="AC18" s="360"/>
      <c r="AD18" s="360"/>
      <c r="AE18" s="360"/>
      <c r="AF18" s="360"/>
      <c r="AG18" s="360"/>
      <c r="AH18" s="360"/>
      <c r="AI18" s="360"/>
      <c r="AJ18" s="360"/>
      <c r="AK18" s="360"/>
      <c r="AL18" s="362"/>
      <c r="AM18" s="359"/>
      <c r="AN18" s="360"/>
      <c r="AO18" s="360"/>
      <c r="AP18" s="360"/>
      <c r="AQ18" s="361"/>
      <c r="AR18" s="361"/>
      <c r="AS18" s="360"/>
      <c r="AT18" s="361"/>
      <c r="AU18" s="360"/>
      <c r="AV18" s="360"/>
      <c r="AW18" s="360"/>
      <c r="AX18" s="360"/>
      <c r="AY18" s="360"/>
      <c r="AZ18" s="360"/>
      <c r="BA18" s="360"/>
      <c r="BB18" s="360"/>
      <c r="BC18" s="360"/>
      <c r="BD18" s="360"/>
      <c r="BE18" s="362"/>
      <c r="BF18" s="359"/>
      <c r="BG18" s="360"/>
      <c r="BH18" s="360"/>
      <c r="BI18" s="360"/>
      <c r="BJ18" s="361"/>
      <c r="BK18" s="361"/>
      <c r="BL18" s="360"/>
      <c r="BM18" s="361"/>
      <c r="BN18" s="360"/>
      <c r="BO18" s="360"/>
      <c r="BP18" s="360"/>
      <c r="BQ18" s="360"/>
      <c r="BR18" s="360"/>
      <c r="BS18" s="360"/>
      <c r="BT18" s="360"/>
      <c r="BU18" s="360"/>
      <c r="BV18" s="360"/>
      <c r="BW18" s="360"/>
      <c r="BX18" s="362"/>
    </row>
    <row r="19" spans="1:76" x14ac:dyDescent="0.2">
      <c r="A19" s="363" t="s">
        <v>102</v>
      </c>
      <c r="B19" s="364"/>
      <c r="C19" s="364"/>
      <c r="D19" s="364"/>
      <c r="E19" s="364"/>
      <c r="F19" s="364"/>
      <c r="G19" s="364"/>
      <c r="H19" s="364"/>
      <c r="I19" s="364"/>
      <c r="J19" s="364"/>
      <c r="K19" s="364"/>
      <c r="L19" s="364"/>
      <c r="M19" s="364"/>
      <c r="N19" s="364"/>
      <c r="O19" s="364"/>
      <c r="P19" s="364"/>
      <c r="Q19" s="364"/>
      <c r="R19" s="364"/>
      <c r="S19" s="365"/>
      <c r="T19" s="363" t="s">
        <v>102</v>
      </c>
      <c r="U19" s="364"/>
      <c r="V19" s="364"/>
      <c r="W19" s="364"/>
      <c r="X19" s="364"/>
      <c r="Y19" s="364"/>
      <c r="Z19" s="364"/>
      <c r="AA19" s="364"/>
      <c r="AB19" s="364"/>
      <c r="AC19" s="364"/>
      <c r="AD19" s="364"/>
      <c r="AE19" s="364"/>
      <c r="AF19" s="364"/>
      <c r="AG19" s="364"/>
      <c r="AH19" s="364"/>
      <c r="AI19" s="364"/>
      <c r="AJ19" s="364"/>
      <c r="AK19" s="364"/>
      <c r="AL19" s="365"/>
      <c r="AM19" s="363" t="s">
        <v>102</v>
      </c>
      <c r="AN19" s="364"/>
      <c r="AO19" s="364"/>
      <c r="AP19" s="364"/>
      <c r="AQ19" s="364"/>
      <c r="AR19" s="364"/>
      <c r="AS19" s="364"/>
      <c r="AT19" s="364"/>
      <c r="AU19" s="364"/>
      <c r="AV19" s="364"/>
      <c r="AW19" s="364"/>
      <c r="AX19" s="364"/>
      <c r="AY19" s="364"/>
      <c r="AZ19" s="364"/>
      <c r="BA19" s="364"/>
      <c r="BB19" s="364"/>
      <c r="BC19" s="364"/>
      <c r="BD19" s="364"/>
      <c r="BE19" s="365"/>
      <c r="BF19" s="363" t="s">
        <v>102</v>
      </c>
      <c r="BG19" s="364"/>
      <c r="BH19" s="364"/>
      <c r="BI19" s="364"/>
      <c r="BJ19" s="364"/>
      <c r="BK19" s="364"/>
      <c r="BL19" s="364"/>
      <c r="BM19" s="364"/>
      <c r="BN19" s="364"/>
      <c r="BO19" s="364"/>
      <c r="BP19" s="364"/>
      <c r="BQ19" s="364"/>
      <c r="BR19" s="364"/>
      <c r="BS19" s="364"/>
      <c r="BT19" s="364"/>
      <c r="BU19" s="364"/>
      <c r="BV19" s="364"/>
      <c r="BW19" s="364"/>
      <c r="BX19" s="365"/>
    </row>
    <row r="20" spans="1:76" x14ac:dyDescent="0.2">
      <c r="A20" s="366"/>
      <c r="B20" s="364"/>
      <c r="C20" s="364"/>
      <c r="D20" s="364"/>
      <c r="E20" s="364"/>
      <c r="F20" s="364"/>
      <c r="G20" s="364"/>
      <c r="H20" s="364"/>
      <c r="I20" s="364"/>
      <c r="J20" s="364"/>
      <c r="K20" s="364"/>
      <c r="L20" s="364"/>
      <c r="M20" s="364"/>
      <c r="N20" s="364"/>
      <c r="O20" s="364"/>
      <c r="P20" s="364"/>
      <c r="Q20" s="364"/>
      <c r="R20" s="364"/>
      <c r="S20" s="365"/>
      <c r="T20" s="366"/>
      <c r="U20" s="364"/>
      <c r="V20" s="364"/>
      <c r="W20" s="364"/>
      <c r="X20" s="364"/>
      <c r="Y20" s="364"/>
      <c r="Z20" s="364"/>
      <c r="AA20" s="364"/>
      <c r="AB20" s="364"/>
      <c r="AC20" s="364"/>
      <c r="AD20" s="364"/>
      <c r="AE20" s="364"/>
      <c r="AF20" s="364"/>
      <c r="AG20" s="364"/>
      <c r="AH20" s="364"/>
      <c r="AI20" s="364"/>
      <c r="AJ20" s="364"/>
      <c r="AK20" s="364"/>
      <c r="AL20" s="365"/>
      <c r="AM20" s="366"/>
      <c r="AN20" s="364"/>
      <c r="AO20" s="364"/>
      <c r="AP20" s="364"/>
      <c r="AQ20" s="364"/>
      <c r="AR20" s="364"/>
      <c r="AS20" s="364"/>
      <c r="AT20" s="364"/>
      <c r="AU20" s="364"/>
      <c r="AV20" s="364"/>
      <c r="AW20" s="364"/>
      <c r="AX20" s="364"/>
      <c r="AY20" s="364"/>
      <c r="AZ20" s="364"/>
      <c r="BA20" s="364"/>
      <c r="BB20" s="364"/>
      <c r="BC20" s="364"/>
      <c r="BD20" s="364"/>
      <c r="BE20" s="365"/>
      <c r="BF20" s="366"/>
      <c r="BG20" s="364"/>
      <c r="BH20" s="364"/>
      <c r="BI20" s="364"/>
      <c r="BJ20" s="364"/>
      <c r="BK20" s="364"/>
      <c r="BL20" s="364"/>
      <c r="BM20" s="364"/>
      <c r="BN20" s="364"/>
      <c r="BO20" s="364"/>
      <c r="BP20" s="364"/>
      <c r="BQ20" s="364"/>
      <c r="BR20" s="364"/>
      <c r="BS20" s="364"/>
      <c r="BT20" s="364"/>
      <c r="BU20" s="364"/>
      <c r="BV20" s="364"/>
      <c r="BW20" s="364"/>
      <c r="BX20" s="365"/>
    </row>
    <row r="21" spans="1:76" x14ac:dyDescent="0.2">
      <c r="A21" s="351"/>
      <c r="B21" s="352"/>
      <c r="C21" s="352"/>
      <c r="D21" s="352"/>
      <c r="E21" s="352"/>
      <c r="F21" s="352"/>
      <c r="G21" s="352"/>
      <c r="H21" s="352"/>
      <c r="I21" s="352"/>
      <c r="J21" s="352"/>
      <c r="K21" s="352"/>
      <c r="L21" s="352"/>
      <c r="M21" s="352"/>
      <c r="N21" s="352"/>
      <c r="O21" s="352"/>
      <c r="P21" s="352"/>
      <c r="Q21" s="352"/>
      <c r="R21" s="352"/>
      <c r="S21" s="353"/>
      <c r="T21" s="351"/>
      <c r="U21" s="352"/>
      <c r="V21" s="352"/>
      <c r="W21" s="352"/>
      <c r="X21" s="352"/>
      <c r="Y21" s="352"/>
      <c r="Z21" s="352"/>
      <c r="AA21" s="352"/>
      <c r="AB21" s="352"/>
      <c r="AC21" s="352"/>
      <c r="AD21" s="352"/>
      <c r="AE21" s="352"/>
      <c r="AF21" s="352"/>
      <c r="AG21" s="352"/>
      <c r="AH21" s="352"/>
      <c r="AI21" s="352"/>
      <c r="AJ21" s="352"/>
      <c r="AK21" s="352"/>
      <c r="AL21" s="353"/>
      <c r="AM21" s="351"/>
      <c r="AN21" s="352"/>
      <c r="AO21" s="352"/>
      <c r="AP21" s="352"/>
      <c r="AQ21" s="352"/>
      <c r="AR21" s="352"/>
      <c r="AS21" s="352"/>
      <c r="AT21" s="352"/>
      <c r="AU21" s="352"/>
      <c r="AV21" s="352"/>
      <c r="AW21" s="352"/>
      <c r="AX21" s="352"/>
      <c r="AY21" s="352"/>
      <c r="AZ21" s="352"/>
      <c r="BA21" s="352"/>
      <c r="BB21" s="352"/>
      <c r="BC21" s="352"/>
      <c r="BD21" s="352"/>
      <c r="BE21" s="353"/>
      <c r="BF21" s="351"/>
      <c r="BG21" s="352"/>
      <c r="BH21" s="352"/>
      <c r="BI21" s="352"/>
      <c r="BJ21" s="352"/>
      <c r="BK21" s="352"/>
      <c r="BL21" s="352"/>
      <c r="BM21" s="352"/>
      <c r="BN21" s="352"/>
      <c r="BO21" s="352"/>
      <c r="BP21" s="352"/>
      <c r="BQ21" s="352"/>
      <c r="BR21" s="352"/>
      <c r="BS21" s="352"/>
      <c r="BT21" s="352"/>
      <c r="BU21" s="352"/>
      <c r="BV21" s="352"/>
      <c r="BW21" s="352"/>
      <c r="BX21" s="353"/>
    </row>
    <row r="22" spans="1:76" x14ac:dyDescent="0.2">
      <c r="A22" s="354"/>
      <c r="B22" s="355"/>
      <c r="C22" s="355"/>
      <c r="D22" s="355"/>
      <c r="E22" s="355"/>
      <c r="F22" s="355"/>
      <c r="G22" s="355"/>
      <c r="H22" s="355"/>
      <c r="I22" s="355"/>
      <c r="J22" s="355"/>
      <c r="K22" s="355"/>
      <c r="L22" s="355"/>
      <c r="M22" s="355"/>
      <c r="N22" s="355"/>
      <c r="O22" s="355"/>
      <c r="P22" s="355"/>
      <c r="Q22" s="355"/>
      <c r="R22" s="355"/>
      <c r="S22" s="356"/>
      <c r="T22" s="354"/>
      <c r="U22" s="355"/>
      <c r="V22" s="355"/>
      <c r="W22" s="355"/>
      <c r="X22" s="355"/>
      <c r="Y22" s="355"/>
      <c r="Z22" s="355"/>
      <c r="AA22" s="355"/>
      <c r="AB22" s="355"/>
      <c r="AC22" s="355"/>
      <c r="AD22" s="355"/>
      <c r="AE22" s="355"/>
      <c r="AF22" s="355"/>
      <c r="AG22" s="355"/>
      <c r="AH22" s="355"/>
      <c r="AI22" s="355"/>
      <c r="AJ22" s="355"/>
      <c r="AK22" s="355"/>
      <c r="AL22" s="356"/>
      <c r="AM22" s="354"/>
      <c r="AN22" s="355"/>
      <c r="AO22" s="355"/>
      <c r="AP22" s="355"/>
      <c r="AQ22" s="355"/>
      <c r="AR22" s="355"/>
      <c r="AS22" s="355"/>
      <c r="AT22" s="355"/>
      <c r="AU22" s="355"/>
      <c r="AV22" s="355"/>
      <c r="AW22" s="355"/>
      <c r="AX22" s="355"/>
      <c r="AY22" s="355"/>
      <c r="AZ22" s="355"/>
      <c r="BA22" s="355"/>
      <c r="BB22" s="355"/>
      <c r="BC22" s="355"/>
      <c r="BD22" s="355"/>
      <c r="BE22" s="356"/>
      <c r="BF22" s="354"/>
      <c r="BG22" s="355"/>
      <c r="BH22" s="355"/>
      <c r="BI22" s="355"/>
      <c r="BJ22" s="355"/>
      <c r="BK22" s="355"/>
      <c r="BL22" s="355"/>
      <c r="BM22" s="355"/>
      <c r="BN22" s="355"/>
      <c r="BO22" s="355"/>
      <c r="BP22" s="355"/>
      <c r="BQ22" s="355"/>
      <c r="BR22" s="355"/>
      <c r="BS22" s="355"/>
      <c r="BT22" s="355"/>
      <c r="BU22" s="355"/>
      <c r="BV22" s="355"/>
      <c r="BW22" s="355"/>
      <c r="BX22" s="356"/>
    </row>
    <row r="23" spans="1:76" x14ac:dyDescent="0.2">
      <c r="A23" s="354"/>
      <c r="B23" s="355"/>
      <c r="C23" s="355"/>
      <c r="D23" s="355"/>
      <c r="E23" s="355"/>
      <c r="F23" s="355"/>
      <c r="G23" s="355"/>
      <c r="H23" s="355"/>
      <c r="I23" s="355"/>
      <c r="J23" s="355"/>
      <c r="K23" s="355"/>
      <c r="L23" s="355"/>
      <c r="M23" s="355"/>
      <c r="N23" s="355"/>
      <c r="O23" s="355"/>
      <c r="P23" s="355"/>
      <c r="Q23" s="355"/>
      <c r="R23" s="355"/>
      <c r="S23" s="356"/>
      <c r="T23" s="354"/>
      <c r="U23" s="355"/>
      <c r="V23" s="355"/>
      <c r="W23" s="355"/>
      <c r="X23" s="355"/>
      <c r="Y23" s="355"/>
      <c r="Z23" s="355"/>
      <c r="AA23" s="355"/>
      <c r="AB23" s="355"/>
      <c r="AC23" s="355"/>
      <c r="AD23" s="355"/>
      <c r="AE23" s="355"/>
      <c r="AF23" s="355"/>
      <c r="AG23" s="355"/>
      <c r="AH23" s="355"/>
      <c r="AI23" s="355"/>
      <c r="AJ23" s="355"/>
      <c r="AK23" s="355"/>
      <c r="AL23" s="356"/>
      <c r="AM23" s="354"/>
      <c r="AN23" s="355"/>
      <c r="AO23" s="355"/>
      <c r="AP23" s="355"/>
      <c r="AQ23" s="355"/>
      <c r="AR23" s="355"/>
      <c r="AS23" s="355"/>
      <c r="AT23" s="355"/>
      <c r="AU23" s="355"/>
      <c r="AV23" s="355"/>
      <c r="AW23" s="355"/>
      <c r="AX23" s="355"/>
      <c r="AY23" s="355"/>
      <c r="AZ23" s="355"/>
      <c r="BA23" s="355"/>
      <c r="BB23" s="355"/>
      <c r="BC23" s="355"/>
      <c r="BD23" s="355"/>
      <c r="BE23" s="356"/>
      <c r="BF23" s="354"/>
      <c r="BG23" s="355"/>
      <c r="BH23" s="355"/>
      <c r="BI23" s="355"/>
      <c r="BJ23" s="355"/>
      <c r="BK23" s="355"/>
      <c r="BL23" s="355"/>
      <c r="BM23" s="355"/>
      <c r="BN23" s="355"/>
      <c r="BO23" s="355"/>
      <c r="BP23" s="355"/>
      <c r="BQ23" s="355"/>
      <c r="BR23" s="355"/>
      <c r="BS23" s="355"/>
      <c r="BT23" s="355"/>
      <c r="BU23" s="355"/>
      <c r="BV23" s="355"/>
      <c r="BW23" s="355"/>
      <c r="BX23" s="356"/>
    </row>
    <row r="24" spans="1:76" x14ac:dyDescent="0.2">
      <c r="A24" s="354"/>
      <c r="B24" s="355"/>
      <c r="C24" s="355"/>
      <c r="D24" s="355"/>
      <c r="E24" s="355"/>
      <c r="F24" s="355"/>
      <c r="G24" s="355"/>
      <c r="H24" s="355"/>
      <c r="I24" s="355"/>
      <c r="J24" s="355"/>
      <c r="K24" s="355"/>
      <c r="L24" s="355"/>
      <c r="M24" s="355"/>
      <c r="N24" s="355"/>
      <c r="O24" s="355"/>
      <c r="P24" s="355"/>
      <c r="Q24" s="355"/>
      <c r="R24" s="355"/>
      <c r="S24" s="356"/>
      <c r="T24" s="354"/>
      <c r="U24" s="355"/>
      <c r="V24" s="355"/>
      <c r="W24" s="355"/>
      <c r="X24" s="355"/>
      <c r="Y24" s="355"/>
      <c r="Z24" s="355"/>
      <c r="AA24" s="355"/>
      <c r="AB24" s="355"/>
      <c r="AC24" s="355"/>
      <c r="AD24" s="355"/>
      <c r="AE24" s="355"/>
      <c r="AF24" s="355"/>
      <c r="AG24" s="355"/>
      <c r="AH24" s="355"/>
      <c r="AI24" s="355"/>
      <c r="AJ24" s="355"/>
      <c r="AK24" s="355"/>
      <c r="AL24" s="356"/>
      <c r="AM24" s="354"/>
      <c r="AN24" s="355"/>
      <c r="AO24" s="355"/>
      <c r="AP24" s="355"/>
      <c r="AQ24" s="355"/>
      <c r="AR24" s="355"/>
      <c r="AS24" s="355"/>
      <c r="AT24" s="355"/>
      <c r="AU24" s="355"/>
      <c r="AV24" s="355"/>
      <c r="AW24" s="355"/>
      <c r="AX24" s="355"/>
      <c r="AY24" s="355"/>
      <c r="AZ24" s="355"/>
      <c r="BA24" s="355"/>
      <c r="BB24" s="355"/>
      <c r="BC24" s="355"/>
      <c r="BD24" s="355"/>
      <c r="BE24" s="356"/>
      <c r="BF24" s="354"/>
      <c r="BG24" s="355"/>
      <c r="BH24" s="355"/>
      <c r="BI24" s="355"/>
      <c r="BJ24" s="355"/>
      <c r="BK24" s="355"/>
      <c r="BL24" s="355"/>
      <c r="BM24" s="355"/>
      <c r="BN24" s="355"/>
      <c r="BO24" s="355"/>
      <c r="BP24" s="355"/>
      <c r="BQ24" s="355"/>
      <c r="BR24" s="355"/>
      <c r="BS24" s="355"/>
      <c r="BT24" s="355"/>
      <c r="BU24" s="355"/>
      <c r="BV24" s="355"/>
      <c r="BW24" s="355"/>
      <c r="BX24" s="356"/>
    </row>
    <row r="25" spans="1:76" x14ac:dyDescent="0.2">
      <c r="A25" s="354"/>
      <c r="B25" s="355"/>
      <c r="C25" s="355"/>
      <c r="D25" s="355"/>
      <c r="E25" s="355"/>
      <c r="F25" s="355"/>
      <c r="G25" s="355"/>
      <c r="H25" s="355"/>
      <c r="I25" s="355"/>
      <c r="J25" s="355"/>
      <c r="K25" s="355"/>
      <c r="L25" s="355"/>
      <c r="M25" s="355"/>
      <c r="N25" s="355"/>
      <c r="O25" s="355"/>
      <c r="P25" s="355"/>
      <c r="Q25" s="355"/>
      <c r="R25" s="355"/>
      <c r="S25" s="356"/>
      <c r="T25" s="354"/>
      <c r="U25" s="355"/>
      <c r="V25" s="355"/>
      <c r="W25" s="355"/>
      <c r="X25" s="355"/>
      <c r="Y25" s="355"/>
      <c r="Z25" s="355"/>
      <c r="AA25" s="355"/>
      <c r="AB25" s="355"/>
      <c r="AC25" s="355"/>
      <c r="AD25" s="355"/>
      <c r="AE25" s="355"/>
      <c r="AF25" s="355"/>
      <c r="AG25" s="355"/>
      <c r="AH25" s="355"/>
      <c r="AI25" s="355"/>
      <c r="AJ25" s="355"/>
      <c r="AK25" s="355"/>
      <c r="AL25" s="356"/>
      <c r="AM25" s="354"/>
      <c r="AN25" s="355"/>
      <c r="AO25" s="355"/>
      <c r="AP25" s="355"/>
      <c r="AQ25" s="355"/>
      <c r="AR25" s="355"/>
      <c r="AS25" s="355"/>
      <c r="AT25" s="355"/>
      <c r="AU25" s="355"/>
      <c r="AV25" s="355"/>
      <c r="AW25" s="355"/>
      <c r="AX25" s="355"/>
      <c r="AY25" s="355"/>
      <c r="AZ25" s="355"/>
      <c r="BA25" s="355"/>
      <c r="BB25" s="355"/>
      <c r="BC25" s="355"/>
      <c r="BD25" s="355"/>
      <c r="BE25" s="356"/>
      <c r="BF25" s="354"/>
      <c r="BG25" s="355"/>
      <c r="BH25" s="355"/>
      <c r="BI25" s="355"/>
      <c r="BJ25" s="355"/>
      <c r="BK25" s="355"/>
      <c r="BL25" s="355"/>
      <c r="BM25" s="355"/>
      <c r="BN25" s="355"/>
      <c r="BO25" s="355"/>
      <c r="BP25" s="355"/>
      <c r="BQ25" s="355"/>
      <c r="BR25" s="355"/>
      <c r="BS25" s="355"/>
      <c r="BT25" s="355"/>
      <c r="BU25" s="355"/>
      <c r="BV25" s="355"/>
      <c r="BW25" s="355"/>
      <c r="BX25" s="356"/>
    </row>
    <row r="26" spans="1:76" x14ac:dyDescent="0.2">
      <c r="A26" s="354"/>
      <c r="B26" s="355"/>
      <c r="C26" s="355"/>
      <c r="D26" s="355"/>
      <c r="E26" s="355"/>
      <c r="F26" s="355"/>
      <c r="G26" s="355"/>
      <c r="H26" s="355"/>
      <c r="I26" s="355"/>
      <c r="J26" s="355"/>
      <c r="K26" s="355"/>
      <c r="L26" s="355"/>
      <c r="M26" s="355"/>
      <c r="N26" s="355"/>
      <c r="O26" s="355"/>
      <c r="P26" s="355"/>
      <c r="Q26" s="355"/>
      <c r="R26" s="355"/>
      <c r="S26" s="356"/>
      <c r="T26" s="354"/>
      <c r="U26" s="355"/>
      <c r="V26" s="355"/>
      <c r="W26" s="355"/>
      <c r="X26" s="355"/>
      <c r="Y26" s="355"/>
      <c r="Z26" s="355"/>
      <c r="AA26" s="355"/>
      <c r="AB26" s="355"/>
      <c r="AC26" s="355"/>
      <c r="AD26" s="355"/>
      <c r="AE26" s="355"/>
      <c r="AF26" s="355"/>
      <c r="AG26" s="355"/>
      <c r="AH26" s="355"/>
      <c r="AI26" s="355"/>
      <c r="AJ26" s="355"/>
      <c r="AK26" s="355"/>
      <c r="AL26" s="356"/>
      <c r="AM26" s="354"/>
      <c r="AN26" s="355"/>
      <c r="AO26" s="355"/>
      <c r="AP26" s="355"/>
      <c r="AQ26" s="355"/>
      <c r="AR26" s="355"/>
      <c r="AS26" s="355"/>
      <c r="AT26" s="355"/>
      <c r="AU26" s="355"/>
      <c r="AV26" s="355"/>
      <c r="AW26" s="355"/>
      <c r="AX26" s="355"/>
      <c r="AY26" s="355"/>
      <c r="AZ26" s="355"/>
      <c r="BA26" s="355"/>
      <c r="BB26" s="355"/>
      <c r="BC26" s="355"/>
      <c r="BD26" s="355"/>
      <c r="BE26" s="356"/>
      <c r="BF26" s="354"/>
      <c r="BG26" s="355"/>
      <c r="BH26" s="355"/>
      <c r="BI26" s="355"/>
      <c r="BJ26" s="355"/>
      <c r="BK26" s="355"/>
      <c r="BL26" s="355"/>
      <c r="BM26" s="355"/>
      <c r="BN26" s="355"/>
      <c r="BO26" s="355"/>
      <c r="BP26" s="355"/>
      <c r="BQ26" s="355"/>
      <c r="BR26" s="355"/>
      <c r="BS26" s="355"/>
      <c r="BT26" s="355"/>
      <c r="BU26" s="355"/>
      <c r="BV26" s="355"/>
      <c r="BW26" s="355"/>
      <c r="BX26" s="356"/>
    </row>
    <row r="27" spans="1:76" x14ac:dyDescent="0.2">
      <c r="A27" s="354"/>
      <c r="B27" s="355"/>
      <c r="C27" s="355"/>
      <c r="D27" s="355"/>
      <c r="E27" s="355"/>
      <c r="F27" s="355"/>
      <c r="G27" s="355"/>
      <c r="H27" s="355"/>
      <c r="I27" s="355"/>
      <c r="J27" s="355"/>
      <c r="K27" s="355"/>
      <c r="L27" s="355"/>
      <c r="M27" s="355"/>
      <c r="N27" s="355"/>
      <c r="O27" s="355"/>
      <c r="P27" s="355"/>
      <c r="Q27" s="355"/>
      <c r="R27" s="355"/>
      <c r="S27" s="356"/>
      <c r="T27" s="354"/>
      <c r="U27" s="355"/>
      <c r="V27" s="355"/>
      <c r="W27" s="355"/>
      <c r="X27" s="355"/>
      <c r="Y27" s="355"/>
      <c r="Z27" s="355"/>
      <c r="AA27" s="355"/>
      <c r="AB27" s="355"/>
      <c r="AC27" s="355"/>
      <c r="AD27" s="355"/>
      <c r="AE27" s="355"/>
      <c r="AF27" s="355"/>
      <c r="AG27" s="355"/>
      <c r="AH27" s="355"/>
      <c r="AI27" s="355"/>
      <c r="AJ27" s="355"/>
      <c r="AK27" s="355"/>
      <c r="AL27" s="356"/>
      <c r="AM27" s="354"/>
      <c r="AN27" s="355"/>
      <c r="AO27" s="355"/>
      <c r="AP27" s="355"/>
      <c r="AQ27" s="355"/>
      <c r="AR27" s="355"/>
      <c r="AS27" s="355"/>
      <c r="AT27" s="355"/>
      <c r="AU27" s="355"/>
      <c r="AV27" s="355"/>
      <c r="AW27" s="355"/>
      <c r="AX27" s="355"/>
      <c r="AY27" s="355"/>
      <c r="AZ27" s="355"/>
      <c r="BA27" s="355"/>
      <c r="BB27" s="355"/>
      <c r="BC27" s="355"/>
      <c r="BD27" s="355"/>
      <c r="BE27" s="356"/>
      <c r="BF27" s="354"/>
      <c r="BG27" s="355"/>
      <c r="BH27" s="355"/>
      <c r="BI27" s="355"/>
      <c r="BJ27" s="355"/>
      <c r="BK27" s="355"/>
      <c r="BL27" s="355"/>
      <c r="BM27" s="355"/>
      <c r="BN27" s="355"/>
      <c r="BO27" s="355"/>
      <c r="BP27" s="355"/>
      <c r="BQ27" s="355"/>
      <c r="BR27" s="355"/>
      <c r="BS27" s="355"/>
      <c r="BT27" s="355"/>
      <c r="BU27" s="355"/>
      <c r="BV27" s="355"/>
      <c r="BW27" s="355"/>
      <c r="BX27" s="356"/>
    </row>
    <row r="28" spans="1:76" x14ac:dyDescent="0.2">
      <c r="A28" s="354"/>
      <c r="B28" s="355"/>
      <c r="C28" s="355"/>
      <c r="D28" s="355"/>
      <c r="E28" s="355"/>
      <c r="F28" s="355"/>
      <c r="G28" s="355"/>
      <c r="H28" s="355"/>
      <c r="I28" s="355"/>
      <c r="J28" s="355"/>
      <c r="K28" s="355"/>
      <c r="L28" s="355"/>
      <c r="M28" s="355"/>
      <c r="N28" s="355"/>
      <c r="O28" s="355"/>
      <c r="P28" s="355"/>
      <c r="Q28" s="355"/>
      <c r="R28" s="355"/>
      <c r="S28" s="356"/>
      <c r="T28" s="354"/>
      <c r="U28" s="355"/>
      <c r="V28" s="355"/>
      <c r="W28" s="355"/>
      <c r="X28" s="355"/>
      <c r="Y28" s="355"/>
      <c r="Z28" s="355"/>
      <c r="AA28" s="355"/>
      <c r="AB28" s="355"/>
      <c r="AC28" s="355"/>
      <c r="AD28" s="355"/>
      <c r="AE28" s="355"/>
      <c r="AF28" s="355"/>
      <c r="AG28" s="355"/>
      <c r="AH28" s="355"/>
      <c r="AI28" s="355"/>
      <c r="AJ28" s="355"/>
      <c r="AK28" s="355"/>
      <c r="AL28" s="356"/>
      <c r="AM28" s="354"/>
      <c r="AN28" s="355"/>
      <c r="AO28" s="355"/>
      <c r="AP28" s="355"/>
      <c r="AQ28" s="355"/>
      <c r="AR28" s="355"/>
      <c r="AS28" s="355"/>
      <c r="AT28" s="355"/>
      <c r="AU28" s="355"/>
      <c r="AV28" s="355"/>
      <c r="AW28" s="355"/>
      <c r="AX28" s="355"/>
      <c r="AY28" s="355"/>
      <c r="AZ28" s="355"/>
      <c r="BA28" s="355"/>
      <c r="BB28" s="355"/>
      <c r="BC28" s="355"/>
      <c r="BD28" s="355"/>
      <c r="BE28" s="356"/>
      <c r="BF28" s="354"/>
      <c r="BG28" s="355"/>
      <c r="BH28" s="355"/>
      <c r="BI28" s="355"/>
      <c r="BJ28" s="355"/>
      <c r="BK28" s="355"/>
      <c r="BL28" s="355"/>
      <c r="BM28" s="355"/>
      <c r="BN28" s="355"/>
      <c r="BO28" s="355"/>
      <c r="BP28" s="355"/>
      <c r="BQ28" s="355"/>
      <c r="BR28" s="355"/>
      <c r="BS28" s="355"/>
      <c r="BT28" s="355"/>
      <c r="BU28" s="355"/>
      <c r="BV28" s="355"/>
      <c r="BW28" s="355"/>
      <c r="BX28" s="356"/>
    </row>
    <row r="29" spans="1:76" x14ac:dyDescent="0.2">
      <c r="A29" s="354"/>
      <c r="B29" s="355"/>
      <c r="C29" s="355"/>
      <c r="D29" s="355"/>
      <c r="E29" s="355"/>
      <c r="F29" s="355"/>
      <c r="G29" s="355"/>
      <c r="H29" s="355"/>
      <c r="I29" s="355"/>
      <c r="J29" s="355"/>
      <c r="K29" s="355"/>
      <c r="L29" s="355"/>
      <c r="M29" s="355"/>
      <c r="N29" s="355"/>
      <c r="O29" s="355"/>
      <c r="P29" s="355"/>
      <c r="Q29" s="355"/>
      <c r="R29" s="355"/>
      <c r="S29" s="356"/>
      <c r="T29" s="354"/>
      <c r="U29" s="355"/>
      <c r="V29" s="355"/>
      <c r="W29" s="355"/>
      <c r="X29" s="355"/>
      <c r="Y29" s="355"/>
      <c r="Z29" s="355"/>
      <c r="AA29" s="355"/>
      <c r="AB29" s="355"/>
      <c r="AC29" s="355"/>
      <c r="AD29" s="355"/>
      <c r="AE29" s="355"/>
      <c r="AF29" s="355"/>
      <c r="AG29" s="355"/>
      <c r="AH29" s="355"/>
      <c r="AI29" s="355"/>
      <c r="AJ29" s="355"/>
      <c r="AK29" s="355"/>
      <c r="AL29" s="356"/>
      <c r="AM29" s="354"/>
      <c r="AN29" s="355"/>
      <c r="AO29" s="355"/>
      <c r="AP29" s="355"/>
      <c r="AQ29" s="355"/>
      <c r="AR29" s="355"/>
      <c r="AS29" s="355"/>
      <c r="AT29" s="355"/>
      <c r="AU29" s="355"/>
      <c r="AV29" s="355"/>
      <c r="AW29" s="355"/>
      <c r="AX29" s="355"/>
      <c r="AY29" s="355"/>
      <c r="AZ29" s="355"/>
      <c r="BA29" s="355"/>
      <c r="BB29" s="355"/>
      <c r="BC29" s="355"/>
      <c r="BD29" s="355"/>
      <c r="BE29" s="356"/>
      <c r="BF29" s="354"/>
      <c r="BG29" s="355"/>
      <c r="BH29" s="355"/>
      <c r="BI29" s="355"/>
      <c r="BJ29" s="355"/>
      <c r="BK29" s="355"/>
      <c r="BL29" s="355"/>
      <c r="BM29" s="355"/>
      <c r="BN29" s="355"/>
      <c r="BO29" s="355"/>
      <c r="BP29" s="355"/>
      <c r="BQ29" s="355"/>
      <c r="BR29" s="355"/>
      <c r="BS29" s="355"/>
      <c r="BT29" s="355"/>
      <c r="BU29" s="355"/>
      <c r="BV29" s="355"/>
      <c r="BW29" s="355"/>
      <c r="BX29" s="356"/>
    </row>
    <row r="30" spans="1:76" x14ac:dyDescent="0.2">
      <c r="A30" s="354"/>
      <c r="B30" s="355"/>
      <c r="C30" s="355"/>
      <c r="D30" s="355"/>
      <c r="E30" s="355"/>
      <c r="F30" s="355"/>
      <c r="G30" s="355"/>
      <c r="H30" s="355"/>
      <c r="I30" s="355"/>
      <c r="J30" s="355"/>
      <c r="K30" s="355"/>
      <c r="L30" s="355"/>
      <c r="M30" s="355"/>
      <c r="N30" s="355"/>
      <c r="O30" s="355"/>
      <c r="P30" s="355"/>
      <c r="Q30" s="355"/>
      <c r="R30" s="355"/>
      <c r="S30" s="356"/>
      <c r="T30" s="354"/>
      <c r="U30" s="355"/>
      <c r="V30" s="355"/>
      <c r="W30" s="355"/>
      <c r="X30" s="355"/>
      <c r="Y30" s="355"/>
      <c r="Z30" s="355"/>
      <c r="AA30" s="355"/>
      <c r="AB30" s="355"/>
      <c r="AC30" s="355"/>
      <c r="AD30" s="355"/>
      <c r="AE30" s="355"/>
      <c r="AF30" s="355"/>
      <c r="AG30" s="355"/>
      <c r="AH30" s="355"/>
      <c r="AI30" s="355"/>
      <c r="AJ30" s="355"/>
      <c r="AK30" s="355"/>
      <c r="AL30" s="356"/>
      <c r="AM30" s="354"/>
      <c r="AN30" s="355"/>
      <c r="AO30" s="355"/>
      <c r="AP30" s="355"/>
      <c r="AQ30" s="355"/>
      <c r="AR30" s="355"/>
      <c r="AS30" s="355"/>
      <c r="AT30" s="355"/>
      <c r="AU30" s="355"/>
      <c r="AV30" s="355"/>
      <c r="AW30" s="355"/>
      <c r="AX30" s="355"/>
      <c r="AY30" s="355"/>
      <c r="AZ30" s="355"/>
      <c r="BA30" s="355"/>
      <c r="BB30" s="355"/>
      <c r="BC30" s="355"/>
      <c r="BD30" s="355"/>
      <c r="BE30" s="356"/>
      <c r="BF30" s="354"/>
      <c r="BG30" s="355"/>
      <c r="BH30" s="355"/>
      <c r="BI30" s="355"/>
      <c r="BJ30" s="355"/>
      <c r="BK30" s="355"/>
      <c r="BL30" s="355"/>
      <c r="BM30" s="355"/>
      <c r="BN30" s="355"/>
      <c r="BO30" s="355"/>
      <c r="BP30" s="355"/>
      <c r="BQ30" s="355"/>
      <c r="BR30" s="355"/>
      <c r="BS30" s="355"/>
      <c r="BT30" s="355"/>
      <c r="BU30" s="355"/>
      <c r="BV30" s="355"/>
      <c r="BW30" s="355"/>
      <c r="BX30" s="356"/>
    </row>
    <row r="31" spans="1:76" x14ac:dyDescent="0.2">
      <c r="A31" s="354"/>
      <c r="B31" s="355"/>
      <c r="C31" s="355"/>
      <c r="D31" s="355"/>
      <c r="E31" s="355"/>
      <c r="F31" s="355"/>
      <c r="G31" s="355"/>
      <c r="H31" s="355"/>
      <c r="I31" s="355"/>
      <c r="J31" s="355"/>
      <c r="K31" s="355"/>
      <c r="L31" s="355"/>
      <c r="M31" s="355"/>
      <c r="N31" s="355"/>
      <c r="O31" s="355"/>
      <c r="P31" s="355"/>
      <c r="Q31" s="355"/>
      <c r="R31" s="355"/>
      <c r="S31" s="356"/>
      <c r="T31" s="354"/>
      <c r="U31" s="355"/>
      <c r="V31" s="355"/>
      <c r="W31" s="355"/>
      <c r="X31" s="355"/>
      <c r="Y31" s="355"/>
      <c r="Z31" s="355"/>
      <c r="AA31" s="355"/>
      <c r="AB31" s="355"/>
      <c r="AC31" s="355"/>
      <c r="AD31" s="355"/>
      <c r="AE31" s="355"/>
      <c r="AF31" s="355"/>
      <c r="AG31" s="355"/>
      <c r="AH31" s="355"/>
      <c r="AI31" s="355"/>
      <c r="AJ31" s="355"/>
      <c r="AK31" s="355"/>
      <c r="AL31" s="356"/>
      <c r="AM31" s="354"/>
      <c r="AN31" s="355"/>
      <c r="AO31" s="355"/>
      <c r="AP31" s="355"/>
      <c r="AQ31" s="355"/>
      <c r="AR31" s="355"/>
      <c r="AS31" s="355"/>
      <c r="AT31" s="355"/>
      <c r="AU31" s="355"/>
      <c r="AV31" s="355"/>
      <c r="AW31" s="355"/>
      <c r="AX31" s="355"/>
      <c r="AY31" s="355"/>
      <c r="AZ31" s="355"/>
      <c r="BA31" s="355"/>
      <c r="BB31" s="355"/>
      <c r="BC31" s="355"/>
      <c r="BD31" s="355"/>
      <c r="BE31" s="356"/>
      <c r="BF31" s="354"/>
      <c r="BG31" s="355"/>
      <c r="BH31" s="355"/>
      <c r="BI31" s="355"/>
      <c r="BJ31" s="355"/>
      <c r="BK31" s="355"/>
      <c r="BL31" s="355"/>
      <c r="BM31" s="355"/>
      <c r="BN31" s="355"/>
      <c r="BO31" s="355"/>
      <c r="BP31" s="355"/>
      <c r="BQ31" s="355"/>
      <c r="BR31" s="355"/>
      <c r="BS31" s="355"/>
      <c r="BT31" s="355"/>
      <c r="BU31" s="355"/>
      <c r="BV31" s="355"/>
      <c r="BW31" s="355"/>
      <c r="BX31" s="356"/>
    </row>
    <row r="32" spans="1:76" x14ac:dyDescent="0.2">
      <c r="A32" s="354"/>
      <c r="B32" s="355"/>
      <c r="C32" s="355"/>
      <c r="D32" s="355"/>
      <c r="E32" s="367"/>
      <c r="F32" s="357"/>
      <c r="G32" s="358" t="s">
        <v>103</v>
      </c>
      <c r="H32" s="355"/>
      <c r="I32" s="355"/>
      <c r="J32" s="355"/>
      <c r="K32" s="355"/>
      <c r="L32" s="355"/>
      <c r="M32" s="355"/>
      <c r="N32" s="355"/>
      <c r="O32" s="355"/>
      <c r="P32" s="355"/>
      <c r="Q32" s="355"/>
      <c r="R32" s="355"/>
      <c r="S32" s="356"/>
      <c r="T32" s="354"/>
      <c r="U32" s="355"/>
      <c r="V32" s="355"/>
      <c r="W32" s="355"/>
      <c r="X32" s="367"/>
      <c r="Y32" s="357"/>
      <c r="Z32" s="358" t="s">
        <v>103</v>
      </c>
      <c r="AA32" s="355"/>
      <c r="AB32" s="355"/>
      <c r="AC32" s="355"/>
      <c r="AD32" s="355"/>
      <c r="AE32" s="355"/>
      <c r="AF32" s="355"/>
      <c r="AG32" s="355"/>
      <c r="AH32" s="355"/>
      <c r="AI32" s="355"/>
      <c r="AJ32" s="355"/>
      <c r="AK32" s="355"/>
      <c r="AL32" s="356"/>
      <c r="AM32" s="354"/>
      <c r="AN32" s="355"/>
      <c r="AO32" s="355"/>
      <c r="AP32" s="355"/>
      <c r="AQ32" s="367"/>
      <c r="AR32" s="357"/>
      <c r="AS32" s="358" t="s">
        <v>103</v>
      </c>
      <c r="AT32" s="355"/>
      <c r="AU32" s="355"/>
      <c r="AV32" s="355"/>
      <c r="AW32" s="355"/>
      <c r="AX32" s="355"/>
      <c r="AY32" s="355"/>
      <c r="AZ32" s="355"/>
      <c r="BA32" s="355"/>
      <c r="BB32" s="355"/>
      <c r="BC32" s="355"/>
      <c r="BD32" s="355"/>
      <c r="BE32" s="356"/>
      <c r="BF32" s="354"/>
      <c r="BG32" s="355"/>
      <c r="BH32" s="355"/>
      <c r="BI32" s="355"/>
      <c r="BJ32" s="367"/>
      <c r="BK32" s="357"/>
      <c r="BL32" s="358" t="s">
        <v>103</v>
      </c>
      <c r="BM32" s="355"/>
      <c r="BN32" s="355"/>
      <c r="BO32" s="355"/>
      <c r="BP32" s="355"/>
      <c r="BQ32" s="355"/>
      <c r="BR32" s="355"/>
      <c r="BS32" s="355"/>
      <c r="BT32" s="355"/>
      <c r="BU32" s="355"/>
      <c r="BV32" s="355"/>
      <c r="BW32" s="355"/>
      <c r="BX32" s="356"/>
    </row>
    <row r="33" spans="1:76" x14ac:dyDescent="0.2">
      <c r="A33" s="354"/>
      <c r="B33" s="355"/>
      <c r="C33" s="355"/>
      <c r="D33" s="358"/>
      <c r="E33" s="367"/>
      <c r="F33" s="355"/>
      <c r="G33" s="367"/>
      <c r="H33" s="355"/>
      <c r="I33" s="355"/>
      <c r="J33" s="355"/>
      <c r="K33" s="355"/>
      <c r="L33" s="355"/>
      <c r="M33" s="355"/>
      <c r="N33" s="355"/>
      <c r="O33" s="355"/>
      <c r="P33" s="355"/>
      <c r="Q33" s="355"/>
      <c r="R33" s="355"/>
      <c r="S33" s="356"/>
      <c r="T33" s="354"/>
      <c r="U33" s="355"/>
      <c r="V33" s="355"/>
      <c r="W33" s="358"/>
      <c r="X33" s="367"/>
      <c r="Y33" s="355"/>
      <c r="Z33" s="367"/>
      <c r="AA33" s="355"/>
      <c r="AB33" s="355"/>
      <c r="AC33" s="355"/>
      <c r="AD33" s="355"/>
      <c r="AE33" s="355"/>
      <c r="AF33" s="355"/>
      <c r="AG33" s="355"/>
      <c r="AH33" s="355"/>
      <c r="AI33" s="355"/>
      <c r="AJ33" s="355"/>
      <c r="AK33" s="355"/>
      <c r="AL33" s="356"/>
      <c r="AM33" s="354"/>
      <c r="AN33" s="355"/>
      <c r="AO33" s="355"/>
      <c r="AP33" s="358"/>
      <c r="AQ33" s="367"/>
      <c r="AR33" s="355"/>
      <c r="AS33" s="367"/>
      <c r="AT33" s="355"/>
      <c r="AU33" s="355"/>
      <c r="AV33" s="355"/>
      <c r="AW33" s="355"/>
      <c r="AX33" s="355"/>
      <c r="AY33" s="355"/>
      <c r="AZ33" s="355"/>
      <c r="BA33" s="355"/>
      <c r="BB33" s="355"/>
      <c r="BC33" s="355"/>
      <c r="BD33" s="355"/>
      <c r="BE33" s="356"/>
      <c r="BF33" s="354"/>
      <c r="BG33" s="355"/>
      <c r="BH33" s="355"/>
      <c r="BI33" s="358"/>
      <c r="BJ33" s="367"/>
      <c r="BK33" s="355"/>
      <c r="BL33" s="367"/>
      <c r="BM33" s="355"/>
      <c r="BN33" s="355"/>
      <c r="BO33" s="355"/>
      <c r="BP33" s="355"/>
      <c r="BQ33" s="355"/>
      <c r="BR33" s="355"/>
      <c r="BS33" s="355"/>
      <c r="BT33" s="355"/>
      <c r="BU33" s="355"/>
      <c r="BV33" s="355"/>
      <c r="BW33" s="355"/>
      <c r="BX33" s="356"/>
    </row>
    <row r="34" spans="1:76" x14ac:dyDescent="0.2">
      <c r="A34" s="354"/>
      <c r="B34" s="355"/>
      <c r="C34" s="355"/>
      <c r="D34" s="355"/>
      <c r="E34" s="355"/>
      <c r="F34" s="355"/>
      <c r="G34" s="358" t="s">
        <v>380</v>
      </c>
      <c r="H34" s="355"/>
      <c r="I34" s="355"/>
      <c r="J34" s="355"/>
      <c r="K34" s="355"/>
      <c r="L34" s="355"/>
      <c r="M34" s="355"/>
      <c r="N34" s="355"/>
      <c r="O34" s="355"/>
      <c r="P34" s="355"/>
      <c r="Q34" s="355"/>
      <c r="R34" s="355"/>
      <c r="S34" s="356"/>
      <c r="T34" s="354"/>
      <c r="U34" s="355"/>
      <c r="V34" s="355"/>
      <c r="W34" s="355"/>
      <c r="X34" s="355"/>
      <c r="Y34" s="355"/>
      <c r="Z34" s="358" t="s">
        <v>380</v>
      </c>
      <c r="AA34" s="355"/>
      <c r="AB34" s="355"/>
      <c r="AC34" s="355"/>
      <c r="AD34" s="355"/>
      <c r="AE34" s="355"/>
      <c r="AF34" s="355"/>
      <c r="AG34" s="355"/>
      <c r="AH34" s="355"/>
      <c r="AI34" s="355"/>
      <c r="AJ34" s="355"/>
      <c r="AK34" s="355"/>
      <c r="AL34" s="356"/>
      <c r="AM34" s="354"/>
      <c r="AN34" s="355"/>
      <c r="AO34" s="355"/>
      <c r="AP34" s="355"/>
      <c r="AQ34" s="355"/>
      <c r="AR34" s="355"/>
      <c r="AS34" s="358" t="s">
        <v>380</v>
      </c>
      <c r="AT34" s="355"/>
      <c r="AU34" s="355"/>
      <c r="AV34" s="355"/>
      <c r="AW34" s="355"/>
      <c r="AX34" s="355"/>
      <c r="AY34" s="355"/>
      <c r="AZ34" s="355"/>
      <c r="BA34" s="355"/>
      <c r="BB34" s="355"/>
      <c r="BC34" s="355"/>
      <c r="BD34" s="355"/>
      <c r="BE34" s="356"/>
      <c r="BF34" s="354"/>
      <c r="BG34" s="355"/>
      <c r="BH34" s="355"/>
      <c r="BI34" s="355"/>
      <c r="BJ34" s="355"/>
      <c r="BK34" s="355"/>
      <c r="BL34" s="358" t="s">
        <v>380</v>
      </c>
      <c r="BM34" s="355"/>
      <c r="BN34" s="355"/>
      <c r="BO34" s="355"/>
      <c r="BP34" s="355"/>
      <c r="BQ34" s="355"/>
      <c r="BR34" s="355"/>
      <c r="BS34" s="355"/>
      <c r="BT34" s="355"/>
      <c r="BU34" s="355"/>
      <c r="BV34" s="355"/>
      <c r="BW34" s="355"/>
      <c r="BX34" s="356"/>
    </row>
    <row r="35" spans="1:76" x14ac:dyDescent="0.2">
      <c r="A35" s="368"/>
      <c r="B35" s="355"/>
      <c r="C35" s="355"/>
      <c r="D35" s="355"/>
      <c r="E35" s="355"/>
      <c r="F35" s="355"/>
      <c r="G35" s="355"/>
      <c r="H35" s="355"/>
      <c r="I35" s="355"/>
      <c r="J35" s="355"/>
      <c r="K35" s="355"/>
      <c r="L35" s="355"/>
      <c r="M35" s="355"/>
      <c r="N35" s="355"/>
      <c r="O35" s="355"/>
      <c r="P35" s="355"/>
      <c r="Q35" s="355"/>
      <c r="R35" s="355"/>
      <c r="S35" s="356"/>
      <c r="T35" s="368"/>
      <c r="U35" s="355"/>
      <c r="V35" s="355"/>
      <c r="W35" s="355"/>
      <c r="X35" s="355"/>
      <c r="Y35" s="355"/>
      <c r="Z35" s="355"/>
      <c r="AA35" s="355"/>
      <c r="AB35" s="355"/>
      <c r="AC35" s="355"/>
      <c r="AD35" s="355"/>
      <c r="AE35" s="355"/>
      <c r="AF35" s="355"/>
      <c r="AG35" s="355"/>
      <c r="AH35" s="355"/>
      <c r="AI35" s="355"/>
      <c r="AJ35" s="355"/>
      <c r="AK35" s="355"/>
      <c r="AL35" s="356"/>
      <c r="AM35" s="368"/>
      <c r="AN35" s="355"/>
      <c r="AO35" s="355"/>
      <c r="AP35" s="355"/>
      <c r="AQ35" s="355"/>
      <c r="AR35" s="355"/>
      <c r="AS35" s="355"/>
      <c r="AT35" s="355"/>
      <c r="AU35" s="355"/>
      <c r="AV35" s="355"/>
      <c r="AW35" s="355"/>
      <c r="AX35" s="355"/>
      <c r="AY35" s="355"/>
      <c r="AZ35" s="355"/>
      <c r="BA35" s="355"/>
      <c r="BB35" s="355"/>
      <c r="BC35" s="355"/>
      <c r="BD35" s="355"/>
      <c r="BE35" s="356"/>
      <c r="BF35" s="368"/>
      <c r="BG35" s="355"/>
      <c r="BH35" s="355"/>
      <c r="BI35" s="355"/>
      <c r="BJ35" s="355"/>
      <c r="BK35" s="355"/>
      <c r="BL35" s="355"/>
      <c r="BM35" s="355"/>
      <c r="BN35" s="355"/>
      <c r="BO35" s="355"/>
      <c r="BP35" s="355"/>
      <c r="BQ35" s="355"/>
      <c r="BR35" s="355"/>
      <c r="BS35" s="355"/>
      <c r="BT35" s="355"/>
      <c r="BU35" s="355"/>
      <c r="BV35" s="355"/>
      <c r="BW35" s="355"/>
      <c r="BX35" s="356"/>
    </row>
    <row r="36" spans="1:76" x14ac:dyDescent="0.2">
      <c r="A36" s="368"/>
      <c r="B36" s="355"/>
      <c r="C36" s="355"/>
      <c r="D36" s="355"/>
      <c r="E36" s="355"/>
      <c r="F36" s="355"/>
      <c r="G36" s="355"/>
      <c r="H36" s="355"/>
      <c r="I36" s="355"/>
      <c r="J36" s="355"/>
      <c r="K36" s="355"/>
      <c r="L36" s="355"/>
      <c r="M36" s="355"/>
      <c r="N36" s="355"/>
      <c r="O36" s="355"/>
      <c r="P36" s="355"/>
      <c r="Q36" s="355"/>
      <c r="R36" s="355"/>
      <c r="S36" s="356"/>
      <c r="T36" s="368"/>
      <c r="U36" s="355"/>
      <c r="V36" s="355"/>
      <c r="W36" s="355"/>
      <c r="X36" s="355"/>
      <c r="Y36" s="355"/>
      <c r="Z36" s="355"/>
      <c r="AA36" s="355"/>
      <c r="AB36" s="355"/>
      <c r="AC36" s="355"/>
      <c r="AD36" s="355"/>
      <c r="AE36" s="355"/>
      <c r="AF36" s="355"/>
      <c r="AG36" s="355"/>
      <c r="AH36" s="355"/>
      <c r="AI36" s="355"/>
      <c r="AJ36" s="355"/>
      <c r="AK36" s="355"/>
      <c r="AL36" s="356"/>
      <c r="AM36" s="368"/>
      <c r="AN36" s="355"/>
      <c r="AO36" s="355"/>
      <c r="AP36" s="355"/>
      <c r="AQ36" s="355"/>
      <c r="AR36" s="355"/>
      <c r="AS36" s="355"/>
      <c r="AT36" s="355"/>
      <c r="AU36" s="355"/>
      <c r="AV36" s="355"/>
      <c r="AW36" s="355"/>
      <c r="AX36" s="355"/>
      <c r="AY36" s="355"/>
      <c r="AZ36" s="355"/>
      <c r="BA36" s="355"/>
      <c r="BB36" s="355"/>
      <c r="BC36" s="355"/>
      <c r="BD36" s="355"/>
      <c r="BE36" s="356"/>
      <c r="BF36" s="368"/>
      <c r="BG36" s="355"/>
      <c r="BH36" s="355"/>
      <c r="BI36" s="355"/>
      <c r="BJ36" s="355"/>
      <c r="BK36" s="355"/>
      <c r="BL36" s="355"/>
      <c r="BM36" s="355"/>
      <c r="BN36" s="355"/>
      <c r="BO36" s="355"/>
      <c r="BP36" s="355"/>
      <c r="BQ36" s="355"/>
      <c r="BR36" s="355"/>
      <c r="BS36" s="355"/>
      <c r="BT36" s="355"/>
      <c r="BU36" s="355"/>
      <c r="BV36" s="355"/>
      <c r="BW36" s="355"/>
      <c r="BX36" s="356"/>
    </row>
    <row r="37" spans="1:76" x14ac:dyDescent="0.2">
      <c r="A37" s="368"/>
      <c r="B37" s="355"/>
      <c r="C37" s="355"/>
      <c r="D37" s="355"/>
      <c r="E37" s="355"/>
      <c r="F37" s="355"/>
      <c r="G37" s="355"/>
      <c r="H37" s="355"/>
      <c r="I37" s="355"/>
      <c r="J37" s="355"/>
      <c r="K37" s="355"/>
      <c r="L37" s="355"/>
      <c r="M37" s="355"/>
      <c r="N37" s="355"/>
      <c r="O37" s="355"/>
      <c r="P37" s="355"/>
      <c r="Q37" s="355"/>
      <c r="R37" s="355"/>
      <c r="S37" s="356"/>
      <c r="T37" s="368"/>
      <c r="U37" s="355"/>
      <c r="V37" s="355"/>
      <c r="W37" s="355"/>
      <c r="X37" s="355"/>
      <c r="Y37" s="355"/>
      <c r="Z37" s="355"/>
      <c r="AA37" s="355"/>
      <c r="AB37" s="355"/>
      <c r="AC37" s="355"/>
      <c r="AD37" s="355"/>
      <c r="AE37" s="355"/>
      <c r="AF37" s="355"/>
      <c r="AG37" s="355"/>
      <c r="AH37" s="355"/>
      <c r="AI37" s="355"/>
      <c r="AJ37" s="355"/>
      <c r="AK37" s="355"/>
      <c r="AL37" s="356"/>
      <c r="AM37" s="368"/>
      <c r="AN37" s="355"/>
      <c r="AO37" s="355"/>
      <c r="AP37" s="355"/>
      <c r="AQ37" s="355"/>
      <c r="AR37" s="355"/>
      <c r="AS37" s="355"/>
      <c r="AT37" s="355"/>
      <c r="AU37" s="355"/>
      <c r="AV37" s="355"/>
      <c r="AW37" s="355"/>
      <c r="AX37" s="355"/>
      <c r="AY37" s="355"/>
      <c r="AZ37" s="355"/>
      <c r="BA37" s="355"/>
      <c r="BB37" s="355"/>
      <c r="BC37" s="355"/>
      <c r="BD37" s="355"/>
      <c r="BE37" s="356"/>
      <c r="BF37" s="368"/>
      <c r="BG37" s="355"/>
      <c r="BH37" s="355"/>
      <c r="BI37" s="355"/>
      <c r="BJ37" s="355"/>
      <c r="BK37" s="355"/>
      <c r="BL37" s="355"/>
      <c r="BM37" s="355"/>
      <c r="BN37" s="355"/>
      <c r="BO37" s="355"/>
      <c r="BP37" s="355"/>
      <c r="BQ37" s="355"/>
      <c r="BR37" s="355"/>
      <c r="BS37" s="355"/>
      <c r="BT37" s="355"/>
      <c r="BU37" s="355"/>
      <c r="BV37" s="355"/>
      <c r="BW37" s="355"/>
      <c r="BX37" s="356"/>
    </row>
    <row r="38" spans="1:76" x14ac:dyDescent="0.2">
      <c r="A38" s="368"/>
      <c r="B38" s="355"/>
      <c r="C38" s="355"/>
      <c r="D38" s="355"/>
      <c r="E38" s="355"/>
      <c r="F38" s="355"/>
      <c r="G38" s="355"/>
      <c r="H38" s="355"/>
      <c r="I38" s="355"/>
      <c r="J38" s="355"/>
      <c r="K38" s="355"/>
      <c r="L38" s="355"/>
      <c r="M38" s="355"/>
      <c r="N38" s="355"/>
      <c r="O38" s="355"/>
      <c r="P38" s="355"/>
      <c r="Q38" s="355"/>
      <c r="R38" s="355"/>
      <c r="S38" s="356"/>
      <c r="T38" s="368"/>
      <c r="U38" s="355"/>
      <c r="V38" s="355"/>
      <c r="W38" s="355"/>
      <c r="X38" s="355"/>
      <c r="Y38" s="355"/>
      <c r="Z38" s="355"/>
      <c r="AA38" s="355"/>
      <c r="AB38" s="355"/>
      <c r="AC38" s="355"/>
      <c r="AD38" s="355"/>
      <c r="AE38" s="355"/>
      <c r="AF38" s="355"/>
      <c r="AG38" s="355"/>
      <c r="AH38" s="355"/>
      <c r="AI38" s="355"/>
      <c r="AJ38" s="355"/>
      <c r="AK38" s="355"/>
      <c r="AL38" s="356"/>
      <c r="AM38" s="368"/>
      <c r="AN38" s="355"/>
      <c r="AO38" s="355"/>
      <c r="AP38" s="355"/>
      <c r="AQ38" s="355"/>
      <c r="AR38" s="355"/>
      <c r="AS38" s="355"/>
      <c r="AT38" s="355"/>
      <c r="AU38" s="355"/>
      <c r="AV38" s="355"/>
      <c r="AW38" s="355"/>
      <c r="AX38" s="355"/>
      <c r="AY38" s="355"/>
      <c r="AZ38" s="355"/>
      <c r="BA38" s="355"/>
      <c r="BB38" s="355"/>
      <c r="BC38" s="355"/>
      <c r="BD38" s="355"/>
      <c r="BE38" s="356"/>
      <c r="BF38" s="368"/>
      <c r="BG38" s="355"/>
      <c r="BH38" s="355"/>
      <c r="BI38" s="355"/>
      <c r="BJ38" s="355"/>
      <c r="BK38" s="355"/>
      <c r="BL38" s="355"/>
      <c r="BM38" s="355"/>
      <c r="BN38" s="355"/>
      <c r="BO38" s="355"/>
      <c r="BP38" s="355"/>
      <c r="BQ38" s="355"/>
      <c r="BR38" s="355"/>
      <c r="BS38" s="355"/>
      <c r="BT38" s="355"/>
      <c r="BU38" s="355"/>
      <c r="BV38" s="355"/>
      <c r="BW38" s="355"/>
      <c r="BX38" s="356"/>
    </row>
    <row r="39" spans="1:76" x14ac:dyDescent="0.2">
      <c r="A39" s="368"/>
      <c r="B39" s="355"/>
      <c r="C39" s="355"/>
      <c r="D39" s="355"/>
      <c r="E39" s="355"/>
      <c r="F39" s="355"/>
      <c r="G39" s="355"/>
      <c r="H39" s="355"/>
      <c r="I39" s="355"/>
      <c r="J39" s="355"/>
      <c r="K39" s="355"/>
      <c r="L39" s="355"/>
      <c r="M39" s="355"/>
      <c r="N39" s="355"/>
      <c r="O39" s="355"/>
      <c r="P39" s="355"/>
      <c r="Q39" s="355"/>
      <c r="R39" s="355"/>
      <c r="S39" s="356"/>
      <c r="T39" s="368"/>
      <c r="U39" s="355"/>
      <c r="V39" s="355"/>
      <c r="W39" s="355"/>
      <c r="X39" s="355"/>
      <c r="Y39" s="355"/>
      <c r="Z39" s="355"/>
      <c r="AA39" s="355"/>
      <c r="AB39" s="355"/>
      <c r="AC39" s="355"/>
      <c r="AD39" s="355"/>
      <c r="AE39" s="355"/>
      <c r="AF39" s="355"/>
      <c r="AG39" s="355"/>
      <c r="AH39" s="355"/>
      <c r="AI39" s="355"/>
      <c r="AJ39" s="355"/>
      <c r="AK39" s="355"/>
      <c r="AL39" s="356"/>
      <c r="AM39" s="368"/>
      <c r="AN39" s="355"/>
      <c r="AO39" s="355"/>
      <c r="AP39" s="355"/>
      <c r="AQ39" s="355"/>
      <c r="AR39" s="355"/>
      <c r="AS39" s="355"/>
      <c r="AT39" s="355"/>
      <c r="AU39" s="355"/>
      <c r="AV39" s="355"/>
      <c r="AW39" s="355"/>
      <c r="AX39" s="355"/>
      <c r="AY39" s="355"/>
      <c r="AZ39" s="355"/>
      <c r="BA39" s="355"/>
      <c r="BB39" s="355"/>
      <c r="BC39" s="355"/>
      <c r="BD39" s="355"/>
      <c r="BE39" s="356"/>
      <c r="BF39" s="368"/>
      <c r="BG39" s="355"/>
      <c r="BH39" s="355"/>
      <c r="BI39" s="355"/>
      <c r="BJ39" s="355"/>
      <c r="BK39" s="355"/>
      <c r="BL39" s="355"/>
      <c r="BM39" s="355"/>
      <c r="BN39" s="355"/>
      <c r="BO39" s="355"/>
      <c r="BP39" s="355"/>
      <c r="BQ39" s="355"/>
      <c r="BR39" s="355"/>
      <c r="BS39" s="355"/>
      <c r="BT39" s="355"/>
      <c r="BU39" s="355"/>
      <c r="BV39" s="355"/>
      <c r="BW39" s="355"/>
      <c r="BX39" s="356"/>
    </row>
    <row r="40" spans="1:76" x14ac:dyDescent="0.2">
      <c r="A40" s="368"/>
      <c r="B40" s="355"/>
      <c r="C40" s="355"/>
      <c r="D40" s="355"/>
      <c r="E40" s="355"/>
      <c r="F40" s="355"/>
      <c r="G40" s="355"/>
      <c r="H40" s="355"/>
      <c r="I40" s="355"/>
      <c r="J40" s="355"/>
      <c r="K40" s="355"/>
      <c r="L40" s="355"/>
      <c r="M40" s="355"/>
      <c r="N40" s="355"/>
      <c r="O40" s="355"/>
      <c r="P40" s="355"/>
      <c r="Q40" s="355"/>
      <c r="R40" s="355"/>
      <c r="S40" s="356"/>
      <c r="T40" s="368"/>
      <c r="U40" s="355"/>
      <c r="V40" s="355"/>
      <c r="W40" s="355"/>
      <c r="X40" s="355"/>
      <c r="Y40" s="355"/>
      <c r="Z40" s="355"/>
      <c r="AA40" s="355"/>
      <c r="AB40" s="355"/>
      <c r="AC40" s="355"/>
      <c r="AD40" s="355"/>
      <c r="AE40" s="355"/>
      <c r="AF40" s="355"/>
      <c r="AG40" s="355"/>
      <c r="AH40" s="355"/>
      <c r="AI40" s="355"/>
      <c r="AJ40" s="355"/>
      <c r="AK40" s="355"/>
      <c r="AL40" s="356"/>
      <c r="AM40" s="368"/>
      <c r="AN40" s="355"/>
      <c r="AO40" s="355"/>
      <c r="AP40" s="355"/>
      <c r="AQ40" s="355"/>
      <c r="AR40" s="355"/>
      <c r="AS40" s="355"/>
      <c r="AT40" s="355"/>
      <c r="AU40" s="355"/>
      <c r="AV40" s="355"/>
      <c r="AW40" s="355"/>
      <c r="AX40" s="355"/>
      <c r="AY40" s="355"/>
      <c r="AZ40" s="355"/>
      <c r="BA40" s="355"/>
      <c r="BB40" s="355"/>
      <c r="BC40" s="355"/>
      <c r="BD40" s="355"/>
      <c r="BE40" s="356"/>
      <c r="BF40" s="368"/>
      <c r="BG40" s="355"/>
      <c r="BH40" s="355"/>
      <c r="BI40" s="355"/>
      <c r="BJ40" s="355"/>
      <c r="BK40" s="355"/>
      <c r="BL40" s="355"/>
      <c r="BM40" s="355"/>
      <c r="BN40" s="355"/>
      <c r="BO40" s="355"/>
      <c r="BP40" s="355"/>
      <c r="BQ40" s="355"/>
      <c r="BR40" s="355"/>
      <c r="BS40" s="355"/>
      <c r="BT40" s="355"/>
      <c r="BU40" s="355"/>
      <c r="BV40" s="355"/>
      <c r="BW40" s="355"/>
      <c r="BX40" s="356"/>
    </row>
    <row r="41" spans="1:76" x14ac:dyDescent="0.2">
      <c r="A41" s="368"/>
      <c r="B41" s="355"/>
      <c r="C41" s="355"/>
      <c r="D41" s="355"/>
      <c r="E41" s="355"/>
      <c r="F41" s="355"/>
      <c r="G41" s="355"/>
      <c r="H41" s="355"/>
      <c r="I41" s="355"/>
      <c r="J41" s="355"/>
      <c r="K41" s="355"/>
      <c r="L41" s="355"/>
      <c r="M41" s="355"/>
      <c r="N41" s="355"/>
      <c r="O41" s="355"/>
      <c r="P41" s="355"/>
      <c r="Q41" s="355"/>
      <c r="R41" s="355"/>
      <c r="S41" s="356"/>
      <c r="T41" s="368"/>
      <c r="U41" s="355"/>
      <c r="V41" s="355"/>
      <c r="W41" s="355"/>
      <c r="X41" s="355"/>
      <c r="Y41" s="355"/>
      <c r="Z41" s="355"/>
      <c r="AA41" s="355"/>
      <c r="AB41" s="355"/>
      <c r="AC41" s="355"/>
      <c r="AD41" s="355"/>
      <c r="AE41" s="355"/>
      <c r="AF41" s="355"/>
      <c r="AG41" s="355"/>
      <c r="AH41" s="355"/>
      <c r="AI41" s="355"/>
      <c r="AJ41" s="355"/>
      <c r="AK41" s="355"/>
      <c r="AL41" s="356"/>
      <c r="AM41" s="368"/>
      <c r="AN41" s="355"/>
      <c r="AO41" s="355"/>
      <c r="AP41" s="355"/>
      <c r="AQ41" s="355"/>
      <c r="AR41" s="355"/>
      <c r="AS41" s="355"/>
      <c r="AT41" s="355"/>
      <c r="AU41" s="355"/>
      <c r="AV41" s="355"/>
      <c r="AW41" s="355"/>
      <c r="AX41" s="355"/>
      <c r="AY41" s="355"/>
      <c r="AZ41" s="355"/>
      <c r="BA41" s="355"/>
      <c r="BB41" s="355"/>
      <c r="BC41" s="355"/>
      <c r="BD41" s="355"/>
      <c r="BE41" s="356"/>
      <c r="BF41" s="368"/>
      <c r="BG41" s="355"/>
      <c r="BH41" s="355"/>
      <c r="BI41" s="355"/>
      <c r="BJ41" s="355"/>
      <c r="BK41" s="355"/>
      <c r="BL41" s="355"/>
      <c r="BM41" s="355"/>
      <c r="BN41" s="355"/>
      <c r="BO41" s="355"/>
      <c r="BP41" s="355"/>
      <c r="BQ41" s="355"/>
      <c r="BR41" s="355"/>
      <c r="BS41" s="355"/>
      <c r="BT41" s="355"/>
      <c r="BU41" s="355"/>
      <c r="BV41" s="355"/>
      <c r="BW41" s="355"/>
      <c r="BX41" s="356"/>
    </row>
    <row r="42" spans="1:76" x14ac:dyDescent="0.2">
      <c r="A42" s="368"/>
      <c r="B42" s="355"/>
      <c r="C42" s="355"/>
      <c r="D42" s="355"/>
      <c r="E42" s="355"/>
      <c r="F42" s="355"/>
      <c r="G42" s="355"/>
      <c r="H42" s="355"/>
      <c r="I42" s="355"/>
      <c r="J42" s="355"/>
      <c r="K42" s="355"/>
      <c r="L42" s="355"/>
      <c r="M42" s="355"/>
      <c r="N42" s="355"/>
      <c r="O42" s="355"/>
      <c r="P42" s="355"/>
      <c r="Q42" s="355"/>
      <c r="R42" s="355"/>
      <c r="S42" s="356"/>
      <c r="T42" s="368"/>
      <c r="U42" s="355"/>
      <c r="V42" s="355"/>
      <c r="W42" s="355"/>
      <c r="X42" s="355"/>
      <c r="Y42" s="355"/>
      <c r="Z42" s="355"/>
      <c r="AA42" s="355"/>
      <c r="AB42" s="355"/>
      <c r="AC42" s="355"/>
      <c r="AD42" s="355"/>
      <c r="AE42" s="355"/>
      <c r="AF42" s="355"/>
      <c r="AG42" s="355"/>
      <c r="AH42" s="355"/>
      <c r="AI42" s="355"/>
      <c r="AJ42" s="355"/>
      <c r="AK42" s="355"/>
      <c r="AL42" s="356"/>
      <c r="AM42" s="368"/>
      <c r="AN42" s="355"/>
      <c r="AO42" s="355"/>
      <c r="AP42" s="355"/>
      <c r="AQ42" s="355"/>
      <c r="AR42" s="355"/>
      <c r="AS42" s="355"/>
      <c r="AT42" s="355"/>
      <c r="AU42" s="355"/>
      <c r="AV42" s="355"/>
      <c r="AW42" s="355"/>
      <c r="AX42" s="355"/>
      <c r="AY42" s="355"/>
      <c r="AZ42" s="355"/>
      <c r="BA42" s="355"/>
      <c r="BB42" s="355"/>
      <c r="BC42" s="355"/>
      <c r="BD42" s="355"/>
      <c r="BE42" s="356"/>
      <c r="BF42" s="368"/>
      <c r="BG42" s="355"/>
      <c r="BH42" s="355"/>
      <c r="BI42" s="355"/>
      <c r="BJ42" s="355"/>
      <c r="BK42" s="355"/>
      <c r="BL42" s="355"/>
      <c r="BM42" s="355"/>
      <c r="BN42" s="355"/>
      <c r="BO42" s="355"/>
      <c r="BP42" s="355"/>
      <c r="BQ42" s="355"/>
      <c r="BR42" s="355"/>
      <c r="BS42" s="355"/>
      <c r="BT42" s="355"/>
      <c r="BU42" s="355"/>
      <c r="BV42" s="355"/>
      <c r="BW42" s="355"/>
      <c r="BX42" s="356"/>
    </row>
    <row r="43" spans="1:76" x14ac:dyDescent="0.2">
      <c r="A43" s="368"/>
      <c r="B43" s="355"/>
      <c r="C43" s="355"/>
      <c r="D43" s="355"/>
      <c r="E43" s="355"/>
      <c r="F43" s="355"/>
      <c r="G43" s="355"/>
      <c r="H43" s="355"/>
      <c r="I43" s="355"/>
      <c r="J43" s="355"/>
      <c r="K43" s="355"/>
      <c r="L43" s="355"/>
      <c r="M43" s="355"/>
      <c r="N43" s="355"/>
      <c r="O43" s="355"/>
      <c r="P43" s="355"/>
      <c r="Q43" s="355"/>
      <c r="R43" s="355"/>
      <c r="S43" s="356"/>
      <c r="T43" s="368"/>
      <c r="U43" s="355"/>
      <c r="V43" s="355"/>
      <c r="W43" s="355"/>
      <c r="X43" s="355"/>
      <c r="Y43" s="355"/>
      <c r="Z43" s="355"/>
      <c r="AA43" s="355"/>
      <c r="AB43" s="355"/>
      <c r="AC43" s="355"/>
      <c r="AD43" s="355"/>
      <c r="AE43" s="355"/>
      <c r="AF43" s="355"/>
      <c r="AG43" s="355"/>
      <c r="AH43" s="355"/>
      <c r="AI43" s="355"/>
      <c r="AJ43" s="355"/>
      <c r="AK43" s="355"/>
      <c r="AL43" s="356"/>
      <c r="AM43" s="368"/>
      <c r="AN43" s="355"/>
      <c r="AO43" s="355"/>
      <c r="AP43" s="355"/>
      <c r="AQ43" s="355"/>
      <c r="AR43" s="355"/>
      <c r="AS43" s="355"/>
      <c r="AT43" s="355"/>
      <c r="AU43" s="355"/>
      <c r="AV43" s="355"/>
      <c r="AW43" s="355"/>
      <c r="AX43" s="355"/>
      <c r="AY43" s="355"/>
      <c r="AZ43" s="355"/>
      <c r="BA43" s="355"/>
      <c r="BB43" s="355"/>
      <c r="BC43" s="355"/>
      <c r="BD43" s="355"/>
      <c r="BE43" s="356"/>
      <c r="BF43" s="368"/>
      <c r="BG43" s="355"/>
      <c r="BH43" s="355"/>
      <c r="BI43" s="355"/>
      <c r="BJ43" s="355"/>
      <c r="BK43" s="355"/>
      <c r="BL43" s="355"/>
      <c r="BM43" s="355"/>
      <c r="BN43" s="355"/>
      <c r="BO43" s="355"/>
      <c r="BP43" s="355"/>
      <c r="BQ43" s="355"/>
      <c r="BR43" s="355"/>
      <c r="BS43" s="355"/>
      <c r="BT43" s="355"/>
      <c r="BU43" s="355"/>
      <c r="BV43" s="355"/>
      <c r="BW43" s="355"/>
      <c r="BX43" s="356"/>
    </row>
    <row r="44" spans="1:76" x14ac:dyDescent="0.2">
      <c r="A44" s="369"/>
      <c r="B44" s="360"/>
      <c r="C44" s="360"/>
      <c r="D44" s="360"/>
      <c r="E44" s="360"/>
      <c r="F44" s="360"/>
      <c r="G44" s="360"/>
      <c r="H44" s="360"/>
      <c r="I44" s="360"/>
      <c r="J44" s="360"/>
      <c r="K44" s="360"/>
      <c r="L44" s="360"/>
      <c r="M44" s="360"/>
      <c r="N44" s="360"/>
      <c r="O44" s="360"/>
      <c r="P44" s="360"/>
      <c r="Q44" s="360"/>
      <c r="R44" s="360"/>
      <c r="S44" s="362"/>
      <c r="T44" s="369"/>
      <c r="U44" s="360"/>
      <c r="V44" s="360"/>
      <c r="W44" s="360"/>
      <c r="X44" s="360"/>
      <c r="Y44" s="360"/>
      <c r="Z44" s="360"/>
      <c r="AA44" s="360"/>
      <c r="AB44" s="360"/>
      <c r="AC44" s="360"/>
      <c r="AD44" s="360"/>
      <c r="AE44" s="360"/>
      <c r="AF44" s="360"/>
      <c r="AG44" s="360"/>
      <c r="AH44" s="360"/>
      <c r="AI44" s="360"/>
      <c r="AJ44" s="360"/>
      <c r="AK44" s="360"/>
      <c r="AL44" s="362"/>
      <c r="AM44" s="369"/>
      <c r="AN44" s="360"/>
      <c r="AO44" s="360"/>
      <c r="AP44" s="360"/>
      <c r="AQ44" s="360"/>
      <c r="AR44" s="360"/>
      <c r="AS44" s="360"/>
      <c r="AT44" s="360"/>
      <c r="AU44" s="360"/>
      <c r="AV44" s="360"/>
      <c r="AW44" s="360"/>
      <c r="AX44" s="360"/>
      <c r="AY44" s="360"/>
      <c r="AZ44" s="360"/>
      <c r="BA44" s="360"/>
      <c r="BB44" s="360"/>
      <c r="BC44" s="360"/>
      <c r="BD44" s="360"/>
      <c r="BE44" s="362"/>
      <c r="BF44" s="369"/>
      <c r="BG44" s="360"/>
      <c r="BH44" s="360"/>
      <c r="BI44" s="360"/>
      <c r="BJ44" s="360"/>
      <c r="BK44" s="360"/>
      <c r="BL44" s="360"/>
      <c r="BM44" s="360"/>
      <c r="BN44" s="360"/>
      <c r="BO44" s="360"/>
      <c r="BP44" s="360"/>
      <c r="BQ44" s="360"/>
      <c r="BR44" s="360"/>
      <c r="BS44" s="360"/>
      <c r="BT44" s="360"/>
      <c r="BU44" s="360"/>
      <c r="BV44" s="360"/>
      <c r="BW44" s="360"/>
      <c r="BX44" s="362"/>
    </row>
    <row r="45" spans="1:76" x14ac:dyDescent="0.2">
      <c r="A45" s="370" t="s">
        <v>104</v>
      </c>
      <c r="B45" s="371"/>
      <c r="C45" s="371"/>
      <c r="D45" s="371"/>
      <c r="E45" s="371"/>
      <c r="F45" s="371"/>
      <c r="G45" s="371"/>
      <c r="H45" s="371"/>
      <c r="I45" s="371"/>
      <c r="J45" s="371"/>
      <c r="K45" s="371"/>
      <c r="L45" s="371"/>
      <c r="M45" s="371"/>
      <c r="N45" s="371"/>
      <c r="O45" s="371"/>
      <c r="P45" s="371"/>
      <c r="Q45" s="371"/>
      <c r="R45" s="371"/>
      <c r="S45" s="372"/>
      <c r="T45" s="370" t="s">
        <v>104</v>
      </c>
      <c r="U45" s="371"/>
      <c r="V45" s="371"/>
      <c r="W45" s="371"/>
      <c r="X45" s="371"/>
      <c r="Y45" s="371"/>
      <c r="Z45" s="371"/>
      <c r="AA45" s="371"/>
      <c r="AB45" s="371"/>
      <c r="AC45" s="371"/>
      <c r="AD45" s="371"/>
      <c r="AE45" s="371"/>
      <c r="AF45" s="371"/>
      <c r="AG45" s="371"/>
      <c r="AH45" s="371"/>
      <c r="AI45" s="371"/>
      <c r="AJ45" s="371"/>
      <c r="AK45" s="371"/>
      <c r="AL45" s="372"/>
      <c r="AM45" s="370" t="s">
        <v>104</v>
      </c>
      <c r="AN45" s="371"/>
      <c r="AO45" s="371"/>
      <c r="AP45" s="371"/>
      <c r="AQ45" s="371"/>
      <c r="AR45" s="371"/>
      <c r="AS45" s="371"/>
      <c r="AT45" s="371"/>
      <c r="AU45" s="371"/>
      <c r="AV45" s="371"/>
      <c r="AW45" s="371"/>
      <c r="AX45" s="371"/>
      <c r="AY45" s="371"/>
      <c r="AZ45" s="371"/>
      <c r="BA45" s="371"/>
      <c r="BB45" s="371"/>
      <c r="BC45" s="371"/>
      <c r="BD45" s="371"/>
      <c r="BE45" s="372"/>
      <c r="BF45" s="370" t="s">
        <v>104</v>
      </c>
      <c r="BG45" s="371"/>
      <c r="BH45" s="371"/>
      <c r="BI45" s="371"/>
      <c r="BJ45" s="371"/>
      <c r="BK45" s="371"/>
      <c r="BL45" s="371"/>
      <c r="BM45" s="371"/>
      <c r="BN45" s="371"/>
      <c r="BO45" s="371"/>
      <c r="BP45" s="371"/>
      <c r="BQ45" s="371"/>
      <c r="BR45" s="371"/>
      <c r="BS45" s="371"/>
      <c r="BT45" s="371"/>
      <c r="BU45" s="371"/>
      <c r="BV45" s="371"/>
      <c r="BW45" s="371"/>
      <c r="BX45" s="372"/>
    </row>
    <row r="46" spans="1:76" x14ac:dyDescent="0.2">
      <c r="A46" s="373"/>
      <c r="B46" s="371"/>
      <c r="C46" s="371"/>
      <c r="D46" s="371"/>
      <c r="E46" s="371"/>
      <c r="F46" s="371"/>
      <c r="G46" s="371"/>
      <c r="H46" s="371"/>
      <c r="I46" s="371"/>
      <c r="J46" s="371"/>
      <c r="K46" s="371"/>
      <c r="L46" s="371"/>
      <c r="M46" s="371"/>
      <c r="N46" s="371"/>
      <c r="O46" s="371"/>
      <c r="P46" s="371"/>
      <c r="Q46" s="371"/>
      <c r="R46" s="371"/>
      <c r="S46" s="372"/>
      <c r="T46" s="373"/>
      <c r="U46" s="371"/>
      <c r="V46" s="371"/>
      <c r="W46" s="371"/>
      <c r="X46" s="371"/>
      <c r="Y46" s="371"/>
      <c r="Z46" s="371"/>
      <c r="AA46" s="371"/>
      <c r="AB46" s="371"/>
      <c r="AC46" s="371"/>
      <c r="AD46" s="371"/>
      <c r="AE46" s="371"/>
      <c r="AF46" s="371"/>
      <c r="AG46" s="371"/>
      <c r="AH46" s="371"/>
      <c r="AI46" s="371"/>
      <c r="AJ46" s="371"/>
      <c r="AK46" s="371"/>
      <c r="AL46" s="372"/>
      <c r="AM46" s="373"/>
      <c r="AN46" s="371"/>
      <c r="AO46" s="371"/>
      <c r="AP46" s="371"/>
      <c r="AQ46" s="371"/>
      <c r="AR46" s="371"/>
      <c r="AS46" s="371"/>
      <c r="AT46" s="371"/>
      <c r="AU46" s="371"/>
      <c r="AV46" s="371"/>
      <c r="AW46" s="371"/>
      <c r="AX46" s="371"/>
      <c r="AY46" s="371"/>
      <c r="AZ46" s="371"/>
      <c r="BA46" s="371"/>
      <c r="BB46" s="371"/>
      <c r="BC46" s="371"/>
      <c r="BD46" s="371"/>
      <c r="BE46" s="372"/>
      <c r="BF46" s="373"/>
      <c r="BG46" s="371"/>
      <c r="BH46" s="371"/>
      <c r="BI46" s="371"/>
      <c r="BJ46" s="371"/>
      <c r="BK46" s="371"/>
      <c r="BL46" s="371"/>
      <c r="BM46" s="371"/>
      <c r="BN46" s="371"/>
      <c r="BO46" s="371"/>
      <c r="BP46" s="371"/>
      <c r="BQ46" s="371"/>
      <c r="BR46" s="371"/>
      <c r="BS46" s="371"/>
      <c r="BT46" s="371"/>
      <c r="BU46" s="371"/>
      <c r="BV46" s="371"/>
      <c r="BW46" s="371"/>
      <c r="BX46" s="372"/>
    </row>
    <row r="47" spans="1:76" x14ac:dyDescent="0.2">
      <c r="A47" s="370" t="s">
        <v>284</v>
      </c>
      <c r="B47" s="374"/>
      <c r="C47" s="374"/>
      <c r="D47" s="374"/>
      <c r="E47" s="374"/>
      <c r="F47" s="374"/>
      <c r="G47" s="374"/>
      <c r="H47" s="374"/>
      <c r="I47" s="374"/>
      <c r="J47" s="374"/>
      <c r="K47" s="374"/>
      <c r="L47" s="374"/>
      <c r="M47" s="374"/>
      <c r="N47" s="374"/>
      <c r="O47" s="374"/>
      <c r="P47" s="374"/>
      <c r="Q47" s="374"/>
      <c r="R47" s="374"/>
      <c r="S47" s="375"/>
      <c r="T47" s="370" t="s">
        <v>284</v>
      </c>
      <c r="U47" s="374"/>
      <c r="V47" s="374"/>
      <c r="W47" s="374"/>
      <c r="X47" s="374"/>
      <c r="Y47" s="374"/>
      <c r="Z47" s="374"/>
      <c r="AA47" s="374"/>
      <c r="AB47" s="374"/>
      <c r="AC47" s="374"/>
      <c r="AD47" s="374"/>
      <c r="AE47" s="374"/>
      <c r="AF47" s="374"/>
      <c r="AG47" s="374"/>
      <c r="AH47" s="374"/>
      <c r="AI47" s="374"/>
      <c r="AJ47" s="374"/>
      <c r="AK47" s="374"/>
      <c r="AL47" s="375"/>
      <c r="AM47" s="370" t="s">
        <v>284</v>
      </c>
      <c r="AN47" s="374"/>
      <c r="AO47" s="374"/>
      <c r="AP47" s="374"/>
      <c r="AQ47" s="374"/>
      <c r="AR47" s="374"/>
      <c r="AS47" s="374"/>
      <c r="AT47" s="374"/>
      <c r="AU47" s="374"/>
      <c r="AV47" s="374"/>
      <c r="AW47" s="374"/>
      <c r="AX47" s="374"/>
      <c r="AY47" s="374"/>
      <c r="AZ47" s="374"/>
      <c r="BA47" s="374"/>
      <c r="BB47" s="374"/>
      <c r="BC47" s="374"/>
      <c r="BD47" s="374"/>
      <c r="BE47" s="375"/>
      <c r="BF47" s="370" t="s">
        <v>284</v>
      </c>
      <c r="BG47" s="374"/>
      <c r="BH47" s="374"/>
      <c r="BI47" s="374"/>
      <c r="BJ47" s="374"/>
      <c r="BK47" s="374"/>
      <c r="BL47" s="374"/>
      <c r="BM47" s="374"/>
      <c r="BN47" s="374"/>
      <c r="BO47" s="374"/>
      <c r="BP47" s="374"/>
      <c r="BQ47" s="374"/>
      <c r="BR47" s="374"/>
      <c r="BS47" s="374"/>
      <c r="BT47" s="374"/>
      <c r="BU47" s="374"/>
      <c r="BV47" s="374"/>
      <c r="BW47" s="374"/>
      <c r="BX47" s="375"/>
    </row>
    <row r="48" spans="1:76" ht="12.75" customHeight="1" x14ac:dyDescent="0.2">
      <c r="A48" s="734" t="s">
        <v>115</v>
      </c>
      <c r="B48" s="735"/>
      <c r="C48" s="736"/>
      <c r="D48" s="737">
        <v>0</v>
      </c>
      <c r="E48" s="738"/>
      <c r="F48" s="376"/>
      <c r="G48" s="377"/>
      <c r="H48" s="378"/>
      <c r="I48" s="374"/>
      <c r="J48" s="374"/>
      <c r="K48" s="374"/>
      <c r="L48" s="374"/>
      <c r="M48" s="374"/>
      <c r="N48" s="374"/>
      <c r="O48" s="374"/>
      <c r="P48" s="374"/>
      <c r="Q48" s="374"/>
      <c r="R48" s="374"/>
      <c r="S48" s="375"/>
      <c r="T48" s="734" t="s">
        <v>115</v>
      </c>
      <c r="U48" s="735"/>
      <c r="V48" s="736"/>
      <c r="W48" s="737">
        <v>0</v>
      </c>
      <c r="X48" s="738"/>
      <c r="Y48" s="376"/>
      <c r="Z48" s="377"/>
      <c r="AA48" s="378"/>
      <c r="AB48" s="374"/>
      <c r="AC48" s="374"/>
      <c r="AD48" s="374"/>
      <c r="AE48" s="374"/>
      <c r="AF48" s="374"/>
      <c r="AG48" s="374"/>
      <c r="AH48" s="374"/>
      <c r="AI48" s="374"/>
      <c r="AJ48" s="374"/>
      <c r="AK48" s="374"/>
      <c r="AL48" s="375"/>
      <c r="AM48" s="734" t="s">
        <v>115</v>
      </c>
      <c r="AN48" s="735"/>
      <c r="AO48" s="736"/>
      <c r="AP48" s="737">
        <v>0</v>
      </c>
      <c r="AQ48" s="738"/>
      <c r="AR48" s="376"/>
      <c r="AS48" s="377"/>
      <c r="AT48" s="378"/>
      <c r="AU48" s="374"/>
      <c r="AV48" s="374"/>
      <c r="AW48" s="374"/>
      <c r="AX48" s="374"/>
      <c r="AY48" s="374"/>
      <c r="AZ48" s="374"/>
      <c r="BA48" s="374"/>
      <c r="BB48" s="374"/>
      <c r="BC48" s="374"/>
      <c r="BD48" s="374"/>
      <c r="BE48" s="375"/>
      <c r="BF48" s="734" t="s">
        <v>115</v>
      </c>
      <c r="BG48" s="735"/>
      <c r="BH48" s="736"/>
      <c r="BI48" s="737">
        <v>0</v>
      </c>
      <c r="BJ48" s="738"/>
      <c r="BK48" s="376"/>
      <c r="BL48" s="377"/>
      <c r="BM48" s="378"/>
      <c r="BN48" s="374"/>
      <c r="BO48" s="374"/>
      <c r="BP48" s="374"/>
      <c r="BQ48" s="374"/>
      <c r="BR48" s="374"/>
      <c r="BS48" s="374"/>
      <c r="BT48" s="374"/>
      <c r="BU48" s="374"/>
      <c r="BV48" s="374"/>
      <c r="BW48" s="374"/>
      <c r="BX48" s="375"/>
    </row>
    <row r="49" spans="1:76" x14ac:dyDescent="0.2">
      <c r="A49" s="379"/>
      <c r="B49" s="374"/>
      <c r="C49" s="374"/>
      <c r="D49" s="374"/>
      <c r="E49" s="374"/>
      <c r="F49" s="374"/>
      <c r="G49" s="374"/>
      <c r="H49" s="374"/>
      <c r="I49" s="374"/>
      <c r="J49" s="374"/>
      <c r="K49" s="374"/>
      <c r="L49" s="374"/>
      <c r="M49" s="374"/>
      <c r="N49" s="374"/>
      <c r="O49" s="374"/>
      <c r="P49" s="374"/>
      <c r="Q49" s="374"/>
      <c r="R49" s="374"/>
      <c r="S49" s="375"/>
      <c r="T49" s="379"/>
      <c r="U49" s="374"/>
      <c r="V49" s="374"/>
      <c r="W49" s="374"/>
      <c r="X49" s="374"/>
      <c r="Y49" s="374"/>
      <c r="Z49" s="374"/>
      <c r="AA49" s="374"/>
      <c r="AB49" s="374"/>
      <c r="AC49" s="374"/>
      <c r="AD49" s="374"/>
      <c r="AE49" s="374"/>
      <c r="AF49" s="374"/>
      <c r="AG49" s="374"/>
      <c r="AH49" s="374"/>
      <c r="AI49" s="374"/>
      <c r="AJ49" s="374"/>
      <c r="AK49" s="374"/>
      <c r="AL49" s="375"/>
      <c r="AM49" s="379"/>
      <c r="AN49" s="374"/>
      <c r="AO49" s="374"/>
      <c r="AP49" s="374"/>
      <c r="AQ49" s="374"/>
      <c r="AR49" s="374"/>
      <c r="AS49" s="374"/>
      <c r="AT49" s="374"/>
      <c r="AU49" s="374"/>
      <c r="AV49" s="374"/>
      <c r="AW49" s="374"/>
      <c r="AX49" s="374"/>
      <c r="AY49" s="374"/>
      <c r="AZ49" s="374"/>
      <c r="BA49" s="374"/>
      <c r="BB49" s="374"/>
      <c r="BC49" s="374"/>
      <c r="BD49" s="374"/>
      <c r="BE49" s="375"/>
      <c r="BF49" s="379"/>
      <c r="BG49" s="374"/>
      <c r="BH49" s="374"/>
      <c r="BI49" s="374"/>
      <c r="BJ49" s="374"/>
      <c r="BK49" s="374"/>
      <c r="BL49" s="374"/>
      <c r="BM49" s="374"/>
      <c r="BN49" s="374"/>
      <c r="BO49" s="374"/>
      <c r="BP49" s="374"/>
      <c r="BQ49" s="374"/>
      <c r="BR49" s="374"/>
      <c r="BS49" s="374"/>
      <c r="BT49" s="374"/>
      <c r="BU49" s="374"/>
      <c r="BV49" s="374"/>
      <c r="BW49" s="374"/>
      <c r="BX49" s="375"/>
    </row>
    <row r="50" spans="1:76" x14ac:dyDescent="0.2">
      <c r="A50" s="380" t="s">
        <v>119</v>
      </c>
      <c r="B50" s="374"/>
      <c r="C50" s="374"/>
      <c r="D50" s="374"/>
      <c r="E50" s="374"/>
      <c r="F50" s="374"/>
      <c r="G50" s="374"/>
      <c r="H50" s="374"/>
      <c r="I50" s="374"/>
      <c r="J50" s="374"/>
      <c r="K50" s="374"/>
      <c r="L50" s="374"/>
      <c r="M50" s="374"/>
      <c r="N50" s="374"/>
      <c r="O50" s="374"/>
      <c r="P50" s="374"/>
      <c r="Q50" s="374"/>
      <c r="R50" s="374"/>
      <c r="S50" s="375"/>
      <c r="T50" s="380" t="s">
        <v>119</v>
      </c>
      <c r="U50" s="374"/>
      <c r="V50" s="374"/>
      <c r="W50" s="374"/>
      <c r="X50" s="374"/>
      <c r="Y50" s="374"/>
      <c r="Z50" s="374"/>
      <c r="AA50" s="374"/>
      <c r="AB50" s="374"/>
      <c r="AC50" s="374"/>
      <c r="AD50" s="374"/>
      <c r="AE50" s="374"/>
      <c r="AF50" s="374"/>
      <c r="AG50" s="374"/>
      <c r="AH50" s="374"/>
      <c r="AI50" s="374"/>
      <c r="AJ50" s="374"/>
      <c r="AK50" s="374"/>
      <c r="AL50" s="375"/>
      <c r="AM50" s="380" t="s">
        <v>119</v>
      </c>
      <c r="AN50" s="374"/>
      <c r="AO50" s="374"/>
      <c r="AP50" s="374"/>
      <c r="AQ50" s="374"/>
      <c r="AR50" s="374"/>
      <c r="AS50" s="374"/>
      <c r="AT50" s="374"/>
      <c r="AU50" s="374"/>
      <c r="AV50" s="374"/>
      <c r="AW50" s="374"/>
      <c r="AX50" s="374"/>
      <c r="AY50" s="374"/>
      <c r="AZ50" s="374"/>
      <c r="BA50" s="374"/>
      <c r="BB50" s="374"/>
      <c r="BC50" s="374"/>
      <c r="BD50" s="374"/>
      <c r="BE50" s="375"/>
      <c r="BF50" s="380" t="s">
        <v>119</v>
      </c>
      <c r="BG50" s="374"/>
      <c r="BH50" s="374"/>
      <c r="BI50" s="374"/>
      <c r="BJ50" s="374"/>
      <c r="BK50" s="374"/>
      <c r="BL50" s="374"/>
      <c r="BM50" s="374"/>
      <c r="BN50" s="374"/>
      <c r="BO50" s="374"/>
      <c r="BP50" s="374"/>
      <c r="BQ50" s="374"/>
      <c r="BR50" s="374"/>
      <c r="BS50" s="374"/>
      <c r="BT50" s="374"/>
      <c r="BU50" s="374"/>
      <c r="BV50" s="374"/>
      <c r="BW50" s="374"/>
      <c r="BX50" s="375"/>
    </row>
    <row r="51" spans="1:76" ht="15.75" customHeight="1" x14ac:dyDescent="0.2">
      <c r="A51" s="191"/>
      <c r="B51" s="739" t="s">
        <v>120</v>
      </c>
      <c r="C51" s="740"/>
      <c r="D51" s="741">
        <v>0</v>
      </c>
      <c r="E51" s="742"/>
      <c r="F51" s="382"/>
      <c r="G51" s="382"/>
      <c r="H51" s="382"/>
      <c r="I51" s="382"/>
      <c r="J51" s="382"/>
      <c r="K51" s="382"/>
      <c r="L51" s="382"/>
      <c r="M51" s="382"/>
      <c r="N51" s="382"/>
      <c r="O51" s="374"/>
      <c r="P51" s="374"/>
      <c r="Q51" s="374"/>
      <c r="R51" s="374"/>
      <c r="S51" s="375"/>
      <c r="T51" s="191"/>
      <c r="U51" s="739" t="s">
        <v>120</v>
      </c>
      <c r="V51" s="740"/>
      <c r="W51" s="741">
        <v>0</v>
      </c>
      <c r="X51" s="742"/>
      <c r="Y51" s="382"/>
      <c r="Z51" s="382"/>
      <c r="AA51" s="382"/>
      <c r="AB51" s="382"/>
      <c r="AC51" s="382"/>
      <c r="AD51" s="382"/>
      <c r="AE51" s="382"/>
      <c r="AF51" s="382"/>
      <c r="AG51" s="382"/>
      <c r="AH51" s="374"/>
      <c r="AI51" s="374"/>
      <c r="AJ51" s="374"/>
      <c r="AK51" s="374"/>
      <c r="AL51" s="375"/>
      <c r="AM51" s="191"/>
      <c r="AN51" s="739" t="s">
        <v>120</v>
      </c>
      <c r="AO51" s="740"/>
      <c r="AP51" s="741">
        <v>0</v>
      </c>
      <c r="AQ51" s="742"/>
      <c r="AR51" s="382"/>
      <c r="AS51" s="382"/>
      <c r="AT51" s="382"/>
      <c r="AU51" s="382"/>
      <c r="AV51" s="382"/>
      <c r="AW51" s="382"/>
      <c r="AX51" s="382"/>
      <c r="AY51" s="382"/>
      <c r="AZ51" s="382"/>
      <c r="BA51" s="374"/>
      <c r="BB51" s="374"/>
      <c r="BC51" s="374"/>
      <c r="BD51" s="374"/>
      <c r="BE51" s="375"/>
      <c r="BF51" s="191"/>
      <c r="BG51" s="739" t="s">
        <v>120</v>
      </c>
      <c r="BH51" s="740"/>
      <c r="BI51" s="741">
        <v>0</v>
      </c>
      <c r="BJ51" s="742"/>
      <c r="BK51" s="382"/>
      <c r="BL51" s="382"/>
      <c r="BM51" s="382"/>
      <c r="BN51" s="382"/>
      <c r="BO51" s="382"/>
      <c r="BP51" s="382"/>
      <c r="BQ51" s="382"/>
      <c r="BR51" s="382"/>
      <c r="BS51" s="382"/>
      <c r="BT51" s="374"/>
      <c r="BU51" s="374"/>
      <c r="BV51" s="374"/>
      <c r="BW51" s="374"/>
      <c r="BX51" s="375"/>
    </row>
    <row r="52" spans="1:76" ht="15.75" customHeight="1" x14ac:dyDescent="0.2">
      <c r="A52" s="383"/>
      <c r="B52" s="381"/>
      <c r="C52" s="384"/>
      <c r="D52" s="385"/>
      <c r="E52" s="382"/>
      <c r="F52" s="382"/>
      <c r="G52" s="382"/>
      <c r="H52" s="382"/>
      <c r="I52" s="382"/>
      <c r="J52" s="382"/>
      <c r="K52" s="382"/>
      <c r="L52" s="382"/>
      <c r="M52" s="382"/>
      <c r="N52" s="382"/>
      <c r="O52" s="374"/>
      <c r="P52" s="374"/>
      <c r="Q52" s="374"/>
      <c r="R52" s="374"/>
      <c r="S52" s="375"/>
      <c r="T52" s="383"/>
      <c r="U52" s="381"/>
      <c r="V52" s="384"/>
      <c r="W52" s="385"/>
      <c r="X52" s="382"/>
      <c r="Y52" s="382"/>
      <c r="Z52" s="382"/>
      <c r="AA52" s="382"/>
      <c r="AB52" s="382"/>
      <c r="AC52" s="382"/>
      <c r="AD52" s="382"/>
      <c r="AE52" s="382"/>
      <c r="AF52" s="382"/>
      <c r="AG52" s="382"/>
      <c r="AH52" s="374"/>
      <c r="AI52" s="374"/>
      <c r="AJ52" s="374"/>
      <c r="AK52" s="374"/>
      <c r="AL52" s="375"/>
      <c r="AM52" s="383"/>
      <c r="AN52" s="381"/>
      <c r="AO52" s="384"/>
      <c r="AP52" s="385"/>
      <c r="AQ52" s="382"/>
      <c r="AR52" s="382"/>
      <c r="AS52" s="382"/>
      <c r="AT52" s="382"/>
      <c r="AU52" s="382"/>
      <c r="AV52" s="382"/>
      <c r="AW52" s="382"/>
      <c r="AX52" s="382"/>
      <c r="AY52" s="382"/>
      <c r="AZ52" s="382"/>
      <c r="BA52" s="374"/>
      <c r="BB52" s="374"/>
      <c r="BC52" s="374"/>
      <c r="BD52" s="374"/>
      <c r="BE52" s="375"/>
      <c r="BF52" s="383"/>
      <c r="BG52" s="381"/>
      <c r="BH52" s="384"/>
      <c r="BI52" s="385"/>
      <c r="BJ52" s="382"/>
      <c r="BK52" s="382"/>
      <c r="BL52" s="382"/>
      <c r="BM52" s="382"/>
      <c r="BN52" s="382"/>
      <c r="BO52" s="382"/>
      <c r="BP52" s="382"/>
      <c r="BQ52" s="382"/>
      <c r="BR52" s="382"/>
      <c r="BS52" s="382"/>
      <c r="BT52" s="374"/>
      <c r="BU52" s="374"/>
      <c r="BV52" s="374"/>
      <c r="BW52" s="374"/>
      <c r="BX52" s="375"/>
    </row>
    <row r="53" spans="1:76" ht="15.75" customHeight="1" x14ac:dyDescent="0.25">
      <c r="A53" s="727" t="s">
        <v>121</v>
      </c>
      <c r="B53" s="728"/>
      <c r="C53" s="729"/>
      <c r="D53" s="730">
        <f>IF(D51&gt;0,D48/(PI()*25*D51),0)</f>
        <v>0</v>
      </c>
      <c r="E53" s="731"/>
      <c r="F53" s="382"/>
      <c r="G53" s="382"/>
      <c r="H53" s="382"/>
      <c r="I53" s="382"/>
      <c r="J53" s="382"/>
      <c r="K53" s="382"/>
      <c r="L53" s="382"/>
      <c r="M53" s="382"/>
      <c r="N53" s="382"/>
      <c r="O53" s="382"/>
      <c r="P53" s="374"/>
      <c r="Q53" s="374"/>
      <c r="R53" s="374"/>
      <c r="S53" s="375"/>
      <c r="T53" s="727" t="s">
        <v>121</v>
      </c>
      <c r="U53" s="728"/>
      <c r="V53" s="729"/>
      <c r="W53" s="730">
        <f>IF(W51&gt;0,W48/(PI()*25*W51),0)</f>
        <v>0</v>
      </c>
      <c r="X53" s="731"/>
      <c r="Y53" s="382"/>
      <c r="Z53" s="382"/>
      <c r="AA53" s="382"/>
      <c r="AB53" s="382"/>
      <c r="AC53" s="382"/>
      <c r="AD53" s="382"/>
      <c r="AE53" s="382"/>
      <c r="AF53" s="382"/>
      <c r="AG53" s="382"/>
      <c r="AH53" s="382"/>
      <c r="AI53" s="374"/>
      <c r="AJ53" s="374"/>
      <c r="AK53" s="374"/>
      <c r="AL53" s="375"/>
      <c r="AM53" s="727" t="s">
        <v>121</v>
      </c>
      <c r="AN53" s="728"/>
      <c r="AO53" s="729"/>
      <c r="AP53" s="730">
        <f>IF(AP51&gt;0,AP48/(PI()*25*AP51),0)</f>
        <v>0</v>
      </c>
      <c r="AQ53" s="731"/>
      <c r="AR53" s="382"/>
      <c r="AS53" s="382"/>
      <c r="AT53" s="382"/>
      <c r="AU53" s="382"/>
      <c r="AV53" s="382"/>
      <c r="AW53" s="382"/>
      <c r="AX53" s="382"/>
      <c r="AY53" s="382"/>
      <c r="AZ53" s="382"/>
      <c r="BA53" s="382"/>
      <c r="BB53" s="374"/>
      <c r="BC53" s="374"/>
      <c r="BD53" s="374"/>
      <c r="BE53" s="375"/>
      <c r="BF53" s="727" t="s">
        <v>121</v>
      </c>
      <c r="BG53" s="728"/>
      <c r="BH53" s="729"/>
      <c r="BI53" s="730">
        <f>IF(BI51&gt;0,BI48/(PI()*25*BI51),0)</f>
        <v>0</v>
      </c>
      <c r="BJ53" s="731"/>
      <c r="BK53" s="382"/>
      <c r="BL53" s="382"/>
      <c r="BM53" s="382"/>
      <c r="BN53" s="382"/>
      <c r="BO53" s="382"/>
      <c r="BP53" s="382"/>
      <c r="BQ53" s="382"/>
      <c r="BR53" s="382"/>
      <c r="BS53" s="382"/>
      <c r="BT53" s="382"/>
      <c r="BU53" s="374"/>
      <c r="BV53" s="374"/>
      <c r="BW53" s="374"/>
      <c r="BX53" s="375"/>
    </row>
    <row r="54" spans="1:76" x14ac:dyDescent="0.2">
      <c r="A54" s="386"/>
      <c r="B54" s="387"/>
      <c r="C54" s="387"/>
      <c r="D54" s="387"/>
      <c r="E54" s="387"/>
      <c r="F54" s="387"/>
      <c r="G54" s="387"/>
      <c r="H54" s="387"/>
      <c r="I54" s="387"/>
      <c r="J54" s="387"/>
      <c r="K54" s="387"/>
      <c r="L54" s="387"/>
      <c r="M54" s="387"/>
      <c r="N54" s="387"/>
      <c r="O54" s="387"/>
      <c r="P54" s="387"/>
      <c r="Q54" s="387"/>
      <c r="R54" s="387"/>
      <c r="S54" s="388"/>
      <c r="T54" s="386"/>
      <c r="U54" s="387"/>
      <c r="V54" s="387"/>
      <c r="W54" s="387"/>
      <c r="X54" s="387"/>
      <c r="Y54" s="387"/>
      <c r="Z54" s="387"/>
      <c r="AA54" s="387"/>
      <c r="AB54" s="387"/>
      <c r="AC54" s="387"/>
      <c r="AD54" s="387"/>
      <c r="AE54" s="387"/>
      <c r="AF54" s="387"/>
      <c r="AG54" s="387"/>
      <c r="AH54" s="387"/>
      <c r="AI54" s="387"/>
      <c r="AJ54" s="387"/>
      <c r="AK54" s="387"/>
      <c r="AL54" s="388"/>
      <c r="AM54" s="386"/>
      <c r="AN54" s="387"/>
      <c r="AO54" s="387"/>
      <c r="AP54" s="387"/>
      <c r="AQ54" s="387"/>
      <c r="AR54" s="387"/>
      <c r="AS54" s="387"/>
      <c r="AT54" s="387"/>
      <c r="AU54" s="387"/>
      <c r="AV54" s="387"/>
      <c r="AW54" s="387"/>
      <c r="AX54" s="387"/>
      <c r="AY54" s="387"/>
      <c r="AZ54" s="387"/>
      <c r="BA54" s="387"/>
      <c r="BB54" s="387"/>
      <c r="BC54" s="387"/>
      <c r="BD54" s="387"/>
      <c r="BE54" s="388"/>
      <c r="BF54" s="386"/>
      <c r="BG54" s="387"/>
      <c r="BH54" s="387"/>
      <c r="BI54" s="387"/>
      <c r="BJ54" s="387"/>
      <c r="BK54" s="387"/>
      <c r="BL54" s="387"/>
      <c r="BM54" s="387"/>
      <c r="BN54" s="387"/>
      <c r="BO54" s="387"/>
      <c r="BP54" s="387"/>
      <c r="BQ54" s="387"/>
      <c r="BR54" s="387"/>
      <c r="BS54" s="387"/>
      <c r="BT54" s="387"/>
      <c r="BU54" s="387"/>
      <c r="BV54" s="387"/>
      <c r="BW54" s="387"/>
      <c r="BX54" s="388"/>
    </row>
    <row r="55" spans="1:76" x14ac:dyDescent="0.2">
      <c r="A55" s="389"/>
      <c r="B55" s="390"/>
      <c r="C55" s="390"/>
      <c r="D55" s="390"/>
      <c r="E55" s="390"/>
      <c r="F55" s="390"/>
      <c r="G55" s="390"/>
      <c r="H55" s="390"/>
      <c r="I55" s="390"/>
      <c r="J55" s="390"/>
      <c r="K55" s="390"/>
      <c r="L55" s="390"/>
      <c r="M55" s="390"/>
      <c r="N55" s="390"/>
      <c r="O55" s="390"/>
      <c r="P55" s="390"/>
      <c r="Q55" s="390"/>
      <c r="R55" s="390"/>
      <c r="S55" s="391"/>
      <c r="T55" s="389"/>
      <c r="U55" s="390"/>
      <c r="V55" s="390"/>
      <c r="W55" s="390"/>
      <c r="X55" s="390"/>
      <c r="Y55" s="390"/>
      <c r="Z55" s="390"/>
      <c r="AA55" s="390"/>
      <c r="AB55" s="390"/>
      <c r="AC55" s="390"/>
      <c r="AD55" s="390"/>
      <c r="AE55" s="390"/>
      <c r="AF55" s="390"/>
      <c r="AG55" s="390"/>
      <c r="AH55" s="390"/>
      <c r="AI55" s="390"/>
      <c r="AJ55" s="390"/>
      <c r="AK55" s="390"/>
      <c r="AL55" s="391"/>
      <c r="AM55" s="389"/>
      <c r="AN55" s="390"/>
      <c r="AO55" s="390"/>
      <c r="AP55" s="390"/>
      <c r="AQ55" s="390"/>
      <c r="AR55" s="390"/>
      <c r="AS55" s="390"/>
      <c r="AT55" s="390"/>
      <c r="AU55" s="390"/>
      <c r="AV55" s="390"/>
      <c r="AW55" s="390"/>
      <c r="AX55" s="390"/>
      <c r="AY55" s="390"/>
      <c r="AZ55" s="390"/>
      <c r="BA55" s="390"/>
      <c r="BB55" s="390"/>
      <c r="BC55" s="390"/>
      <c r="BD55" s="390"/>
      <c r="BE55" s="391"/>
      <c r="BF55" s="389"/>
      <c r="BG55" s="390"/>
      <c r="BH55" s="390"/>
      <c r="BI55" s="390"/>
      <c r="BJ55" s="390"/>
      <c r="BK55" s="390"/>
      <c r="BL55" s="390"/>
      <c r="BM55" s="390"/>
      <c r="BN55" s="390"/>
      <c r="BO55" s="390"/>
      <c r="BP55" s="390"/>
      <c r="BQ55" s="390"/>
      <c r="BR55" s="390"/>
      <c r="BS55" s="390"/>
      <c r="BT55" s="390"/>
      <c r="BU55" s="390"/>
      <c r="BV55" s="390"/>
      <c r="BW55" s="390"/>
      <c r="BX55" s="391"/>
    </row>
    <row r="56" spans="1:76" x14ac:dyDescent="0.2">
      <c r="A56" s="392" t="s">
        <v>381</v>
      </c>
      <c r="B56" s="357"/>
      <c r="C56" s="357"/>
      <c r="D56" s="357"/>
      <c r="E56" s="357"/>
      <c r="F56" s="357"/>
      <c r="G56" s="357"/>
      <c r="H56" s="357"/>
      <c r="I56" s="357"/>
      <c r="J56" s="357"/>
      <c r="K56" s="357"/>
      <c r="L56" s="357"/>
      <c r="M56" s="357"/>
      <c r="N56" s="357"/>
      <c r="O56" s="357"/>
      <c r="P56" s="357"/>
      <c r="Q56" s="357"/>
      <c r="R56" s="357"/>
      <c r="S56" s="393"/>
      <c r="T56" s="392" t="s">
        <v>381</v>
      </c>
      <c r="U56" s="357"/>
      <c r="V56" s="357"/>
      <c r="W56" s="357"/>
      <c r="X56" s="357"/>
      <c r="Y56" s="357"/>
      <c r="Z56" s="357"/>
      <c r="AA56" s="357"/>
      <c r="AB56" s="357"/>
      <c r="AC56" s="357"/>
      <c r="AD56" s="357"/>
      <c r="AE56" s="357"/>
      <c r="AF56" s="357"/>
      <c r="AG56" s="357"/>
      <c r="AH56" s="357"/>
      <c r="AI56" s="357"/>
      <c r="AJ56" s="357"/>
      <c r="AK56" s="357"/>
      <c r="AL56" s="393"/>
      <c r="AM56" s="392" t="s">
        <v>381</v>
      </c>
      <c r="AN56" s="357"/>
      <c r="AO56" s="357"/>
      <c r="AP56" s="357"/>
      <c r="AQ56" s="357"/>
      <c r="AR56" s="357"/>
      <c r="AS56" s="357"/>
      <c r="AT56" s="357"/>
      <c r="AU56" s="357"/>
      <c r="AV56" s="357"/>
      <c r="AW56" s="357"/>
      <c r="AX56" s="357"/>
      <c r="AY56" s="357"/>
      <c r="AZ56" s="357"/>
      <c r="BA56" s="357"/>
      <c r="BB56" s="357"/>
      <c r="BC56" s="357"/>
      <c r="BD56" s="357"/>
      <c r="BE56" s="393"/>
      <c r="BF56" s="392" t="s">
        <v>381</v>
      </c>
      <c r="BG56" s="357"/>
      <c r="BH56" s="357"/>
      <c r="BI56" s="357"/>
      <c r="BJ56" s="357"/>
      <c r="BK56" s="357"/>
      <c r="BL56" s="357"/>
      <c r="BM56" s="357"/>
      <c r="BN56" s="357"/>
      <c r="BO56" s="357"/>
      <c r="BP56" s="357"/>
      <c r="BQ56" s="357"/>
      <c r="BR56" s="357"/>
      <c r="BS56" s="357"/>
      <c r="BT56" s="357"/>
      <c r="BU56" s="357"/>
      <c r="BV56" s="357"/>
      <c r="BW56" s="357"/>
      <c r="BX56" s="393"/>
    </row>
    <row r="57" spans="1:76" x14ac:dyDescent="0.2">
      <c r="A57" s="262" t="s">
        <v>525</v>
      </c>
      <c r="B57" s="357"/>
      <c r="C57" s="357"/>
      <c r="D57" s="357"/>
      <c r="E57" s="357"/>
      <c r="F57" s="357"/>
      <c r="G57" s="357"/>
      <c r="H57" s="357"/>
      <c r="I57" s="357"/>
      <c r="J57" s="357"/>
      <c r="K57" s="357"/>
      <c r="L57" s="357"/>
      <c r="M57" s="357"/>
      <c r="N57" s="357"/>
      <c r="O57" s="357"/>
      <c r="P57" s="357"/>
      <c r="Q57" s="357"/>
      <c r="R57" s="357"/>
      <c r="S57" s="393"/>
      <c r="T57" s="262" t="s">
        <v>525</v>
      </c>
      <c r="U57" s="357"/>
      <c r="V57" s="357"/>
      <c r="W57" s="357"/>
      <c r="X57" s="357"/>
      <c r="Y57" s="357"/>
      <c r="Z57" s="357"/>
      <c r="AA57" s="357"/>
      <c r="AB57" s="357"/>
      <c r="AC57" s="357"/>
      <c r="AD57" s="357"/>
      <c r="AE57" s="357"/>
      <c r="AF57" s="357"/>
      <c r="AG57" s="357"/>
      <c r="AH57" s="357"/>
      <c r="AI57" s="357"/>
      <c r="AJ57" s="357"/>
      <c r="AK57" s="357"/>
      <c r="AL57" s="393"/>
      <c r="AM57" s="262" t="s">
        <v>525</v>
      </c>
      <c r="AN57" s="357"/>
      <c r="AO57" s="357"/>
      <c r="AP57" s="357"/>
      <c r="AQ57" s="357"/>
      <c r="AR57" s="357"/>
      <c r="AS57" s="357"/>
      <c r="AT57" s="357"/>
      <c r="AU57" s="357"/>
      <c r="AV57" s="357"/>
      <c r="AW57" s="357"/>
      <c r="AX57" s="357"/>
      <c r="AY57" s="357"/>
      <c r="AZ57" s="357"/>
      <c r="BA57" s="357"/>
      <c r="BB57" s="357"/>
      <c r="BC57" s="357"/>
      <c r="BD57" s="357"/>
      <c r="BE57" s="393"/>
      <c r="BF57" s="262" t="s">
        <v>525</v>
      </c>
      <c r="BG57" s="357"/>
      <c r="BH57" s="357"/>
      <c r="BI57" s="357"/>
      <c r="BJ57" s="357"/>
      <c r="BK57" s="357"/>
      <c r="BL57" s="357"/>
      <c r="BM57" s="357"/>
      <c r="BN57" s="357"/>
      <c r="BO57" s="357"/>
      <c r="BP57" s="357"/>
      <c r="BQ57" s="357"/>
      <c r="BR57" s="357"/>
      <c r="BS57" s="357"/>
      <c r="BT57" s="357"/>
      <c r="BU57" s="357"/>
      <c r="BV57" s="357"/>
      <c r="BW57" s="357"/>
      <c r="BX57" s="393"/>
    </row>
    <row r="58" spans="1:76" x14ac:dyDescent="0.2">
      <c r="A58" s="368"/>
      <c r="B58" s="357"/>
      <c r="C58" s="357"/>
      <c r="D58" s="357"/>
      <c r="E58" s="357"/>
      <c r="F58" s="357"/>
      <c r="G58" s="357"/>
      <c r="H58" s="357"/>
      <c r="I58" s="357"/>
      <c r="J58" s="357"/>
      <c r="K58" s="357"/>
      <c r="L58" s="357"/>
      <c r="M58" s="357"/>
      <c r="N58" s="357"/>
      <c r="O58" s="357"/>
      <c r="P58" s="357"/>
      <c r="Q58" s="357"/>
      <c r="R58" s="357"/>
      <c r="S58" s="393"/>
      <c r="T58" s="368"/>
      <c r="U58" s="357"/>
      <c r="V58" s="357"/>
      <c r="W58" s="357"/>
      <c r="X58" s="357"/>
      <c r="Y58" s="357"/>
      <c r="Z58" s="357"/>
      <c r="AA58" s="357"/>
      <c r="AB58" s="357"/>
      <c r="AC58" s="357"/>
      <c r="AD58" s="357"/>
      <c r="AE58" s="357"/>
      <c r="AF58" s="357"/>
      <c r="AG58" s="357"/>
      <c r="AH58" s="357"/>
      <c r="AI58" s="357"/>
      <c r="AJ58" s="357"/>
      <c r="AK58" s="357"/>
      <c r="AL58" s="393"/>
      <c r="AM58" s="368"/>
      <c r="AN58" s="357"/>
      <c r="AO58" s="357"/>
      <c r="AP58" s="357"/>
      <c r="AQ58" s="357"/>
      <c r="AR58" s="357"/>
      <c r="AS58" s="357"/>
      <c r="AT58" s="357"/>
      <c r="AU58" s="357"/>
      <c r="AV58" s="357"/>
      <c r="AW58" s="357"/>
      <c r="AX58" s="357"/>
      <c r="AY58" s="357"/>
      <c r="AZ58" s="357"/>
      <c r="BA58" s="357"/>
      <c r="BB58" s="357"/>
      <c r="BC58" s="357"/>
      <c r="BD58" s="357"/>
      <c r="BE58" s="393"/>
      <c r="BF58" s="368"/>
      <c r="BG58" s="357"/>
      <c r="BH58" s="357"/>
      <c r="BI58" s="357"/>
      <c r="BJ58" s="357"/>
      <c r="BK58" s="357"/>
      <c r="BL58" s="357"/>
      <c r="BM58" s="357"/>
      <c r="BN58" s="357"/>
      <c r="BO58" s="357"/>
      <c r="BP58" s="357"/>
      <c r="BQ58" s="357"/>
      <c r="BR58" s="357"/>
      <c r="BS58" s="357"/>
      <c r="BT58" s="357"/>
      <c r="BU58" s="357"/>
      <c r="BV58" s="357"/>
      <c r="BW58" s="357"/>
      <c r="BX58" s="393"/>
    </row>
    <row r="59" spans="1:76" x14ac:dyDescent="0.2">
      <c r="A59" s="368"/>
      <c r="B59" s="357"/>
      <c r="C59" s="357"/>
      <c r="D59" s="357"/>
      <c r="E59" s="357"/>
      <c r="F59" s="357"/>
      <c r="G59" s="357"/>
      <c r="H59" s="357"/>
      <c r="I59" s="357"/>
      <c r="J59" s="357"/>
      <c r="K59" s="357"/>
      <c r="L59" s="357"/>
      <c r="M59" s="357"/>
      <c r="N59" s="357"/>
      <c r="O59" s="357"/>
      <c r="P59" s="357"/>
      <c r="Q59" s="357"/>
      <c r="R59" s="357"/>
      <c r="S59" s="393"/>
      <c r="T59" s="368"/>
      <c r="U59" s="357"/>
      <c r="V59" s="357"/>
      <c r="W59" s="357"/>
      <c r="X59" s="357"/>
      <c r="Y59" s="357"/>
      <c r="Z59" s="357"/>
      <c r="AA59" s="357"/>
      <c r="AB59" s="357"/>
      <c r="AC59" s="357"/>
      <c r="AD59" s="357"/>
      <c r="AE59" s="357"/>
      <c r="AF59" s="357"/>
      <c r="AG59" s="357"/>
      <c r="AH59" s="357"/>
      <c r="AI59" s="357"/>
      <c r="AJ59" s="357"/>
      <c r="AK59" s="357"/>
      <c r="AL59" s="393"/>
      <c r="AM59" s="368"/>
      <c r="AN59" s="357"/>
      <c r="AO59" s="357"/>
      <c r="AP59" s="357"/>
      <c r="AQ59" s="357"/>
      <c r="AR59" s="357"/>
      <c r="AS59" s="357"/>
      <c r="AT59" s="357"/>
      <c r="AU59" s="357"/>
      <c r="AV59" s="357"/>
      <c r="AW59" s="357"/>
      <c r="AX59" s="357"/>
      <c r="AY59" s="357"/>
      <c r="AZ59" s="357"/>
      <c r="BA59" s="357"/>
      <c r="BB59" s="357"/>
      <c r="BC59" s="357"/>
      <c r="BD59" s="357"/>
      <c r="BE59" s="393"/>
      <c r="BF59" s="368"/>
      <c r="BG59" s="357"/>
      <c r="BH59" s="357"/>
      <c r="BI59" s="357"/>
      <c r="BJ59" s="357"/>
      <c r="BK59" s="357"/>
      <c r="BL59" s="357"/>
      <c r="BM59" s="357"/>
      <c r="BN59" s="357"/>
      <c r="BO59" s="357"/>
      <c r="BP59" s="357"/>
      <c r="BQ59" s="357"/>
      <c r="BR59" s="357"/>
      <c r="BS59" s="357"/>
      <c r="BT59" s="357"/>
      <c r="BU59" s="357"/>
      <c r="BV59" s="357"/>
      <c r="BW59" s="357"/>
      <c r="BX59" s="393"/>
    </row>
    <row r="60" spans="1:76" x14ac:dyDescent="0.2">
      <c r="A60" s="368"/>
      <c r="B60" s="357"/>
      <c r="C60" s="357"/>
      <c r="D60" s="357"/>
      <c r="E60" s="357"/>
      <c r="F60" s="357"/>
      <c r="G60" s="357"/>
      <c r="H60" s="357"/>
      <c r="I60" s="357"/>
      <c r="J60" s="357"/>
      <c r="K60" s="357"/>
      <c r="L60" s="357"/>
      <c r="M60" s="357"/>
      <c r="N60" s="357"/>
      <c r="O60" s="357"/>
      <c r="P60" s="357"/>
      <c r="Q60" s="357"/>
      <c r="R60" s="357"/>
      <c r="S60" s="393"/>
      <c r="T60" s="368"/>
      <c r="U60" s="357"/>
      <c r="V60" s="357"/>
      <c r="W60" s="357"/>
      <c r="X60" s="357"/>
      <c r="Y60" s="357"/>
      <c r="Z60" s="357"/>
      <c r="AA60" s="357"/>
      <c r="AB60" s="357"/>
      <c r="AC60" s="357"/>
      <c r="AD60" s="357"/>
      <c r="AE60" s="357"/>
      <c r="AF60" s="357"/>
      <c r="AG60" s="357"/>
      <c r="AH60" s="357"/>
      <c r="AI60" s="357"/>
      <c r="AJ60" s="357"/>
      <c r="AK60" s="357"/>
      <c r="AL60" s="393"/>
      <c r="AM60" s="368"/>
      <c r="AN60" s="357"/>
      <c r="AO60" s="357"/>
      <c r="AP60" s="357"/>
      <c r="AQ60" s="357"/>
      <c r="AR60" s="357"/>
      <c r="AS60" s="357"/>
      <c r="AT60" s="357"/>
      <c r="AU60" s="357"/>
      <c r="AV60" s="357"/>
      <c r="AW60" s="357"/>
      <c r="AX60" s="357"/>
      <c r="AY60" s="357"/>
      <c r="AZ60" s="357"/>
      <c r="BA60" s="357"/>
      <c r="BB60" s="357"/>
      <c r="BC60" s="357"/>
      <c r="BD60" s="357"/>
      <c r="BE60" s="393"/>
      <c r="BF60" s="368"/>
      <c r="BG60" s="357"/>
      <c r="BH60" s="357"/>
      <c r="BI60" s="357"/>
      <c r="BJ60" s="357"/>
      <c r="BK60" s="357"/>
      <c r="BL60" s="357"/>
      <c r="BM60" s="357"/>
      <c r="BN60" s="357"/>
      <c r="BO60" s="357"/>
      <c r="BP60" s="357"/>
      <c r="BQ60" s="357"/>
      <c r="BR60" s="357"/>
      <c r="BS60" s="357"/>
      <c r="BT60" s="357"/>
      <c r="BU60" s="357"/>
      <c r="BV60" s="357"/>
      <c r="BW60" s="357"/>
      <c r="BX60" s="393"/>
    </row>
    <row r="61" spans="1:76" x14ac:dyDescent="0.2">
      <c r="A61" s="368"/>
      <c r="B61" s="357"/>
      <c r="C61" s="357"/>
      <c r="D61" s="357"/>
      <c r="E61" s="357"/>
      <c r="F61" s="357"/>
      <c r="G61" s="357"/>
      <c r="H61" s="357"/>
      <c r="I61" s="357"/>
      <c r="J61" s="357"/>
      <c r="K61" s="357"/>
      <c r="L61" s="357"/>
      <c r="M61" s="357"/>
      <c r="N61" s="357"/>
      <c r="O61" s="357"/>
      <c r="P61" s="357"/>
      <c r="Q61" s="357"/>
      <c r="R61" s="357"/>
      <c r="S61" s="393"/>
      <c r="T61" s="368"/>
      <c r="U61" s="357"/>
      <c r="V61" s="357"/>
      <c r="W61" s="357"/>
      <c r="X61" s="357"/>
      <c r="Y61" s="357"/>
      <c r="Z61" s="357"/>
      <c r="AA61" s="357"/>
      <c r="AB61" s="357"/>
      <c r="AC61" s="357"/>
      <c r="AD61" s="357"/>
      <c r="AE61" s="357"/>
      <c r="AF61" s="357"/>
      <c r="AG61" s="357"/>
      <c r="AH61" s="357"/>
      <c r="AI61" s="357"/>
      <c r="AJ61" s="357"/>
      <c r="AK61" s="357"/>
      <c r="AL61" s="393"/>
      <c r="AM61" s="368"/>
      <c r="AN61" s="357"/>
      <c r="AO61" s="357"/>
      <c r="AP61" s="357"/>
      <c r="AQ61" s="357"/>
      <c r="AR61" s="357"/>
      <c r="AS61" s="357"/>
      <c r="AT61" s="357"/>
      <c r="AU61" s="357"/>
      <c r="AV61" s="357"/>
      <c r="AW61" s="357"/>
      <c r="AX61" s="357"/>
      <c r="AY61" s="357"/>
      <c r="AZ61" s="357"/>
      <c r="BA61" s="357"/>
      <c r="BB61" s="357"/>
      <c r="BC61" s="357"/>
      <c r="BD61" s="357"/>
      <c r="BE61" s="393"/>
      <c r="BF61" s="368"/>
      <c r="BG61" s="357"/>
      <c r="BH61" s="357"/>
      <c r="BI61" s="357"/>
      <c r="BJ61" s="357"/>
      <c r="BK61" s="357"/>
      <c r="BL61" s="357"/>
      <c r="BM61" s="357"/>
      <c r="BN61" s="357"/>
      <c r="BO61" s="357"/>
      <c r="BP61" s="357"/>
      <c r="BQ61" s="357"/>
      <c r="BR61" s="357"/>
      <c r="BS61" s="357"/>
      <c r="BT61" s="357"/>
      <c r="BU61" s="357"/>
      <c r="BV61" s="357"/>
      <c r="BW61" s="357"/>
      <c r="BX61" s="393"/>
    </row>
    <row r="62" spans="1:76" x14ac:dyDescent="0.2">
      <c r="A62" s="368"/>
      <c r="B62" s="357"/>
      <c r="C62" s="357"/>
      <c r="D62" s="357"/>
      <c r="E62" s="357"/>
      <c r="F62" s="357"/>
      <c r="G62" s="357"/>
      <c r="H62" s="357"/>
      <c r="I62" s="357"/>
      <c r="J62" s="357"/>
      <c r="K62" s="357"/>
      <c r="L62" s="357"/>
      <c r="M62" s="357"/>
      <c r="N62" s="357"/>
      <c r="O62" s="357"/>
      <c r="P62" s="357"/>
      <c r="Q62" s="357"/>
      <c r="R62" s="357"/>
      <c r="S62" s="393"/>
      <c r="T62" s="368"/>
      <c r="U62" s="357"/>
      <c r="V62" s="357"/>
      <c r="W62" s="357"/>
      <c r="X62" s="357"/>
      <c r="Y62" s="357"/>
      <c r="Z62" s="357"/>
      <c r="AA62" s="357"/>
      <c r="AB62" s="357"/>
      <c r="AC62" s="357"/>
      <c r="AD62" s="357"/>
      <c r="AE62" s="357"/>
      <c r="AF62" s="357"/>
      <c r="AG62" s="357"/>
      <c r="AH62" s="357"/>
      <c r="AI62" s="357"/>
      <c r="AJ62" s="357"/>
      <c r="AK62" s="357"/>
      <c r="AL62" s="393"/>
      <c r="AM62" s="368"/>
      <c r="AN62" s="357"/>
      <c r="AO62" s="357"/>
      <c r="AP62" s="357"/>
      <c r="AQ62" s="357"/>
      <c r="AR62" s="357"/>
      <c r="AS62" s="357"/>
      <c r="AT62" s="357"/>
      <c r="AU62" s="357"/>
      <c r="AV62" s="357"/>
      <c r="AW62" s="357"/>
      <c r="AX62" s="357"/>
      <c r="AY62" s="357"/>
      <c r="AZ62" s="357"/>
      <c r="BA62" s="357"/>
      <c r="BB62" s="357"/>
      <c r="BC62" s="357"/>
      <c r="BD62" s="357"/>
      <c r="BE62" s="393"/>
      <c r="BF62" s="368"/>
      <c r="BG62" s="357"/>
      <c r="BH62" s="357"/>
      <c r="BI62" s="357"/>
      <c r="BJ62" s="357"/>
      <c r="BK62" s="357"/>
      <c r="BL62" s="357"/>
      <c r="BM62" s="357"/>
      <c r="BN62" s="357"/>
      <c r="BO62" s="357"/>
      <c r="BP62" s="357"/>
      <c r="BQ62" s="357"/>
      <c r="BR62" s="357"/>
      <c r="BS62" s="357"/>
      <c r="BT62" s="357"/>
      <c r="BU62" s="357"/>
      <c r="BV62" s="357"/>
      <c r="BW62" s="357"/>
      <c r="BX62" s="393"/>
    </row>
    <row r="63" spans="1:76" x14ac:dyDescent="0.2">
      <c r="A63" s="368"/>
      <c r="B63" s="357"/>
      <c r="C63" s="357"/>
      <c r="D63" s="357"/>
      <c r="E63" s="357"/>
      <c r="F63" s="357"/>
      <c r="G63" s="357"/>
      <c r="H63" s="357"/>
      <c r="I63" s="357"/>
      <c r="J63" s="357"/>
      <c r="K63" s="357"/>
      <c r="L63" s="357"/>
      <c r="M63" s="357"/>
      <c r="N63" s="357"/>
      <c r="O63" s="357"/>
      <c r="P63" s="357"/>
      <c r="Q63" s="357"/>
      <c r="R63" s="357"/>
      <c r="S63" s="393"/>
      <c r="T63" s="368"/>
      <c r="U63" s="357"/>
      <c r="V63" s="357"/>
      <c r="W63" s="357"/>
      <c r="X63" s="357"/>
      <c r="Y63" s="357"/>
      <c r="Z63" s="357"/>
      <c r="AA63" s="357"/>
      <c r="AB63" s="357"/>
      <c r="AC63" s="357"/>
      <c r="AD63" s="357"/>
      <c r="AE63" s="357"/>
      <c r="AF63" s="357"/>
      <c r="AG63" s="357"/>
      <c r="AH63" s="357"/>
      <c r="AI63" s="357"/>
      <c r="AJ63" s="357"/>
      <c r="AK63" s="357"/>
      <c r="AL63" s="393"/>
      <c r="AM63" s="368"/>
      <c r="AN63" s="357"/>
      <c r="AO63" s="357"/>
      <c r="AP63" s="357"/>
      <c r="AQ63" s="357"/>
      <c r="AR63" s="357"/>
      <c r="AS63" s="357"/>
      <c r="AT63" s="357"/>
      <c r="AU63" s="357"/>
      <c r="AV63" s="357"/>
      <c r="AW63" s="357"/>
      <c r="AX63" s="357"/>
      <c r="AY63" s="357"/>
      <c r="AZ63" s="357"/>
      <c r="BA63" s="357"/>
      <c r="BB63" s="357"/>
      <c r="BC63" s="357"/>
      <c r="BD63" s="357"/>
      <c r="BE63" s="393"/>
      <c r="BF63" s="368"/>
      <c r="BG63" s="357"/>
      <c r="BH63" s="357"/>
      <c r="BI63" s="357"/>
      <c r="BJ63" s="357"/>
      <c r="BK63" s="357"/>
      <c r="BL63" s="357"/>
      <c r="BM63" s="357"/>
      <c r="BN63" s="357"/>
      <c r="BO63" s="357"/>
      <c r="BP63" s="357"/>
      <c r="BQ63" s="357"/>
      <c r="BR63" s="357"/>
      <c r="BS63" s="357"/>
      <c r="BT63" s="357"/>
      <c r="BU63" s="357"/>
      <c r="BV63" s="357"/>
      <c r="BW63" s="357"/>
      <c r="BX63" s="393"/>
    </row>
    <row r="64" spans="1:76" x14ac:dyDescent="0.2">
      <c r="A64" s="368"/>
      <c r="B64" s="357"/>
      <c r="C64" s="357"/>
      <c r="D64" s="357"/>
      <c r="E64" s="357"/>
      <c r="F64" s="357"/>
      <c r="G64" s="357"/>
      <c r="H64" s="357"/>
      <c r="I64" s="357"/>
      <c r="J64" s="357"/>
      <c r="K64" s="357"/>
      <c r="L64" s="357"/>
      <c r="M64" s="357"/>
      <c r="N64" s="357"/>
      <c r="O64" s="357"/>
      <c r="P64" s="357"/>
      <c r="Q64" s="357"/>
      <c r="R64" s="357"/>
      <c r="S64" s="393"/>
      <c r="T64" s="368"/>
      <c r="U64" s="357"/>
      <c r="V64" s="357"/>
      <c r="W64" s="357"/>
      <c r="X64" s="357"/>
      <c r="Y64" s="357"/>
      <c r="Z64" s="357"/>
      <c r="AA64" s="357"/>
      <c r="AB64" s="357"/>
      <c r="AC64" s="357"/>
      <c r="AD64" s="357"/>
      <c r="AE64" s="357"/>
      <c r="AF64" s="357"/>
      <c r="AG64" s="357"/>
      <c r="AH64" s="357"/>
      <c r="AI64" s="357"/>
      <c r="AJ64" s="357"/>
      <c r="AK64" s="357"/>
      <c r="AL64" s="393"/>
      <c r="AM64" s="368"/>
      <c r="AN64" s="357"/>
      <c r="AO64" s="357"/>
      <c r="AP64" s="357"/>
      <c r="AQ64" s="357"/>
      <c r="AR64" s="357"/>
      <c r="AS64" s="357"/>
      <c r="AT64" s="357"/>
      <c r="AU64" s="357"/>
      <c r="AV64" s="357"/>
      <c r="AW64" s="357"/>
      <c r="AX64" s="357"/>
      <c r="AY64" s="357"/>
      <c r="AZ64" s="357"/>
      <c r="BA64" s="357"/>
      <c r="BB64" s="357"/>
      <c r="BC64" s="357"/>
      <c r="BD64" s="357"/>
      <c r="BE64" s="393"/>
      <c r="BF64" s="368"/>
      <c r="BG64" s="357"/>
      <c r="BH64" s="357"/>
      <c r="BI64" s="357"/>
      <c r="BJ64" s="357"/>
      <c r="BK64" s="357"/>
      <c r="BL64" s="357"/>
      <c r="BM64" s="357"/>
      <c r="BN64" s="357"/>
      <c r="BO64" s="357"/>
      <c r="BP64" s="357"/>
      <c r="BQ64" s="357"/>
      <c r="BR64" s="357"/>
      <c r="BS64" s="357"/>
      <c r="BT64" s="357"/>
      <c r="BU64" s="357"/>
      <c r="BV64" s="357"/>
      <c r="BW64" s="357"/>
      <c r="BX64" s="393"/>
    </row>
    <row r="65" spans="1:76" x14ac:dyDescent="0.2">
      <c r="A65" s="368"/>
      <c r="B65" s="357"/>
      <c r="C65" s="357"/>
      <c r="D65" s="357"/>
      <c r="E65" s="357"/>
      <c r="F65" s="357"/>
      <c r="G65" s="357"/>
      <c r="H65" s="357"/>
      <c r="I65" s="357"/>
      <c r="J65" s="357"/>
      <c r="K65" s="357"/>
      <c r="L65" s="357"/>
      <c r="M65" s="357"/>
      <c r="N65" s="357"/>
      <c r="O65" s="357"/>
      <c r="P65" s="357"/>
      <c r="Q65" s="357"/>
      <c r="R65" s="357"/>
      <c r="S65" s="393"/>
      <c r="T65" s="368"/>
      <c r="U65" s="357"/>
      <c r="V65" s="357"/>
      <c r="W65" s="357"/>
      <c r="X65" s="357"/>
      <c r="Y65" s="357"/>
      <c r="Z65" s="357"/>
      <c r="AA65" s="357"/>
      <c r="AB65" s="357"/>
      <c r="AC65" s="357"/>
      <c r="AD65" s="357"/>
      <c r="AE65" s="357"/>
      <c r="AF65" s="357"/>
      <c r="AG65" s="357"/>
      <c r="AH65" s="357"/>
      <c r="AI65" s="357"/>
      <c r="AJ65" s="357"/>
      <c r="AK65" s="357"/>
      <c r="AL65" s="393"/>
      <c r="AM65" s="368"/>
      <c r="AN65" s="357"/>
      <c r="AO65" s="357"/>
      <c r="AP65" s="357"/>
      <c r="AQ65" s="357"/>
      <c r="AR65" s="357"/>
      <c r="AS65" s="357"/>
      <c r="AT65" s="357"/>
      <c r="AU65" s="357"/>
      <c r="AV65" s="357"/>
      <c r="AW65" s="357"/>
      <c r="AX65" s="357"/>
      <c r="AY65" s="357"/>
      <c r="AZ65" s="357"/>
      <c r="BA65" s="357"/>
      <c r="BB65" s="357"/>
      <c r="BC65" s="357"/>
      <c r="BD65" s="357"/>
      <c r="BE65" s="393"/>
      <c r="BF65" s="368"/>
      <c r="BG65" s="357"/>
      <c r="BH65" s="357"/>
      <c r="BI65" s="357"/>
      <c r="BJ65" s="357"/>
      <c r="BK65" s="357"/>
      <c r="BL65" s="357"/>
      <c r="BM65" s="357"/>
      <c r="BN65" s="357"/>
      <c r="BO65" s="357"/>
      <c r="BP65" s="357"/>
      <c r="BQ65" s="357"/>
      <c r="BR65" s="357"/>
      <c r="BS65" s="357"/>
      <c r="BT65" s="357"/>
      <c r="BU65" s="357"/>
      <c r="BV65" s="357"/>
      <c r="BW65" s="357"/>
      <c r="BX65" s="393"/>
    </row>
    <row r="66" spans="1:76" x14ac:dyDescent="0.2">
      <c r="A66" s="368"/>
      <c r="B66" s="357"/>
      <c r="C66" s="357"/>
      <c r="D66" s="357"/>
      <c r="E66" s="357"/>
      <c r="F66" s="357"/>
      <c r="G66" s="357"/>
      <c r="H66" s="357"/>
      <c r="I66" s="357"/>
      <c r="J66" s="357"/>
      <c r="K66" s="357"/>
      <c r="L66" s="357"/>
      <c r="M66" s="357"/>
      <c r="N66" s="357"/>
      <c r="O66" s="357"/>
      <c r="P66" s="357"/>
      <c r="Q66" s="357"/>
      <c r="R66" s="357"/>
      <c r="S66" s="393"/>
      <c r="T66" s="368"/>
      <c r="U66" s="357"/>
      <c r="V66" s="357"/>
      <c r="W66" s="357"/>
      <c r="X66" s="357"/>
      <c r="Y66" s="357"/>
      <c r="Z66" s="357"/>
      <c r="AA66" s="357"/>
      <c r="AB66" s="357"/>
      <c r="AC66" s="357"/>
      <c r="AD66" s="357"/>
      <c r="AE66" s="357"/>
      <c r="AF66" s="357"/>
      <c r="AG66" s="357"/>
      <c r="AH66" s="357"/>
      <c r="AI66" s="357"/>
      <c r="AJ66" s="357"/>
      <c r="AK66" s="357"/>
      <c r="AL66" s="393"/>
      <c r="AM66" s="368"/>
      <c r="AN66" s="357"/>
      <c r="AO66" s="357"/>
      <c r="AP66" s="357"/>
      <c r="AQ66" s="357"/>
      <c r="AR66" s="357"/>
      <c r="AS66" s="357"/>
      <c r="AT66" s="357"/>
      <c r="AU66" s="357"/>
      <c r="AV66" s="357"/>
      <c r="AW66" s="357"/>
      <c r="AX66" s="357"/>
      <c r="AY66" s="357"/>
      <c r="AZ66" s="357"/>
      <c r="BA66" s="357"/>
      <c r="BB66" s="357"/>
      <c r="BC66" s="357"/>
      <c r="BD66" s="357"/>
      <c r="BE66" s="393"/>
      <c r="BF66" s="368"/>
      <c r="BG66" s="357"/>
      <c r="BH66" s="357"/>
      <c r="BI66" s="357"/>
      <c r="BJ66" s="357"/>
      <c r="BK66" s="357"/>
      <c r="BL66" s="357"/>
      <c r="BM66" s="357"/>
      <c r="BN66" s="357"/>
      <c r="BO66" s="357"/>
      <c r="BP66" s="357"/>
      <c r="BQ66" s="357"/>
      <c r="BR66" s="357"/>
      <c r="BS66" s="357"/>
      <c r="BT66" s="357"/>
      <c r="BU66" s="357"/>
      <c r="BV66" s="357"/>
      <c r="BW66" s="357"/>
      <c r="BX66" s="393"/>
    </row>
    <row r="67" spans="1:76" x14ac:dyDescent="0.2">
      <c r="A67" s="368"/>
      <c r="B67" s="357"/>
      <c r="C67" s="357"/>
      <c r="D67" s="357"/>
      <c r="E67" s="357"/>
      <c r="F67" s="357"/>
      <c r="G67" s="357"/>
      <c r="H67" s="357"/>
      <c r="I67" s="357"/>
      <c r="J67" s="357"/>
      <c r="K67" s="357"/>
      <c r="L67" s="357"/>
      <c r="M67" s="357"/>
      <c r="N67" s="357"/>
      <c r="O67" s="357"/>
      <c r="P67" s="357"/>
      <c r="Q67" s="357"/>
      <c r="R67" s="357"/>
      <c r="S67" s="393"/>
      <c r="T67" s="368"/>
      <c r="U67" s="357"/>
      <c r="V67" s="357"/>
      <c r="W67" s="357"/>
      <c r="X67" s="357"/>
      <c r="Y67" s="357"/>
      <c r="Z67" s="357"/>
      <c r="AA67" s="357"/>
      <c r="AB67" s="357"/>
      <c r="AC67" s="357"/>
      <c r="AD67" s="357"/>
      <c r="AE67" s="357"/>
      <c r="AF67" s="357"/>
      <c r="AG67" s="357"/>
      <c r="AH67" s="357"/>
      <c r="AI67" s="357"/>
      <c r="AJ67" s="357"/>
      <c r="AK67" s="357"/>
      <c r="AL67" s="393"/>
      <c r="AM67" s="368"/>
      <c r="AN67" s="357"/>
      <c r="AO67" s="357"/>
      <c r="AP67" s="357"/>
      <c r="AQ67" s="357"/>
      <c r="AR67" s="357"/>
      <c r="AS67" s="357"/>
      <c r="AT67" s="357"/>
      <c r="AU67" s="357"/>
      <c r="AV67" s="357"/>
      <c r="AW67" s="357"/>
      <c r="AX67" s="357"/>
      <c r="AY67" s="357"/>
      <c r="AZ67" s="357"/>
      <c r="BA67" s="357"/>
      <c r="BB67" s="357"/>
      <c r="BC67" s="357"/>
      <c r="BD67" s="357"/>
      <c r="BE67" s="393"/>
      <c r="BF67" s="368"/>
      <c r="BG67" s="357"/>
      <c r="BH67" s="357"/>
      <c r="BI67" s="357"/>
      <c r="BJ67" s="357"/>
      <c r="BK67" s="357"/>
      <c r="BL67" s="357"/>
      <c r="BM67" s="357"/>
      <c r="BN67" s="357"/>
      <c r="BO67" s="357"/>
      <c r="BP67" s="357"/>
      <c r="BQ67" s="357"/>
      <c r="BR67" s="357"/>
      <c r="BS67" s="357"/>
      <c r="BT67" s="357"/>
      <c r="BU67" s="357"/>
      <c r="BV67" s="357"/>
      <c r="BW67" s="357"/>
      <c r="BX67" s="393"/>
    </row>
    <row r="68" spans="1:76" x14ac:dyDescent="0.2">
      <c r="A68" s="368"/>
      <c r="B68" s="357"/>
      <c r="C68" s="357"/>
      <c r="D68" s="357"/>
      <c r="E68" s="357"/>
      <c r="F68" s="357"/>
      <c r="G68" s="357"/>
      <c r="H68" s="357"/>
      <c r="I68" s="357"/>
      <c r="J68" s="357"/>
      <c r="K68" s="357"/>
      <c r="L68" s="357"/>
      <c r="M68" s="357"/>
      <c r="N68" s="357"/>
      <c r="O68" s="357"/>
      <c r="P68" s="357"/>
      <c r="Q68" s="357"/>
      <c r="R68" s="357"/>
      <c r="S68" s="393"/>
      <c r="T68" s="368"/>
      <c r="U68" s="357"/>
      <c r="V68" s="357"/>
      <c r="W68" s="357"/>
      <c r="X68" s="357"/>
      <c r="Y68" s="357"/>
      <c r="Z68" s="357"/>
      <c r="AA68" s="357"/>
      <c r="AB68" s="357"/>
      <c r="AC68" s="357"/>
      <c r="AD68" s="357"/>
      <c r="AE68" s="357"/>
      <c r="AF68" s="357"/>
      <c r="AG68" s="357"/>
      <c r="AH68" s="357"/>
      <c r="AI68" s="357"/>
      <c r="AJ68" s="357"/>
      <c r="AK68" s="357"/>
      <c r="AL68" s="393"/>
      <c r="AM68" s="368"/>
      <c r="AN68" s="357"/>
      <c r="AO68" s="357"/>
      <c r="AP68" s="357"/>
      <c r="AQ68" s="357"/>
      <c r="AR68" s="357"/>
      <c r="AS68" s="357"/>
      <c r="AT68" s="357"/>
      <c r="AU68" s="357"/>
      <c r="AV68" s="357"/>
      <c r="AW68" s="357"/>
      <c r="AX68" s="357"/>
      <c r="AY68" s="357"/>
      <c r="AZ68" s="357"/>
      <c r="BA68" s="357"/>
      <c r="BB68" s="357"/>
      <c r="BC68" s="357"/>
      <c r="BD68" s="357"/>
      <c r="BE68" s="393"/>
      <c r="BF68" s="368"/>
      <c r="BG68" s="357"/>
      <c r="BH68" s="357"/>
      <c r="BI68" s="357"/>
      <c r="BJ68" s="357"/>
      <c r="BK68" s="357"/>
      <c r="BL68" s="357"/>
      <c r="BM68" s="357"/>
      <c r="BN68" s="357"/>
      <c r="BO68" s="357"/>
      <c r="BP68" s="357"/>
      <c r="BQ68" s="357"/>
      <c r="BR68" s="357"/>
      <c r="BS68" s="357"/>
      <c r="BT68" s="357"/>
      <c r="BU68" s="357"/>
      <c r="BV68" s="357"/>
      <c r="BW68" s="357"/>
      <c r="BX68" s="393"/>
    </row>
    <row r="69" spans="1:76" x14ac:dyDescent="0.2">
      <c r="A69" s="368"/>
      <c r="B69" s="357"/>
      <c r="C69" s="357"/>
      <c r="D69" s="357"/>
      <c r="E69" s="357"/>
      <c r="F69" s="357"/>
      <c r="G69" s="357"/>
      <c r="H69" s="357"/>
      <c r="I69" s="357"/>
      <c r="J69" s="357"/>
      <c r="K69" s="357"/>
      <c r="L69" s="357"/>
      <c r="M69" s="357"/>
      <c r="N69" s="357"/>
      <c r="O69" s="357"/>
      <c r="P69" s="357"/>
      <c r="Q69" s="357"/>
      <c r="R69" s="357"/>
      <c r="S69" s="393"/>
      <c r="T69" s="368"/>
      <c r="U69" s="357"/>
      <c r="V69" s="357"/>
      <c r="W69" s="357"/>
      <c r="X69" s="357"/>
      <c r="Y69" s="357"/>
      <c r="Z69" s="357"/>
      <c r="AA69" s="357"/>
      <c r="AB69" s="357"/>
      <c r="AC69" s="357"/>
      <c r="AD69" s="357"/>
      <c r="AE69" s="357"/>
      <c r="AF69" s="357"/>
      <c r="AG69" s="357"/>
      <c r="AH69" s="357"/>
      <c r="AI69" s="357"/>
      <c r="AJ69" s="357"/>
      <c r="AK69" s="357"/>
      <c r="AL69" s="393"/>
      <c r="AM69" s="368"/>
      <c r="AN69" s="357"/>
      <c r="AO69" s="357"/>
      <c r="AP69" s="357"/>
      <c r="AQ69" s="357"/>
      <c r="AR69" s="357"/>
      <c r="AS69" s="357"/>
      <c r="AT69" s="357"/>
      <c r="AU69" s="357"/>
      <c r="AV69" s="357"/>
      <c r="AW69" s="357"/>
      <c r="AX69" s="357"/>
      <c r="AY69" s="357"/>
      <c r="AZ69" s="357"/>
      <c r="BA69" s="357"/>
      <c r="BB69" s="357"/>
      <c r="BC69" s="357"/>
      <c r="BD69" s="357"/>
      <c r="BE69" s="393"/>
      <c r="BF69" s="368"/>
      <c r="BG69" s="357"/>
      <c r="BH69" s="357"/>
      <c r="BI69" s="357"/>
      <c r="BJ69" s="357"/>
      <c r="BK69" s="357"/>
      <c r="BL69" s="357"/>
      <c r="BM69" s="357"/>
      <c r="BN69" s="357"/>
      <c r="BO69" s="357"/>
      <c r="BP69" s="357"/>
      <c r="BQ69" s="357"/>
      <c r="BR69" s="357"/>
      <c r="BS69" s="357"/>
      <c r="BT69" s="357"/>
      <c r="BU69" s="357"/>
      <c r="BV69" s="357"/>
      <c r="BW69" s="357"/>
      <c r="BX69" s="393"/>
    </row>
    <row r="70" spans="1:76" x14ac:dyDescent="0.2">
      <c r="A70" s="368"/>
      <c r="B70" s="357"/>
      <c r="C70" s="357"/>
      <c r="D70" s="357"/>
      <c r="E70" s="357"/>
      <c r="F70" s="357"/>
      <c r="G70" s="357"/>
      <c r="H70" s="357"/>
      <c r="I70" s="357"/>
      <c r="J70" s="357"/>
      <c r="K70" s="357"/>
      <c r="L70" s="357"/>
      <c r="M70" s="357"/>
      <c r="N70" s="357"/>
      <c r="O70" s="357"/>
      <c r="P70" s="357"/>
      <c r="Q70" s="357"/>
      <c r="R70" s="357"/>
      <c r="S70" s="393"/>
      <c r="T70" s="368"/>
      <c r="U70" s="357"/>
      <c r="V70" s="357"/>
      <c r="W70" s="357"/>
      <c r="X70" s="357"/>
      <c r="Y70" s="357"/>
      <c r="Z70" s="357"/>
      <c r="AA70" s="357"/>
      <c r="AB70" s="357"/>
      <c r="AC70" s="357"/>
      <c r="AD70" s="357"/>
      <c r="AE70" s="357"/>
      <c r="AF70" s="357"/>
      <c r="AG70" s="357"/>
      <c r="AH70" s="357"/>
      <c r="AI70" s="357"/>
      <c r="AJ70" s="357"/>
      <c r="AK70" s="357"/>
      <c r="AL70" s="393"/>
      <c r="AM70" s="368"/>
      <c r="AN70" s="357"/>
      <c r="AO70" s="357"/>
      <c r="AP70" s="357"/>
      <c r="AQ70" s="357"/>
      <c r="AR70" s="357"/>
      <c r="AS70" s="357"/>
      <c r="AT70" s="357"/>
      <c r="AU70" s="357"/>
      <c r="AV70" s="357"/>
      <c r="AW70" s="357"/>
      <c r="AX70" s="357"/>
      <c r="AY70" s="357"/>
      <c r="AZ70" s="357"/>
      <c r="BA70" s="357"/>
      <c r="BB70" s="357"/>
      <c r="BC70" s="357"/>
      <c r="BD70" s="357"/>
      <c r="BE70" s="393"/>
      <c r="BF70" s="368"/>
      <c r="BG70" s="357"/>
      <c r="BH70" s="357"/>
      <c r="BI70" s="357"/>
      <c r="BJ70" s="357"/>
      <c r="BK70" s="357"/>
      <c r="BL70" s="357"/>
      <c r="BM70" s="357"/>
      <c r="BN70" s="357"/>
      <c r="BO70" s="357"/>
      <c r="BP70" s="357"/>
      <c r="BQ70" s="357"/>
      <c r="BR70" s="357"/>
      <c r="BS70" s="357"/>
      <c r="BT70" s="357"/>
      <c r="BU70" s="357"/>
      <c r="BV70" s="357"/>
      <c r="BW70" s="357"/>
      <c r="BX70" s="393"/>
    </row>
    <row r="71" spans="1:76" x14ac:dyDescent="0.2">
      <c r="A71" s="368"/>
      <c r="B71" s="357"/>
      <c r="C71" s="357"/>
      <c r="D71" s="357"/>
      <c r="E71" s="357"/>
      <c r="F71" s="357"/>
      <c r="G71" s="357"/>
      <c r="H71" s="357"/>
      <c r="I71" s="357"/>
      <c r="J71" s="357"/>
      <c r="K71" s="357"/>
      <c r="L71" s="357"/>
      <c r="M71" s="357"/>
      <c r="N71" s="357"/>
      <c r="O71" s="357"/>
      <c r="P71" s="357"/>
      <c r="Q71" s="357"/>
      <c r="R71" s="357"/>
      <c r="S71" s="393"/>
      <c r="T71" s="368"/>
      <c r="U71" s="357"/>
      <c r="V71" s="357"/>
      <c r="W71" s="357"/>
      <c r="X71" s="357"/>
      <c r="Y71" s="357"/>
      <c r="Z71" s="357"/>
      <c r="AA71" s="357"/>
      <c r="AB71" s="357"/>
      <c r="AC71" s="357"/>
      <c r="AD71" s="357"/>
      <c r="AE71" s="357"/>
      <c r="AF71" s="357"/>
      <c r="AG71" s="357"/>
      <c r="AH71" s="357"/>
      <c r="AI71" s="357"/>
      <c r="AJ71" s="357"/>
      <c r="AK71" s="357"/>
      <c r="AL71" s="393"/>
      <c r="AM71" s="368"/>
      <c r="AN71" s="357"/>
      <c r="AO71" s="357"/>
      <c r="AP71" s="357"/>
      <c r="AQ71" s="357"/>
      <c r="AR71" s="357"/>
      <c r="AS71" s="357"/>
      <c r="AT71" s="357"/>
      <c r="AU71" s="357"/>
      <c r="AV71" s="357"/>
      <c r="AW71" s="357"/>
      <c r="AX71" s="357"/>
      <c r="AY71" s="357"/>
      <c r="AZ71" s="357"/>
      <c r="BA71" s="357"/>
      <c r="BB71" s="357"/>
      <c r="BC71" s="357"/>
      <c r="BD71" s="357"/>
      <c r="BE71" s="393"/>
      <c r="BF71" s="368"/>
      <c r="BG71" s="357"/>
      <c r="BH71" s="357"/>
      <c r="BI71" s="357"/>
      <c r="BJ71" s="357"/>
      <c r="BK71" s="357"/>
      <c r="BL71" s="357"/>
      <c r="BM71" s="357"/>
      <c r="BN71" s="357"/>
      <c r="BO71" s="357"/>
      <c r="BP71" s="357"/>
      <c r="BQ71" s="357"/>
      <c r="BR71" s="357"/>
      <c r="BS71" s="357"/>
      <c r="BT71" s="357"/>
      <c r="BU71" s="357"/>
      <c r="BV71" s="357"/>
      <c r="BW71" s="357"/>
      <c r="BX71" s="393"/>
    </row>
    <row r="72" spans="1:76" x14ac:dyDescent="0.2">
      <c r="A72" s="368"/>
      <c r="B72" s="357"/>
      <c r="C72" s="357"/>
      <c r="D72" s="357"/>
      <c r="E72" s="357"/>
      <c r="F72" s="357"/>
      <c r="G72" s="357"/>
      <c r="H72" s="357"/>
      <c r="I72" s="357"/>
      <c r="J72" s="357"/>
      <c r="K72" s="357"/>
      <c r="L72" s="357"/>
      <c r="M72" s="357"/>
      <c r="N72" s="357"/>
      <c r="O72" s="357"/>
      <c r="P72" s="357"/>
      <c r="Q72" s="357"/>
      <c r="R72" s="357"/>
      <c r="S72" s="393"/>
      <c r="T72" s="368"/>
      <c r="U72" s="357"/>
      <c r="V72" s="357"/>
      <c r="W72" s="357"/>
      <c r="X72" s="357"/>
      <c r="Y72" s="357"/>
      <c r="Z72" s="357"/>
      <c r="AA72" s="357"/>
      <c r="AB72" s="357"/>
      <c r="AC72" s="357"/>
      <c r="AD72" s="357"/>
      <c r="AE72" s="357"/>
      <c r="AF72" s="357"/>
      <c r="AG72" s="357"/>
      <c r="AH72" s="357"/>
      <c r="AI72" s="357"/>
      <c r="AJ72" s="357"/>
      <c r="AK72" s="357"/>
      <c r="AL72" s="393"/>
      <c r="AM72" s="368"/>
      <c r="AN72" s="357"/>
      <c r="AO72" s="357"/>
      <c r="AP72" s="357"/>
      <c r="AQ72" s="357"/>
      <c r="AR72" s="357"/>
      <c r="AS72" s="357"/>
      <c r="AT72" s="357"/>
      <c r="AU72" s="357"/>
      <c r="AV72" s="357"/>
      <c r="AW72" s="357"/>
      <c r="AX72" s="357"/>
      <c r="AY72" s="357"/>
      <c r="AZ72" s="357"/>
      <c r="BA72" s="357"/>
      <c r="BB72" s="357"/>
      <c r="BC72" s="357"/>
      <c r="BD72" s="357"/>
      <c r="BE72" s="393"/>
      <c r="BF72" s="368"/>
      <c r="BG72" s="357"/>
      <c r="BH72" s="357"/>
      <c r="BI72" s="357"/>
      <c r="BJ72" s="357"/>
      <c r="BK72" s="357"/>
      <c r="BL72" s="357"/>
      <c r="BM72" s="357"/>
      <c r="BN72" s="357"/>
      <c r="BO72" s="357"/>
      <c r="BP72" s="357"/>
      <c r="BQ72" s="357"/>
      <c r="BR72" s="357"/>
      <c r="BS72" s="357"/>
      <c r="BT72" s="357"/>
      <c r="BU72" s="357"/>
      <c r="BV72" s="357"/>
      <c r="BW72" s="357"/>
      <c r="BX72" s="393"/>
    </row>
    <row r="73" spans="1:76" x14ac:dyDescent="0.2">
      <c r="A73" s="368"/>
      <c r="B73" s="357"/>
      <c r="C73" s="357"/>
      <c r="D73" s="357"/>
      <c r="E73" s="357"/>
      <c r="F73" s="357"/>
      <c r="G73" s="357"/>
      <c r="H73" s="357"/>
      <c r="I73" s="357"/>
      <c r="J73" s="357"/>
      <c r="K73" s="357"/>
      <c r="L73" s="357"/>
      <c r="M73" s="357"/>
      <c r="N73" s="357"/>
      <c r="O73" s="357"/>
      <c r="P73" s="357"/>
      <c r="Q73" s="357"/>
      <c r="R73" s="357"/>
      <c r="S73" s="393"/>
      <c r="T73" s="368"/>
      <c r="U73" s="357"/>
      <c r="V73" s="357"/>
      <c r="W73" s="357"/>
      <c r="X73" s="357"/>
      <c r="Y73" s="357"/>
      <c r="Z73" s="357"/>
      <c r="AA73" s="357"/>
      <c r="AB73" s="357"/>
      <c r="AC73" s="357"/>
      <c r="AD73" s="357"/>
      <c r="AE73" s="357"/>
      <c r="AF73" s="357"/>
      <c r="AG73" s="357"/>
      <c r="AH73" s="357"/>
      <c r="AI73" s="357"/>
      <c r="AJ73" s="357"/>
      <c r="AK73" s="357"/>
      <c r="AL73" s="393"/>
      <c r="AM73" s="368"/>
      <c r="AN73" s="357"/>
      <c r="AO73" s="357"/>
      <c r="AP73" s="357"/>
      <c r="AQ73" s="357"/>
      <c r="AR73" s="357"/>
      <c r="AS73" s="357"/>
      <c r="AT73" s="357"/>
      <c r="AU73" s="357"/>
      <c r="AV73" s="357"/>
      <c r="AW73" s="357"/>
      <c r="AX73" s="357"/>
      <c r="AY73" s="357"/>
      <c r="AZ73" s="357"/>
      <c r="BA73" s="357"/>
      <c r="BB73" s="357"/>
      <c r="BC73" s="357"/>
      <c r="BD73" s="357"/>
      <c r="BE73" s="393"/>
      <c r="BF73" s="368"/>
      <c r="BG73" s="357"/>
      <c r="BH73" s="357"/>
      <c r="BI73" s="357"/>
      <c r="BJ73" s="357"/>
      <c r="BK73" s="357"/>
      <c r="BL73" s="357"/>
      <c r="BM73" s="357"/>
      <c r="BN73" s="357"/>
      <c r="BO73" s="357"/>
      <c r="BP73" s="357"/>
      <c r="BQ73" s="357"/>
      <c r="BR73" s="357"/>
      <c r="BS73" s="357"/>
      <c r="BT73" s="357"/>
      <c r="BU73" s="357"/>
      <c r="BV73" s="357"/>
      <c r="BW73" s="357"/>
      <c r="BX73" s="393"/>
    </row>
    <row r="74" spans="1:76" x14ac:dyDescent="0.2">
      <c r="A74" s="368"/>
      <c r="B74" s="357"/>
      <c r="C74" s="357"/>
      <c r="D74" s="357"/>
      <c r="E74" s="357"/>
      <c r="F74" s="357"/>
      <c r="G74" s="357"/>
      <c r="H74" s="357"/>
      <c r="I74" s="357"/>
      <c r="J74" s="357"/>
      <c r="K74" s="357"/>
      <c r="L74" s="357"/>
      <c r="M74" s="357"/>
      <c r="N74" s="357"/>
      <c r="O74" s="357"/>
      <c r="P74" s="357"/>
      <c r="Q74" s="357"/>
      <c r="R74" s="357"/>
      <c r="S74" s="393"/>
      <c r="T74" s="368"/>
      <c r="U74" s="357"/>
      <c r="V74" s="357"/>
      <c r="W74" s="357"/>
      <c r="X74" s="357"/>
      <c r="Y74" s="357"/>
      <c r="Z74" s="357"/>
      <c r="AA74" s="357"/>
      <c r="AB74" s="357"/>
      <c r="AC74" s="357"/>
      <c r="AD74" s="357"/>
      <c r="AE74" s="357"/>
      <c r="AF74" s="357"/>
      <c r="AG74" s="357"/>
      <c r="AH74" s="357"/>
      <c r="AI74" s="357"/>
      <c r="AJ74" s="357"/>
      <c r="AK74" s="357"/>
      <c r="AL74" s="393"/>
      <c r="AM74" s="368"/>
      <c r="AN74" s="357"/>
      <c r="AO74" s="357"/>
      <c r="AP74" s="357"/>
      <c r="AQ74" s="357"/>
      <c r="AR74" s="357"/>
      <c r="AS74" s="357"/>
      <c r="AT74" s="357"/>
      <c r="AU74" s="357"/>
      <c r="AV74" s="357"/>
      <c r="AW74" s="357"/>
      <c r="AX74" s="357"/>
      <c r="AY74" s="357"/>
      <c r="AZ74" s="357"/>
      <c r="BA74" s="357"/>
      <c r="BB74" s="357"/>
      <c r="BC74" s="357"/>
      <c r="BD74" s="357"/>
      <c r="BE74" s="393"/>
      <c r="BF74" s="368"/>
      <c r="BG74" s="357"/>
      <c r="BH74" s="357"/>
      <c r="BI74" s="357"/>
      <c r="BJ74" s="357"/>
      <c r="BK74" s="357"/>
      <c r="BL74" s="357"/>
      <c r="BM74" s="357"/>
      <c r="BN74" s="357"/>
      <c r="BO74" s="357"/>
      <c r="BP74" s="357"/>
      <c r="BQ74" s="357"/>
      <c r="BR74" s="357"/>
      <c r="BS74" s="357"/>
      <c r="BT74" s="357"/>
      <c r="BU74" s="357"/>
      <c r="BV74" s="357"/>
      <c r="BW74" s="357"/>
      <c r="BX74" s="393"/>
    </row>
    <row r="75" spans="1:76" x14ac:dyDescent="0.2">
      <c r="A75" s="368"/>
      <c r="B75" s="357"/>
      <c r="C75" s="357"/>
      <c r="D75" s="357"/>
      <c r="E75" s="357"/>
      <c r="F75" s="357"/>
      <c r="G75" s="357"/>
      <c r="H75" s="357"/>
      <c r="I75" s="357"/>
      <c r="J75" s="357"/>
      <c r="K75" s="357"/>
      <c r="L75" s="357"/>
      <c r="M75" s="357"/>
      <c r="N75" s="357"/>
      <c r="O75" s="357"/>
      <c r="P75" s="357"/>
      <c r="Q75" s="357"/>
      <c r="R75" s="357"/>
      <c r="S75" s="393"/>
      <c r="T75" s="368"/>
      <c r="U75" s="357"/>
      <c r="V75" s="357"/>
      <c r="W75" s="357"/>
      <c r="X75" s="357"/>
      <c r="Y75" s="357"/>
      <c r="Z75" s="357"/>
      <c r="AA75" s="357"/>
      <c r="AB75" s="357"/>
      <c r="AC75" s="357"/>
      <c r="AD75" s="357"/>
      <c r="AE75" s="357"/>
      <c r="AF75" s="357"/>
      <c r="AG75" s="357"/>
      <c r="AH75" s="357"/>
      <c r="AI75" s="357"/>
      <c r="AJ75" s="357"/>
      <c r="AK75" s="357"/>
      <c r="AL75" s="393"/>
      <c r="AM75" s="368"/>
      <c r="AN75" s="357"/>
      <c r="AO75" s="357"/>
      <c r="AP75" s="357"/>
      <c r="AQ75" s="357"/>
      <c r="AR75" s="357"/>
      <c r="AS75" s="357"/>
      <c r="AT75" s="357"/>
      <c r="AU75" s="357"/>
      <c r="AV75" s="357"/>
      <c r="AW75" s="357"/>
      <c r="AX75" s="357"/>
      <c r="AY75" s="357"/>
      <c r="AZ75" s="357"/>
      <c r="BA75" s="357"/>
      <c r="BB75" s="357"/>
      <c r="BC75" s="357"/>
      <c r="BD75" s="357"/>
      <c r="BE75" s="393"/>
      <c r="BF75" s="368"/>
      <c r="BG75" s="357"/>
      <c r="BH75" s="357"/>
      <c r="BI75" s="357"/>
      <c r="BJ75" s="357"/>
      <c r="BK75" s="357"/>
      <c r="BL75" s="357"/>
      <c r="BM75" s="357"/>
      <c r="BN75" s="357"/>
      <c r="BO75" s="357"/>
      <c r="BP75" s="357"/>
      <c r="BQ75" s="357"/>
      <c r="BR75" s="357"/>
      <c r="BS75" s="357"/>
      <c r="BT75" s="357"/>
      <c r="BU75" s="357"/>
      <c r="BV75" s="357"/>
      <c r="BW75" s="357"/>
      <c r="BX75" s="393"/>
    </row>
    <row r="76" spans="1:76" x14ac:dyDescent="0.2">
      <c r="A76" s="368"/>
      <c r="B76" s="357"/>
      <c r="C76" s="357"/>
      <c r="D76" s="357"/>
      <c r="E76" s="357"/>
      <c r="F76" s="357"/>
      <c r="G76" s="357"/>
      <c r="H76" s="357"/>
      <c r="I76" s="357"/>
      <c r="J76" s="357"/>
      <c r="K76" s="357"/>
      <c r="L76" s="357"/>
      <c r="M76" s="357"/>
      <c r="N76" s="357"/>
      <c r="O76" s="357"/>
      <c r="P76" s="357"/>
      <c r="Q76" s="357"/>
      <c r="R76" s="357"/>
      <c r="S76" s="393"/>
      <c r="T76" s="368"/>
      <c r="U76" s="357"/>
      <c r="V76" s="357"/>
      <c r="W76" s="357"/>
      <c r="X76" s="357"/>
      <c r="Y76" s="357"/>
      <c r="Z76" s="357"/>
      <c r="AA76" s="357"/>
      <c r="AB76" s="357"/>
      <c r="AC76" s="357"/>
      <c r="AD76" s="357"/>
      <c r="AE76" s="357"/>
      <c r="AF76" s="357"/>
      <c r="AG76" s="357"/>
      <c r="AH76" s="357"/>
      <c r="AI76" s="357"/>
      <c r="AJ76" s="357"/>
      <c r="AK76" s="357"/>
      <c r="AL76" s="393"/>
      <c r="AM76" s="368"/>
      <c r="AN76" s="357"/>
      <c r="AO76" s="357"/>
      <c r="AP76" s="357"/>
      <c r="AQ76" s="357"/>
      <c r="AR76" s="357"/>
      <c r="AS76" s="357"/>
      <c r="AT76" s="357"/>
      <c r="AU76" s="357"/>
      <c r="AV76" s="357"/>
      <c r="AW76" s="357"/>
      <c r="AX76" s="357"/>
      <c r="AY76" s="357"/>
      <c r="AZ76" s="357"/>
      <c r="BA76" s="357"/>
      <c r="BB76" s="357"/>
      <c r="BC76" s="357"/>
      <c r="BD76" s="357"/>
      <c r="BE76" s="393"/>
      <c r="BF76" s="368"/>
      <c r="BG76" s="357"/>
      <c r="BH76" s="357"/>
      <c r="BI76" s="357"/>
      <c r="BJ76" s="357"/>
      <c r="BK76" s="357"/>
      <c r="BL76" s="357"/>
      <c r="BM76" s="357"/>
      <c r="BN76" s="357"/>
      <c r="BO76" s="357"/>
      <c r="BP76" s="357"/>
      <c r="BQ76" s="357"/>
      <c r="BR76" s="357"/>
      <c r="BS76" s="357"/>
      <c r="BT76" s="357"/>
      <c r="BU76" s="357"/>
      <c r="BV76" s="357"/>
      <c r="BW76" s="357"/>
      <c r="BX76" s="393"/>
    </row>
    <row r="77" spans="1:76" x14ac:dyDescent="0.2">
      <c r="A77" s="368"/>
      <c r="B77" s="357"/>
      <c r="C77" s="357"/>
      <c r="D77" s="357"/>
      <c r="E77" s="357"/>
      <c r="F77" s="357"/>
      <c r="G77" s="357"/>
      <c r="H77" s="357"/>
      <c r="I77" s="357"/>
      <c r="J77" s="357"/>
      <c r="K77" s="357"/>
      <c r="L77" s="357"/>
      <c r="M77" s="357"/>
      <c r="N77" s="357"/>
      <c r="O77" s="357"/>
      <c r="P77" s="357"/>
      <c r="Q77" s="357"/>
      <c r="R77" s="357"/>
      <c r="S77" s="393"/>
      <c r="T77" s="368"/>
      <c r="U77" s="357"/>
      <c r="V77" s="357"/>
      <c r="W77" s="357"/>
      <c r="X77" s="357"/>
      <c r="Y77" s="357"/>
      <c r="Z77" s="357"/>
      <c r="AA77" s="357"/>
      <c r="AB77" s="357"/>
      <c r="AC77" s="357"/>
      <c r="AD77" s="357"/>
      <c r="AE77" s="357"/>
      <c r="AF77" s="357"/>
      <c r="AG77" s="357"/>
      <c r="AH77" s="357"/>
      <c r="AI77" s="357"/>
      <c r="AJ77" s="357"/>
      <c r="AK77" s="357"/>
      <c r="AL77" s="393"/>
      <c r="AM77" s="368"/>
      <c r="AN77" s="357"/>
      <c r="AO77" s="357"/>
      <c r="AP77" s="357"/>
      <c r="AQ77" s="357"/>
      <c r="AR77" s="357"/>
      <c r="AS77" s="357"/>
      <c r="AT77" s="357"/>
      <c r="AU77" s="357"/>
      <c r="AV77" s="357"/>
      <c r="AW77" s="357"/>
      <c r="AX77" s="357"/>
      <c r="AY77" s="357"/>
      <c r="AZ77" s="357"/>
      <c r="BA77" s="357"/>
      <c r="BB77" s="357"/>
      <c r="BC77" s="357"/>
      <c r="BD77" s="357"/>
      <c r="BE77" s="393"/>
      <c r="BF77" s="368"/>
      <c r="BG77" s="357"/>
      <c r="BH77" s="357"/>
      <c r="BI77" s="357"/>
      <c r="BJ77" s="357"/>
      <c r="BK77" s="357"/>
      <c r="BL77" s="357"/>
      <c r="BM77" s="357"/>
      <c r="BN77" s="357"/>
      <c r="BO77" s="357"/>
      <c r="BP77" s="357"/>
      <c r="BQ77" s="357"/>
      <c r="BR77" s="357"/>
      <c r="BS77" s="357"/>
      <c r="BT77" s="357"/>
      <c r="BU77" s="357"/>
      <c r="BV77" s="357"/>
      <c r="BW77" s="357"/>
      <c r="BX77" s="393"/>
    </row>
    <row r="78" spans="1:76" x14ac:dyDescent="0.2">
      <c r="A78" s="368"/>
      <c r="B78" s="357"/>
      <c r="C78" s="357"/>
      <c r="D78" s="357"/>
      <c r="E78" s="357"/>
      <c r="F78" s="357"/>
      <c r="G78" s="357"/>
      <c r="H78" s="357"/>
      <c r="I78" s="357"/>
      <c r="J78" s="357"/>
      <c r="K78" s="357"/>
      <c r="L78" s="357"/>
      <c r="M78" s="357"/>
      <c r="N78" s="357"/>
      <c r="O78" s="357"/>
      <c r="P78" s="357"/>
      <c r="Q78" s="357"/>
      <c r="R78" s="357"/>
      <c r="S78" s="393"/>
      <c r="T78" s="368"/>
      <c r="U78" s="357"/>
      <c r="V78" s="357"/>
      <c r="W78" s="357"/>
      <c r="X78" s="357"/>
      <c r="Y78" s="357"/>
      <c r="Z78" s="357"/>
      <c r="AA78" s="357"/>
      <c r="AB78" s="357"/>
      <c r="AC78" s="357"/>
      <c r="AD78" s="357"/>
      <c r="AE78" s="357"/>
      <c r="AF78" s="357"/>
      <c r="AG78" s="357"/>
      <c r="AH78" s="357"/>
      <c r="AI78" s="357"/>
      <c r="AJ78" s="357"/>
      <c r="AK78" s="357"/>
      <c r="AL78" s="393"/>
      <c r="AM78" s="368"/>
      <c r="AN78" s="357"/>
      <c r="AO78" s="357"/>
      <c r="AP78" s="357"/>
      <c r="AQ78" s="357"/>
      <c r="AR78" s="357"/>
      <c r="AS78" s="357"/>
      <c r="AT78" s="357"/>
      <c r="AU78" s="357"/>
      <c r="AV78" s="357"/>
      <c r="AW78" s="357"/>
      <c r="AX78" s="357"/>
      <c r="AY78" s="357"/>
      <c r="AZ78" s="357"/>
      <c r="BA78" s="357"/>
      <c r="BB78" s="357"/>
      <c r="BC78" s="357"/>
      <c r="BD78" s="357"/>
      <c r="BE78" s="393"/>
      <c r="BF78" s="368"/>
      <c r="BG78" s="357"/>
      <c r="BH78" s="357"/>
      <c r="BI78" s="357"/>
      <c r="BJ78" s="357"/>
      <c r="BK78" s="357"/>
      <c r="BL78" s="357"/>
      <c r="BM78" s="357"/>
      <c r="BN78" s="357"/>
      <c r="BO78" s="357"/>
      <c r="BP78" s="357"/>
      <c r="BQ78" s="357"/>
      <c r="BR78" s="357"/>
      <c r="BS78" s="357"/>
      <c r="BT78" s="357"/>
      <c r="BU78" s="357"/>
      <c r="BV78" s="357"/>
      <c r="BW78" s="357"/>
      <c r="BX78" s="393"/>
    </row>
    <row r="79" spans="1:76" x14ac:dyDescent="0.2">
      <c r="A79" s="368"/>
      <c r="B79" s="357"/>
      <c r="C79" s="357"/>
      <c r="D79" s="357"/>
      <c r="E79" s="357"/>
      <c r="F79" s="357"/>
      <c r="G79" s="357"/>
      <c r="H79" s="357"/>
      <c r="I79" s="357"/>
      <c r="J79" s="357"/>
      <c r="K79" s="357"/>
      <c r="L79" s="357"/>
      <c r="M79" s="357"/>
      <c r="N79" s="357"/>
      <c r="O79" s="357"/>
      <c r="P79" s="357"/>
      <c r="Q79" s="357"/>
      <c r="R79" s="357"/>
      <c r="S79" s="393"/>
      <c r="T79" s="368"/>
      <c r="U79" s="357"/>
      <c r="V79" s="357"/>
      <c r="W79" s="357"/>
      <c r="X79" s="357"/>
      <c r="Y79" s="357"/>
      <c r="Z79" s="357"/>
      <c r="AA79" s="357"/>
      <c r="AB79" s="357"/>
      <c r="AC79" s="357"/>
      <c r="AD79" s="357"/>
      <c r="AE79" s="357"/>
      <c r="AF79" s="357"/>
      <c r="AG79" s="357"/>
      <c r="AH79" s="357"/>
      <c r="AI79" s="357"/>
      <c r="AJ79" s="357"/>
      <c r="AK79" s="357"/>
      <c r="AL79" s="393"/>
      <c r="AM79" s="368"/>
      <c r="AN79" s="357"/>
      <c r="AO79" s="357"/>
      <c r="AP79" s="357"/>
      <c r="AQ79" s="357"/>
      <c r="AR79" s="357"/>
      <c r="AS79" s="357"/>
      <c r="AT79" s="357"/>
      <c r="AU79" s="357"/>
      <c r="AV79" s="357"/>
      <c r="AW79" s="357"/>
      <c r="AX79" s="357"/>
      <c r="AY79" s="357"/>
      <c r="AZ79" s="357"/>
      <c r="BA79" s="357"/>
      <c r="BB79" s="357"/>
      <c r="BC79" s="357"/>
      <c r="BD79" s="357"/>
      <c r="BE79" s="393"/>
      <c r="BF79" s="368"/>
      <c r="BG79" s="357"/>
      <c r="BH79" s="357"/>
      <c r="BI79" s="357"/>
      <c r="BJ79" s="357"/>
      <c r="BK79" s="357"/>
      <c r="BL79" s="357"/>
      <c r="BM79" s="357"/>
      <c r="BN79" s="357"/>
      <c r="BO79" s="357"/>
      <c r="BP79" s="357"/>
      <c r="BQ79" s="357"/>
      <c r="BR79" s="357"/>
      <c r="BS79" s="357"/>
      <c r="BT79" s="357"/>
      <c r="BU79" s="357"/>
      <c r="BV79" s="357"/>
      <c r="BW79" s="357"/>
      <c r="BX79" s="393"/>
    </row>
    <row r="80" spans="1:76" x14ac:dyDescent="0.2">
      <c r="A80" s="368"/>
      <c r="B80" s="357"/>
      <c r="C80" s="357"/>
      <c r="D80" s="357"/>
      <c r="E80" s="357"/>
      <c r="F80" s="357"/>
      <c r="G80" s="357"/>
      <c r="H80" s="357"/>
      <c r="I80" s="357"/>
      <c r="J80" s="357"/>
      <c r="K80" s="357"/>
      <c r="L80" s="357"/>
      <c r="M80" s="357"/>
      <c r="N80" s="357"/>
      <c r="O80" s="357"/>
      <c r="P80" s="357"/>
      <c r="Q80" s="357"/>
      <c r="R80" s="357"/>
      <c r="S80" s="393"/>
      <c r="T80" s="368"/>
      <c r="U80" s="357"/>
      <c r="V80" s="357"/>
      <c r="W80" s="357"/>
      <c r="X80" s="357"/>
      <c r="Y80" s="357"/>
      <c r="Z80" s="357"/>
      <c r="AA80" s="357"/>
      <c r="AB80" s="357"/>
      <c r="AC80" s="357"/>
      <c r="AD80" s="357"/>
      <c r="AE80" s="357"/>
      <c r="AF80" s="357"/>
      <c r="AG80" s="357"/>
      <c r="AH80" s="357"/>
      <c r="AI80" s="357"/>
      <c r="AJ80" s="357"/>
      <c r="AK80" s="357"/>
      <c r="AL80" s="393"/>
      <c r="AM80" s="368"/>
      <c r="AN80" s="357"/>
      <c r="AO80" s="357"/>
      <c r="AP80" s="357"/>
      <c r="AQ80" s="357"/>
      <c r="AR80" s="357"/>
      <c r="AS80" s="357"/>
      <c r="AT80" s="357"/>
      <c r="AU80" s="357"/>
      <c r="AV80" s="357"/>
      <c r="AW80" s="357"/>
      <c r="AX80" s="357"/>
      <c r="AY80" s="357"/>
      <c r="AZ80" s="357"/>
      <c r="BA80" s="357"/>
      <c r="BB80" s="357"/>
      <c r="BC80" s="357"/>
      <c r="BD80" s="357"/>
      <c r="BE80" s="393"/>
      <c r="BF80" s="368"/>
      <c r="BG80" s="357"/>
      <c r="BH80" s="357"/>
      <c r="BI80" s="357"/>
      <c r="BJ80" s="357"/>
      <c r="BK80" s="357"/>
      <c r="BL80" s="357"/>
      <c r="BM80" s="357"/>
      <c r="BN80" s="357"/>
      <c r="BO80" s="357"/>
      <c r="BP80" s="357"/>
      <c r="BQ80" s="357"/>
      <c r="BR80" s="357"/>
      <c r="BS80" s="357"/>
      <c r="BT80" s="357"/>
      <c r="BU80" s="357"/>
      <c r="BV80" s="357"/>
      <c r="BW80" s="357"/>
      <c r="BX80" s="393"/>
    </row>
    <row r="81" spans="1:76" x14ac:dyDescent="0.2">
      <c r="A81" s="368"/>
      <c r="B81" s="357"/>
      <c r="C81" s="357"/>
      <c r="D81" s="357"/>
      <c r="E81" s="357"/>
      <c r="F81" s="357"/>
      <c r="G81" s="357"/>
      <c r="H81" s="357"/>
      <c r="I81" s="357"/>
      <c r="J81" s="357"/>
      <c r="K81" s="357"/>
      <c r="L81" s="357"/>
      <c r="M81" s="357"/>
      <c r="N81" s="357"/>
      <c r="O81" s="357"/>
      <c r="P81" s="357"/>
      <c r="Q81" s="357"/>
      <c r="R81" s="357"/>
      <c r="S81" s="393"/>
      <c r="T81" s="368"/>
      <c r="U81" s="357"/>
      <c r="V81" s="357"/>
      <c r="W81" s="357"/>
      <c r="X81" s="357"/>
      <c r="Y81" s="357"/>
      <c r="Z81" s="357"/>
      <c r="AA81" s="357"/>
      <c r="AB81" s="357"/>
      <c r="AC81" s="357"/>
      <c r="AD81" s="357"/>
      <c r="AE81" s="357"/>
      <c r="AF81" s="357"/>
      <c r="AG81" s="357"/>
      <c r="AH81" s="357"/>
      <c r="AI81" s="357"/>
      <c r="AJ81" s="357"/>
      <c r="AK81" s="357"/>
      <c r="AL81" s="393"/>
      <c r="AM81" s="368"/>
      <c r="AN81" s="357"/>
      <c r="AO81" s="357"/>
      <c r="AP81" s="357"/>
      <c r="AQ81" s="357"/>
      <c r="AR81" s="357"/>
      <c r="AS81" s="357"/>
      <c r="AT81" s="357"/>
      <c r="AU81" s="357"/>
      <c r="AV81" s="357"/>
      <c r="AW81" s="357"/>
      <c r="AX81" s="357"/>
      <c r="AY81" s="357"/>
      <c r="AZ81" s="357"/>
      <c r="BA81" s="357"/>
      <c r="BB81" s="357"/>
      <c r="BC81" s="357"/>
      <c r="BD81" s="357"/>
      <c r="BE81" s="393"/>
      <c r="BF81" s="368"/>
      <c r="BG81" s="357"/>
      <c r="BH81" s="357"/>
      <c r="BI81" s="357"/>
      <c r="BJ81" s="357"/>
      <c r="BK81" s="357"/>
      <c r="BL81" s="357"/>
      <c r="BM81" s="357"/>
      <c r="BN81" s="357"/>
      <c r="BO81" s="357"/>
      <c r="BP81" s="357"/>
      <c r="BQ81" s="357"/>
      <c r="BR81" s="357"/>
      <c r="BS81" s="357"/>
      <c r="BT81" s="357"/>
      <c r="BU81" s="357"/>
      <c r="BV81" s="357"/>
      <c r="BW81" s="357"/>
      <c r="BX81" s="393"/>
    </row>
    <row r="82" spans="1:76" x14ac:dyDescent="0.2">
      <c r="A82" s="368"/>
      <c r="B82" s="357"/>
      <c r="C82" s="357"/>
      <c r="D82" s="357"/>
      <c r="E82" s="357"/>
      <c r="F82" s="357"/>
      <c r="G82" s="357"/>
      <c r="H82" s="357"/>
      <c r="I82" s="357"/>
      <c r="J82" s="357"/>
      <c r="K82" s="357"/>
      <c r="L82" s="357"/>
      <c r="M82" s="357"/>
      <c r="N82" s="357"/>
      <c r="O82" s="357"/>
      <c r="P82" s="357"/>
      <c r="Q82" s="357"/>
      <c r="R82" s="357"/>
      <c r="S82" s="393"/>
      <c r="T82" s="368"/>
      <c r="U82" s="357"/>
      <c r="V82" s="357"/>
      <c r="W82" s="357"/>
      <c r="X82" s="357"/>
      <c r="Y82" s="357"/>
      <c r="Z82" s="357"/>
      <c r="AA82" s="357"/>
      <c r="AB82" s="357"/>
      <c r="AC82" s="357"/>
      <c r="AD82" s="357"/>
      <c r="AE82" s="357"/>
      <c r="AF82" s="357"/>
      <c r="AG82" s="357"/>
      <c r="AH82" s="357"/>
      <c r="AI82" s="357"/>
      <c r="AJ82" s="357"/>
      <c r="AK82" s="357"/>
      <c r="AL82" s="393"/>
      <c r="AM82" s="368"/>
      <c r="AN82" s="357"/>
      <c r="AO82" s="357"/>
      <c r="AP82" s="357"/>
      <c r="AQ82" s="357"/>
      <c r="AR82" s="357"/>
      <c r="AS82" s="357"/>
      <c r="AT82" s="357"/>
      <c r="AU82" s="357"/>
      <c r="AV82" s="357"/>
      <c r="AW82" s="357"/>
      <c r="AX82" s="357"/>
      <c r="AY82" s="357"/>
      <c r="AZ82" s="357"/>
      <c r="BA82" s="357"/>
      <c r="BB82" s="357"/>
      <c r="BC82" s="357"/>
      <c r="BD82" s="357"/>
      <c r="BE82" s="393"/>
      <c r="BF82" s="368"/>
      <c r="BG82" s="357"/>
      <c r="BH82" s="357"/>
      <c r="BI82" s="357"/>
      <c r="BJ82" s="357"/>
      <c r="BK82" s="357"/>
      <c r="BL82" s="357"/>
      <c r="BM82" s="357"/>
      <c r="BN82" s="357"/>
      <c r="BO82" s="357"/>
      <c r="BP82" s="357"/>
      <c r="BQ82" s="357"/>
      <c r="BR82" s="357"/>
      <c r="BS82" s="357"/>
      <c r="BT82" s="357"/>
      <c r="BU82" s="357"/>
      <c r="BV82" s="357"/>
      <c r="BW82" s="357"/>
      <c r="BX82" s="393"/>
    </row>
    <row r="83" spans="1:76" x14ac:dyDescent="0.2">
      <c r="A83" s="368"/>
      <c r="B83" s="357"/>
      <c r="C83" s="357"/>
      <c r="D83" s="357"/>
      <c r="E83" s="357"/>
      <c r="F83" s="357"/>
      <c r="G83" s="357"/>
      <c r="H83" s="357"/>
      <c r="I83" s="357"/>
      <c r="J83" s="357"/>
      <c r="K83" s="357"/>
      <c r="L83" s="357"/>
      <c r="M83" s="357"/>
      <c r="N83" s="357"/>
      <c r="O83" s="357"/>
      <c r="P83" s="357"/>
      <c r="Q83" s="357"/>
      <c r="R83" s="357"/>
      <c r="S83" s="393"/>
      <c r="T83" s="368"/>
      <c r="U83" s="357"/>
      <c r="V83" s="357"/>
      <c r="W83" s="357"/>
      <c r="X83" s="357"/>
      <c r="Y83" s="357"/>
      <c r="Z83" s="357"/>
      <c r="AA83" s="357"/>
      <c r="AB83" s="357"/>
      <c r="AC83" s="357"/>
      <c r="AD83" s="357"/>
      <c r="AE83" s="357"/>
      <c r="AF83" s="357"/>
      <c r="AG83" s="357"/>
      <c r="AH83" s="357"/>
      <c r="AI83" s="357"/>
      <c r="AJ83" s="357"/>
      <c r="AK83" s="357"/>
      <c r="AL83" s="393"/>
      <c r="AM83" s="368"/>
      <c r="AN83" s="357"/>
      <c r="AO83" s="357"/>
      <c r="AP83" s="357"/>
      <c r="AQ83" s="357"/>
      <c r="AR83" s="357"/>
      <c r="AS83" s="357"/>
      <c r="AT83" s="357"/>
      <c r="AU83" s="357"/>
      <c r="AV83" s="357"/>
      <c r="AW83" s="357"/>
      <c r="AX83" s="357"/>
      <c r="AY83" s="357"/>
      <c r="AZ83" s="357"/>
      <c r="BA83" s="357"/>
      <c r="BB83" s="357"/>
      <c r="BC83" s="357"/>
      <c r="BD83" s="357"/>
      <c r="BE83" s="393"/>
      <c r="BF83" s="368"/>
      <c r="BG83" s="357"/>
      <c r="BH83" s="357"/>
      <c r="BI83" s="357"/>
      <c r="BJ83" s="357"/>
      <c r="BK83" s="357"/>
      <c r="BL83" s="357"/>
      <c r="BM83" s="357"/>
      <c r="BN83" s="357"/>
      <c r="BO83" s="357"/>
      <c r="BP83" s="357"/>
      <c r="BQ83" s="357"/>
      <c r="BR83" s="357"/>
      <c r="BS83" s="357"/>
      <c r="BT83" s="357"/>
      <c r="BU83" s="357"/>
      <c r="BV83" s="357"/>
      <c r="BW83" s="357"/>
      <c r="BX83" s="393"/>
    </row>
    <row r="84" spans="1:76" x14ac:dyDescent="0.2">
      <c r="A84" s="368"/>
      <c r="B84" s="357"/>
      <c r="C84" s="357"/>
      <c r="D84" s="357"/>
      <c r="E84" s="357"/>
      <c r="F84" s="357"/>
      <c r="G84" s="357"/>
      <c r="H84" s="357"/>
      <c r="I84" s="357"/>
      <c r="J84" s="357"/>
      <c r="K84" s="357"/>
      <c r="L84" s="357"/>
      <c r="M84" s="357"/>
      <c r="N84" s="357"/>
      <c r="O84" s="357"/>
      <c r="P84" s="357"/>
      <c r="Q84" s="357"/>
      <c r="R84" s="357"/>
      <c r="S84" s="393"/>
      <c r="T84" s="368"/>
      <c r="U84" s="357"/>
      <c r="V84" s="357"/>
      <c r="W84" s="357"/>
      <c r="X84" s="357"/>
      <c r="Y84" s="357"/>
      <c r="Z84" s="357"/>
      <c r="AA84" s="357"/>
      <c r="AB84" s="357"/>
      <c r="AC84" s="357"/>
      <c r="AD84" s="357"/>
      <c r="AE84" s="357"/>
      <c r="AF84" s="357"/>
      <c r="AG84" s="357"/>
      <c r="AH84" s="357"/>
      <c r="AI84" s="357"/>
      <c r="AJ84" s="357"/>
      <c r="AK84" s="357"/>
      <c r="AL84" s="393"/>
      <c r="AM84" s="368"/>
      <c r="AN84" s="357"/>
      <c r="AO84" s="357"/>
      <c r="AP84" s="357"/>
      <c r="AQ84" s="357"/>
      <c r="AR84" s="357"/>
      <c r="AS84" s="357"/>
      <c r="AT84" s="357"/>
      <c r="AU84" s="357"/>
      <c r="AV84" s="357"/>
      <c r="AW84" s="357"/>
      <c r="AX84" s="357"/>
      <c r="AY84" s="357"/>
      <c r="AZ84" s="357"/>
      <c r="BA84" s="357"/>
      <c r="BB84" s="357"/>
      <c r="BC84" s="357"/>
      <c r="BD84" s="357"/>
      <c r="BE84" s="393"/>
      <c r="BF84" s="368"/>
      <c r="BG84" s="357"/>
      <c r="BH84" s="357"/>
      <c r="BI84" s="357"/>
      <c r="BJ84" s="357"/>
      <c r="BK84" s="357"/>
      <c r="BL84" s="357"/>
      <c r="BM84" s="357"/>
      <c r="BN84" s="357"/>
      <c r="BO84" s="357"/>
      <c r="BP84" s="357"/>
      <c r="BQ84" s="357"/>
      <c r="BR84" s="357"/>
      <c r="BS84" s="357"/>
      <c r="BT84" s="357"/>
      <c r="BU84" s="357"/>
      <c r="BV84" s="357"/>
      <c r="BW84" s="357"/>
      <c r="BX84" s="393"/>
    </row>
    <row r="85" spans="1:76" x14ac:dyDescent="0.2">
      <c r="A85" s="368"/>
      <c r="B85" s="357"/>
      <c r="C85" s="357"/>
      <c r="D85" s="357"/>
      <c r="E85" s="357"/>
      <c r="F85" s="357"/>
      <c r="G85" s="357"/>
      <c r="H85" s="357"/>
      <c r="I85" s="357"/>
      <c r="J85" s="357"/>
      <c r="K85" s="357"/>
      <c r="L85" s="357"/>
      <c r="M85" s="357"/>
      <c r="N85" s="357"/>
      <c r="O85" s="357"/>
      <c r="P85" s="357"/>
      <c r="Q85" s="357"/>
      <c r="R85" s="357"/>
      <c r="S85" s="393"/>
      <c r="T85" s="368"/>
      <c r="U85" s="357"/>
      <c r="V85" s="357"/>
      <c r="W85" s="357"/>
      <c r="X85" s="357"/>
      <c r="Y85" s="357"/>
      <c r="Z85" s="357"/>
      <c r="AA85" s="357"/>
      <c r="AB85" s="357"/>
      <c r="AC85" s="357"/>
      <c r="AD85" s="357"/>
      <c r="AE85" s="357"/>
      <c r="AF85" s="357"/>
      <c r="AG85" s="357"/>
      <c r="AH85" s="357"/>
      <c r="AI85" s="357"/>
      <c r="AJ85" s="357"/>
      <c r="AK85" s="357"/>
      <c r="AL85" s="393"/>
      <c r="AM85" s="368"/>
      <c r="AN85" s="357"/>
      <c r="AO85" s="357"/>
      <c r="AP85" s="357"/>
      <c r="AQ85" s="357"/>
      <c r="AR85" s="357"/>
      <c r="AS85" s="357"/>
      <c r="AT85" s="357"/>
      <c r="AU85" s="357"/>
      <c r="AV85" s="357"/>
      <c r="AW85" s="357"/>
      <c r="AX85" s="357"/>
      <c r="AY85" s="357"/>
      <c r="AZ85" s="357"/>
      <c r="BA85" s="357"/>
      <c r="BB85" s="357"/>
      <c r="BC85" s="357"/>
      <c r="BD85" s="357"/>
      <c r="BE85" s="393"/>
      <c r="BF85" s="368"/>
      <c r="BG85" s="357"/>
      <c r="BH85" s="357"/>
      <c r="BI85" s="357"/>
      <c r="BJ85" s="357"/>
      <c r="BK85" s="357"/>
      <c r="BL85" s="357"/>
      <c r="BM85" s="357"/>
      <c r="BN85" s="357"/>
      <c r="BO85" s="357"/>
      <c r="BP85" s="357"/>
      <c r="BQ85" s="357"/>
      <c r="BR85" s="357"/>
      <c r="BS85" s="357"/>
      <c r="BT85" s="357"/>
      <c r="BU85" s="357"/>
      <c r="BV85" s="357"/>
      <c r="BW85" s="357"/>
      <c r="BX85" s="393"/>
    </row>
    <row r="86" spans="1:76" x14ac:dyDescent="0.2">
      <c r="A86" s="368"/>
      <c r="B86" s="357"/>
      <c r="C86" s="357"/>
      <c r="D86" s="357"/>
      <c r="E86" s="357"/>
      <c r="F86" s="357"/>
      <c r="G86" s="357"/>
      <c r="H86" s="357"/>
      <c r="I86" s="357"/>
      <c r="J86" s="357"/>
      <c r="K86" s="357"/>
      <c r="L86" s="357"/>
      <c r="M86" s="357"/>
      <c r="N86" s="357"/>
      <c r="O86" s="357"/>
      <c r="P86" s="357"/>
      <c r="Q86" s="357"/>
      <c r="R86" s="357"/>
      <c r="S86" s="393"/>
      <c r="T86" s="368"/>
      <c r="U86" s="357"/>
      <c r="V86" s="357"/>
      <c r="W86" s="357"/>
      <c r="X86" s="357"/>
      <c r="Y86" s="357"/>
      <c r="Z86" s="357"/>
      <c r="AA86" s="357"/>
      <c r="AB86" s="357"/>
      <c r="AC86" s="357"/>
      <c r="AD86" s="357"/>
      <c r="AE86" s="357"/>
      <c r="AF86" s="357"/>
      <c r="AG86" s="357"/>
      <c r="AH86" s="357"/>
      <c r="AI86" s="357"/>
      <c r="AJ86" s="357"/>
      <c r="AK86" s="357"/>
      <c r="AL86" s="393"/>
      <c r="AM86" s="368"/>
      <c r="AN86" s="357"/>
      <c r="AO86" s="357"/>
      <c r="AP86" s="357"/>
      <c r="AQ86" s="357"/>
      <c r="AR86" s="357"/>
      <c r="AS86" s="357"/>
      <c r="AT86" s="357"/>
      <c r="AU86" s="357"/>
      <c r="AV86" s="357"/>
      <c r="AW86" s="357"/>
      <c r="AX86" s="357"/>
      <c r="AY86" s="357"/>
      <c r="AZ86" s="357"/>
      <c r="BA86" s="357"/>
      <c r="BB86" s="357"/>
      <c r="BC86" s="357"/>
      <c r="BD86" s="357"/>
      <c r="BE86" s="393"/>
      <c r="BF86" s="368"/>
      <c r="BG86" s="357"/>
      <c r="BH86" s="357"/>
      <c r="BI86" s="357"/>
      <c r="BJ86" s="357"/>
      <c r="BK86" s="357"/>
      <c r="BL86" s="357"/>
      <c r="BM86" s="357"/>
      <c r="BN86" s="357"/>
      <c r="BO86" s="357"/>
      <c r="BP86" s="357"/>
      <c r="BQ86" s="357"/>
      <c r="BR86" s="357"/>
      <c r="BS86" s="357"/>
      <c r="BT86" s="357"/>
      <c r="BU86" s="357"/>
      <c r="BV86" s="357"/>
      <c r="BW86" s="357"/>
      <c r="BX86" s="393"/>
    </row>
    <row r="87" spans="1:76" x14ac:dyDescent="0.2">
      <c r="A87" s="368"/>
      <c r="B87" s="357"/>
      <c r="C87" s="357"/>
      <c r="D87" s="357"/>
      <c r="E87" s="357"/>
      <c r="F87" s="357"/>
      <c r="G87" s="357"/>
      <c r="H87" s="357"/>
      <c r="I87" s="357"/>
      <c r="J87" s="357"/>
      <c r="K87" s="357"/>
      <c r="L87" s="357"/>
      <c r="M87" s="357"/>
      <c r="N87" s="357"/>
      <c r="O87" s="357"/>
      <c r="P87" s="357"/>
      <c r="Q87" s="357"/>
      <c r="R87" s="357"/>
      <c r="S87" s="393"/>
      <c r="T87" s="368"/>
      <c r="U87" s="357"/>
      <c r="V87" s="357"/>
      <c r="W87" s="357"/>
      <c r="X87" s="357"/>
      <c r="Y87" s="357"/>
      <c r="Z87" s="357"/>
      <c r="AA87" s="357"/>
      <c r="AB87" s="357"/>
      <c r="AC87" s="357"/>
      <c r="AD87" s="357"/>
      <c r="AE87" s="357"/>
      <c r="AF87" s="357"/>
      <c r="AG87" s="357"/>
      <c r="AH87" s="357"/>
      <c r="AI87" s="357"/>
      <c r="AJ87" s="357"/>
      <c r="AK87" s="357"/>
      <c r="AL87" s="393"/>
      <c r="AM87" s="368"/>
      <c r="AN87" s="357"/>
      <c r="AO87" s="357"/>
      <c r="AP87" s="357"/>
      <c r="AQ87" s="357"/>
      <c r="AR87" s="357"/>
      <c r="AS87" s="357"/>
      <c r="AT87" s="357"/>
      <c r="AU87" s="357"/>
      <c r="AV87" s="357"/>
      <c r="AW87" s="357"/>
      <c r="AX87" s="357"/>
      <c r="AY87" s="357"/>
      <c r="AZ87" s="357"/>
      <c r="BA87" s="357"/>
      <c r="BB87" s="357"/>
      <c r="BC87" s="357"/>
      <c r="BD87" s="357"/>
      <c r="BE87" s="393"/>
      <c r="BF87" s="368"/>
      <c r="BG87" s="357"/>
      <c r="BH87" s="357"/>
      <c r="BI87" s="357"/>
      <c r="BJ87" s="357"/>
      <c r="BK87" s="357"/>
      <c r="BL87" s="357"/>
      <c r="BM87" s="357"/>
      <c r="BN87" s="357"/>
      <c r="BO87" s="357"/>
      <c r="BP87" s="357"/>
      <c r="BQ87" s="357"/>
      <c r="BR87" s="357"/>
      <c r="BS87" s="357"/>
      <c r="BT87" s="357"/>
      <c r="BU87" s="357"/>
      <c r="BV87" s="357"/>
      <c r="BW87" s="357"/>
      <c r="BX87" s="393"/>
    </row>
    <row r="88" spans="1:76" x14ac:dyDescent="0.2">
      <c r="A88" s="368"/>
      <c r="B88" s="357"/>
      <c r="C88" s="357"/>
      <c r="D88" s="357"/>
      <c r="E88" s="357"/>
      <c r="F88" s="357"/>
      <c r="G88" s="357"/>
      <c r="H88" s="357"/>
      <c r="I88" s="357"/>
      <c r="J88" s="357"/>
      <c r="K88" s="357"/>
      <c r="L88" s="357"/>
      <c r="M88" s="357"/>
      <c r="N88" s="357"/>
      <c r="O88" s="357"/>
      <c r="P88" s="357"/>
      <c r="Q88" s="357"/>
      <c r="R88" s="357"/>
      <c r="S88" s="393"/>
      <c r="T88" s="368"/>
      <c r="U88" s="357"/>
      <c r="V88" s="357"/>
      <c r="W88" s="357"/>
      <c r="X88" s="357"/>
      <c r="Y88" s="357"/>
      <c r="Z88" s="357"/>
      <c r="AA88" s="357"/>
      <c r="AB88" s="357"/>
      <c r="AC88" s="357"/>
      <c r="AD88" s="357"/>
      <c r="AE88" s="357"/>
      <c r="AF88" s="357"/>
      <c r="AG88" s="357"/>
      <c r="AH88" s="357"/>
      <c r="AI88" s="357"/>
      <c r="AJ88" s="357"/>
      <c r="AK88" s="357"/>
      <c r="AL88" s="393"/>
      <c r="AM88" s="368"/>
      <c r="AN88" s="357"/>
      <c r="AO88" s="357"/>
      <c r="AP88" s="357"/>
      <c r="AQ88" s="357"/>
      <c r="AR88" s="357"/>
      <c r="AS88" s="357"/>
      <c r="AT88" s="357"/>
      <c r="AU88" s="357"/>
      <c r="AV88" s="357"/>
      <c r="AW88" s="357"/>
      <c r="AX88" s="357"/>
      <c r="AY88" s="357"/>
      <c r="AZ88" s="357"/>
      <c r="BA88" s="357"/>
      <c r="BB88" s="357"/>
      <c r="BC88" s="357"/>
      <c r="BD88" s="357"/>
      <c r="BE88" s="393"/>
      <c r="BF88" s="368"/>
      <c r="BG88" s="357"/>
      <c r="BH88" s="357"/>
      <c r="BI88" s="357"/>
      <c r="BJ88" s="357"/>
      <c r="BK88" s="357"/>
      <c r="BL88" s="357"/>
      <c r="BM88" s="357"/>
      <c r="BN88" s="357"/>
      <c r="BO88" s="357"/>
      <c r="BP88" s="357"/>
      <c r="BQ88" s="357"/>
      <c r="BR88" s="357"/>
      <c r="BS88" s="357"/>
      <c r="BT88" s="357"/>
      <c r="BU88" s="357"/>
      <c r="BV88" s="357"/>
      <c r="BW88" s="357"/>
      <c r="BX88" s="393"/>
    </row>
    <row r="89" spans="1:76" x14ac:dyDescent="0.2">
      <c r="A89" s="368"/>
      <c r="B89" s="357"/>
      <c r="C89" s="357"/>
      <c r="D89" s="357"/>
      <c r="E89" s="357"/>
      <c r="F89" s="357"/>
      <c r="G89" s="357"/>
      <c r="H89" s="357"/>
      <c r="I89" s="357"/>
      <c r="J89" s="357"/>
      <c r="K89" s="357"/>
      <c r="L89" s="357"/>
      <c r="M89" s="357"/>
      <c r="N89" s="357"/>
      <c r="O89" s="357"/>
      <c r="P89" s="357"/>
      <c r="Q89" s="357"/>
      <c r="R89" s="357"/>
      <c r="S89" s="393"/>
      <c r="T89" s="368"/>
      <c r="U89" s="357"/>
      <c r="V89" s="357"/>
      <c r="W89" s="357"/>
      <c r="X89" s="357"/>
      <c r="Y89" s="357"/>
      <c r="Z89" s="357"/>
      <c r="AA89" s="357"/>
      <c r="AB89" s="357"/>
      <c r="AC89" s="357"/>
      <c r="AD89" s="357"/>
      <c r="AE89" s="357"/>
      <c r="AF89" s="357"/>
      <c r="AG89" s="357"/>
      <c r="AH89" s="357"/>
      <c r="AI89" s="357"/>
      <c r="AJ89" s="357"/>
      <c r="AK89" s="357"/>
      <c r="AL89" s="393"/>
      <c r="AM89" s="368"/>
      <c r="AN89" s="357"/>
      <c r="AO89" s="357"/>
      <c r="AP89" s="357"/>
      <c r="AQ89" s="357"/>
      <c r="AR89" s="357"/>
      <c r="AS89" s="357"/>
      <c r="AT89" s="357"/>
      <c r="AU89" s="357"/>
      <c r="AV89" s="357"/>
      <c r="AW89" s="357"/>
      <c r="AX89" s="357"/>
      <c r="AY89" s="357"/>
      <c r="AZ89" s="357"/>
      <c r="BA89" s="357"/>
      <c r="BB89" s="357"/>
      <c r="BC89" s="357"/>
      <c r="BD89" s="357"/>
      <c r="BE89" s="393"/>
      <c r="BF89" s="368"/>
      <c r="BG89" s="357"/>
      <c r="BH89" s="357"/>
      <c r="BI89" s="357"/>
      <c r="BJ89" s="357"/>
      <c r="BK89" s="357"/>
      <c r="BL89" s="357"/>
      <c r="BM89" s="357"/>
      <c r="BN89" s="357"/>
      <c r="BO89" s="357"/>
      <c r="BP89" s="357"/>
      <c r="BQ89" s="357"/>
      <c r="BR89" s="357"/>
      <c r="BS89" s="357"/>
      <c r="BT89" s="357"/>
      <c r="BU89" s="357"/>
      <c r="BV89" s="357"/>
      <c r="BW89" s="357"/>
      <c r="BX89" s="393"/>
    </row>
    <row r="90" spans="1:76" x14ac:dyDescent="0.2">
      <c r="A90" s="368"/>
      <c r="B90" s="357"/>
      <c r="C90" s="357"/>
      <c r="D90" s="357"/>
      <c r="E90" s="357"/>
      <c r="F90" s="357"/>
      <c r="G90" s="357"/>
      <c r="H90" s="357"/>
      <c r="I90" s="357"/>
      <c r="J90" s="357"/>
      <c r="K90" s="357"/>
      <c r="L90" s="357"/>
      <c r="M90" s="357"/>
      <c r="N90" s="357"/>
      <c r="O90" s="357"/>
      <c r="P90" s="357"/>
      <c r="Q90" s="357"/>
      <c r="R90" s="357"/>
      <c r="S90" s="393"/>
      <c r="T90" s="368"/>
      <c r="U90" s="357"/>
      <c r="V90" s="357"/>
      <c r="W90" s="357"/>
      <c r="X90" s="357"/>
      <c r="Y90" s="357"/>
      <c r="Z90" s="357"/>
      <c r="AA90" s="357"/>
      <c r="AB90" s="357"/>
      <c r="AC90" s="357"/>
      <c r="AD90" s="357"/>
      <c r="AE90" s="357"/>
      <c r="AF90" s="357"/>
      <c r="AG90" s="357"/>
      <c r="AH90" s="357"/>
      <c r="AI90" s="357"/>
      <c r="AJ90" s="357"/>
      <c r="AK90" s="357"/>
      <c r="AL90" s="393"/>
      <c r="AM90" s="368"/>
      <c r="AN90" s="357"/>
      <c r="AO90" s="357"/>
      <c r="AP90" s="357"/>
      <c r="AQ90" s="357"/>
      <c r="AR90" s="357"/>
      <c r="AS90" s="357"/>
      <c r="AT90" s="357"/>
      <c r="AU90" s="357"/>
      <c r="AV90" s="357"/>
      <c r="AW90" s="357"/>
      <c r="AX90" s="357"/>
      <c r="AY90" s="357"/>
      <c r="AZ90" s="357"/>
      <c r="BA90" s="357"/>
      <c r="BB90" s="357"/>
      <c r="BC90" s="357"/>
      <c r="BD90" s="357"/>
      <c r="BE90" s="393"/>
      <c r="BF90" s="368"/>
      <c r="BG90" s="357"/>
      <c r="BH90" s="357"/>
      <c r="BI90" s="357"/>
      <c r="BJ90" s="357"/>
      <c r="BK90" s="357"/>
      <c r="BL90" s="357"/>
      <c r="BM90" s="357"/>
      <c r="BN90" s="357"/>
      <c r="BO90" s="357"/>
      <c r="BP90" s="357"/>
      <c r="BQ90" s="357"/>
      <c r="BR90" s="357"/>
      <c r="BS90" s="357"/>
      <c r="BT90" s="357"/>
      <c r="BU90" s="357"/>
      <c r="BV90" s="357"/>
      <c r="BW90" s="357"/>
      <c r="BX90" s="393"/>
    </row>
    <row r="91" spans="1:76" x14ac:dyDescent="0.2">
      <c r="A91" s="368"/>
      <c r="B91" s="357"/>
      <c r="C91" s="357"/>
      <c r="D91" s="357"/>
      <c r="E91" s="357"/>
      <c r="F91" s="357"/>
      <c r="G91" s="357"/>
      <c r="H91" s="357"/>
      <c r="I91" s="357"/>
      <c r="J91" s="357"/>
      <c r="K91" s="357"/>
      <c r="L91" s="357"/>
      <c r="M91" s="357"/>
      <c r="N91" s="357"/>
      <c r="O91" s="357"/>
      <c r="P91" s="357"/>
      <c r="Q91" s="357"/>
      <c r="R91" s="357"/>
      <c r="S91" s="393"/>
      <c r="T91" s="368"/>
      <c r="U91" s="357"/>
      <c r="V91" s="357"/>
      <c r="W91" s="357"/>
      <c r="X91" s="357"/>
      <c r="Y91" s="357"/>
      <c r="Z91" s="357"/>
      <c r="AA91" s="357"/>
      <c r="AB91" s="357"/>
      <c r="AC91" s="357"/>
      <c r="AD91" s="357"/>
      <c r="AE91" s="357"/>
      <c r="AF91" s="357"/>
      <c r="AG91" s="357"/>
      <c r="AH91" s="357"/>
      <c r="AI91" s="357"/>
      <c r="AJ91" s="357"/>
      <c r="AK91" s="357"/>
      <c r="AL91" s="393"/>
      <c r="AM91" s="368"/>
      <c r="AN91" s="357"/>
      <c r="AO91" s="357"/>
      <c r="AP91" s="357"/>
      <c r="AQ91" s="357"/>
      <c r="AR91" s="357"/>
      <c r="AS91" s="357"/>
      <c r="AT91" s="357"/>
      <c r="AU91" s="357"/>
      <c r="AV91" s="357"/>
      <c r="AW91" s="357"/>
      <c r="AX91" s="357"/>
      <c r="AY91" s="357"/>
      <c r="AZ91" s="357"/>
      <c r="BA91" s="357"/>
      <c r="BB91" s="357"/>
      <c r="BC91" s="357"/>
      <c r="BD91" s="357"/>
      <c r="BE91" s="393"/>
      <c r="BF91" s="368"/>
      <c r="BG91" s="357"/>
      <c r="BH91" s="357"/>
      <c r="BI91" s="357"/>
      <c r="BJ91" s="357"/>
      <c r="BK91" s="357"/>
      <c r="BL91" s="357"/>
      <c r="BM91" s="357"/>
      <c r="BN91" s="357"/>
      <c r="BO91" s="357"/>
      <c r="BP91" s="357"/>
      <c r="BQ91" s="357"/>
      <c r="BR91" s="357"/>
      <c r="BS91" s="357"/>
      <c r="BT91" s="357"/>
      <c r="BU91" s="357"/>
      <c r="BV91" s="357"/>
      <c r="BW91" s="357"/>
      <c r="BX91" s="393"/>
    </row>
    <row r="92" spans="1:76" x14ac:dyDescent="0.2">
      <c r="A92" s="368"/>
      <c r="B92" s="357"/>
      <c r="C92" s="357"/>
      <c r="D92" s="357"/>
      <c r="E92" s="357"/>
      <c r="F92" s="357"/>
      <c r="G92" s="357"/>
      <c r="H92" s="357"/>
      <c r="I92" s="357"/>
      <c r="J92" s="357"/>
      <c r="K92" s="357"/>
      <c r="L92" s="357"/>
      <c r="M92" s="357"/>
      <c r="N92" s="357"/>
      <c r="O92" s="357"/>
      <c r="P92" s="357"/>
      <c r="Q92" s="357"/>
      <c r="R92" s="357"/>
      <c r="S92" s="393"/>
      <c r="T92" s="368"/>
      <c r="U92" s="357"/>
      <c r="V92" s="357"/>
      <c r="W92" s="357"/>
      <c r="X92" s="357"/>
      <c r="Y92" s="357"/>
      <c r="Z92" s="357"/>
      <c r="AA92" s="357"/>
      <c r="AB92" s="357"/>
      <c r="AC92" s="357"/>
      <c r="AD92" s="357"/>
      <c r="AE92" s="357"/>
      <c r="AF92" s="357"/>
      <c r="AG92" s="357"/>
      <c r="AH92" s="357"/>
      <c r="AI92" s="357"/>
      <c r="AJ92" s="357"/>
      <c r="AK92" s="357"/>
      <c r="AL92" s="393"/>
      <c r="AM92" s="368"/>
      <c r="AN92" s="357"/>
      <c r="AO92" s="357"/>
      <c r="AP92" s="357"/>
      <c r="AQ92" s="357"/>
      <c r="AR92" s="357"/>
      <c r="AS92" s="357"/>
      <c r="AT92" s="357"/>
      <c r="AU92" s="357"/>
      <c r="AV92" s="357"/>
      <c r="AW92" s="357"/>
      <c r="AX92" s="357"/>
      <c r="AY92" s="357"/>
      <c r="AZ92" s="357"/>
      <c r="BA92" s="357"/>
      <c r="BB92" s="357"/>
      <c r="BC92" s="357"/>
      <c r="BD92" s="357"/>
      <c r="BE92" s="393"/>
      <c r="BF92" s="368"/>
      <c r="BG92" s="357"/>
      <c r="BH92" s="357"/>
      <c r="BI92" s="357"/>
      <c r="BJ92" s="357"/>
      <c r="BK92" s="357"/>
      <c r="BL92" s="357"/>
      <c r="BM92" s="357"/>
      <c r="BN92" s="357"/>
      <c r="BO92" s="357"/>
      <c r="BP92" s="357"/>
      <c r="BQ92" s="357"/>
      <c r="BR92" s="357"/>
      <c r="BS92" s="357"/>
      <c r="BT92" s="357"/>
      <c r="BU92" s="357"/>
      <c r="BV92" s="357"/>
      <c r="BW92" s="357"/>
      <c r="BX92" s="393"/>
    </row>
    <row r="93" spans="1:76" x14ac:dyDescent="0.2">
      <c r="A93" s="368"/>
      <c r="B93" s="357"/>
      <c r="C93" s="357"/>
      <c r="D93" s="357"/>
      <c r="E93" s="357"/>
      <c r="F93" s="357"/>
      <c r="G93" s="357"/>
      <c r="H93" s="357"/>
      <c r="I93" s="357"/>
      <c r="J93" s="357"/>
      <c r="K93" s="357"/>
      <c r="L93" s="357"/>
      <c r="M93" s="357"/>
      <c r="N93" s="357"/>
      <c r="O93" s="357"/>
      <c r="P93" s="357"/>
      <c r="Q93" s="357"/>
      <c r="R93" s="357"/>
      <c r="S93" s="393"/>
      <c r="T93" s="368"/>
      <c r="U93" s="357"/>
      <c r="V93" s="357"/>
      <c r="W93" s="357"/>
      <c r="X93" s="357"/>
      <c r="Y93" s="357"/>
      <c r="Z93" s="357"/>
      <c r="AA93" s="357"/>
      <c r="AB93" s="357"/>
      <c r="AC93" s="357"/>
      <c r="AD93" s="357"/>
      <c r="AE93" s="357"/>
      <c r="AF93" s="357"/>
      <c r="AG93" s="357"/>
      <c r="AH93" s="357"/>
      <c r="AI93" s="357"/>
      <c r="AJ93" s="357"/>
      <c r="AK93" s="357"/>
      <c r="AL93" s="393"/>
      <c r="AM93" s="368"/>
      <c r="AN93" s="357"/>
      <c r="AO93" s="357"/>
      <c r="AP93" s="357"/>
      <c r="AQ93" s="357"/>
      <c r="AR93" s="357"/>
      <c r="AS93" s="357"/>
      <c r="AT93" s="357"/>
      <c r="AU93" s="357"/>
      <c r="AV93" s="357"/>
      <c r="AW93" s="357"/>
      <c r="AX93" s="357"/>
      <c r="AY93" s="357"/>
      <c r="AZ93" s="357"/>
      <c r="BA93" s="357"/>
      <c r="BB93" s="357"/>
      <c r="BC93" s="357"/>
      <c r="BD93" s="357"/>
      <c r="BE93" s="393"/>
      <c r="BF93" s="368"/>
      <c r="BG93" s="357"/>
      <c r="BH93" s="357"/>
      <c r="BI93" s="357"/>
      <c r="BJ93" s="357"/>
      <c r="BK93" s="357"/>
      <c r="BL93" s="357"/>
      <c r="BM93" s="357"/>
      <c r="BN93" s="357"/>
      <c r="BO93" s="357"/>
      <c r="BP93" s="357"/>
      <c r="BQ93" s="357"/>
      <c r="BR93" s="357"/>
      <c r="BS93" s="357"/>
      <c r="BT93" s="357"/>
      <c r="BU93" s="357"/>
      <c r="BV93" s="357"/>
      <c r="BW93" s="357"/>
      <c r="BX93" s="393"/>
    </row>
    <row r="94" spans="1:76" x14ac:dyDescent="0.2">
      <c r="A94" s="368"/>
      <c r="B94" s="357"/>
      <c r="C94" s="357"/>
      <c r="D94" s="357"/>
      <c r="E94" s="357"/>
      <c r="F94" s="357"/>
      <c r="G94" s="357"/>
      <c r="H94" s="357"/>
      <c r="I94" s="357"/>
      <c r="J94" s="357"/>
      <c r="K94" s="357"/>
      <c r="L94" s="357"/>
      <c r="M94" s="357"/>
      <c r="N94" s="357"/>
      <c r="O94" s="357"/>
      <c r="P94" s="357"/>
      <c r="Q94" s="357"/>
      <c r="R94" s="357"/>
      <c r="S94" s="393"/>
      <c r="T94" s="368"/>
      <c r="U94" s="357"/>
      <c r="V94" s="357"/>
      <c r="W94" s="357"/>
      <c r="X94" s="357"/>
      <c r="Y94" s="357"/>
      <c r="Z94" s="357"/>
      <c r="AA94" s="357"/>
      <c r="AB94" s="357"/>
      <c r="AC94" s="357"/>
      <c r="AD94" s="357"/>
      <c r="AE94" s="357"/>
      <c r="AF94" s="357"/>
      <c r="AG94" s="357"/>
      <c r="AH94" s="357"/>
      <c r="AI94" s="357"/>
      <c r="AJ94" s="357"/>
      <c r="AK94" s="357"/>
      <c r="AL94" s="393"/>
      <c r="AM94" s="368"/>
      <c r="AN94" s="357"/>
      <c r="AO94" s="357"/>
      <c r="AP94" s="357"/>
      <c r="AQ94" s="357"/>
      <c r="AR94" s="357"/>
      <c r="AS94" s="357"/>
      <c r="AT94" s="357"/>
      <c r="AU94" s="357"/>
      <c r="AV94" s="357"/>
      <c r="AW94" s="357"/>
      <c r="AX94" s="357"/>
      <c r="AY94" s="357"/>
      <c r="AZ94" s="357"/>
      <c r="BA94" s="357"/>
      <c r="BB94" s="357"/>
      <c r="BC94" s="357"/>
      <c r="BD94" s="357"/>
      <c r="BE94" s="393"/>
      <c r="BF94" s="368"/>
      <c r="BG94" s="357"/>
      <c r="BH94" s="357"/>
      <c r="BI94" s="357"/>
      <c r="BJ94" s="357"/>
      <c r="BK94" s="357"/>
      <c r="BL94" s="357"/>
      <c r="BM94" s="357"/>
      <c r="BN94" s="357"/>
      <c r="BO94" s="357"/>
      <c r="BP94" s="357"/>
      <c r="BQ94" s="357"/>
      <c r="BR94" s="357"/>
      <c r="BS94" s="357"/>
      <c r="BT94" s="357"/>
      <c r="BU94" s="357"/>
      <c r="BV94" s="357"/>
      <c r="BW94" s="357"/>
      <c r="BX94" s="393"/>
    </row>
    <row r="95" spans="1:76" x14ac:dyDescent="0.2">
      <c r="A95" s="368"/>
      <c r="B95" s="357"/>
      <c r="C95" s="357"/>
      <c r="D95" s="357"/>
      <c r="E95" s="357"/>
      <c r="F95" s="357"/>
      <c r="G95" s="357"/>
      <c r="H95" s="357"/>
      <c r="I95" s="357"/>
      <c r="J95" s="357"/>
      <c r="K95" s="357"/>
      <c r="L95" s="357"/>
      <c r="M95" s="357"/>
      <c r="N95" s="357"/>
      <c r="O95" s="357"/>
      <c r="P95" s="357"/>
      <c r="Q95" s="357"/>
      <c r="R95" s="357"/>
      <c r="S95" s="393"/>
      <c r="T95" s="368"/>
      <c r="U95" s="357"/>
      <c r="V95" s="357"/>
      <c r="W95" s="357"/>
      <c r="X95" s="357"/>
      <c r="Y95" s="357"/>
      <c r="Z95" s="357"/>
      <c r="AA95" s="357"/>
      <c r="AB95" s="357"/>
      <c r="AC95" s="357"/>
      <c r="AD95" s="357"/>
      <c r="AE95" s="357"/>
      <c r="AF95" s="357"/>
      <c r="AG95" s="357"/>
      <c r="AH95" s="357"/>
      <c r="AI95" s="357"/>
      <c r="AJ95" s="357"/>
      <c r="AK95" s="357"/>
      <c r="AL95" s="393"/>
      <c r="AM95" s="368"/>
      <c r="AN95" s="357"/>
      <c r="AO95" s="357"/>
      <c r="AP95" s="357"/>
      <c r="AQ95" s="357"/>
      <c r="AR95" s="357"/>
      <c r="AS95" s="357"/>
      <c r="AT95" s="357"/>
      <c r="AU95" s="357"/>
      <c r="AV95" s="357"/>
      <c r="AW95" s="357"/>
      <c r="AX95" s="357"/>
      <c r="AY95" s="357"/>
      <c r="AZ95" s="357"/>
      <c r="BA95" s="357"/>
      <c r="BB95" s="357"/>
      <c r="BC95" s="357"/>
      <c r="BD95" s="357"/>
      <c r="BE95" s="393"/>
      <c r="BF95" s="368"/>
      <c r="BG95" s="357"/>
      <c r="BH95" s="357"/>
      <c r="BI95" s="357"/>
      <c r="BJ95" s="357"/>
      <c r="BK95" s="357"/>
      <c r="BL95" s="357"/>
      <c r="BM95" s="357"/>
      <c r="BN95" s="357"/>
      <c r="BO95" s="357"/>
      <c r="BP95" s="357"/>
      <c r="BQ95" s="357"/>
      <c r="BR95" s="357"/>
      <c r="BS95" s="357"/>
      <c r="BT95" s="357"/>
      <c r="BU95" s="357"/>
      <c r="BV95" s="357"/>
      <c r="BW95" s="357"/>
      <c r="BX95" s="393"/>
    </row>
    <row r="96" spans="1:76" x14ac:dyDescent="0.2">
      <c r="A96" s="368"/>
      <c r="B96" s="357"/>
      <c r="C96" s="357"/>
      <c r="D96" s="357"/>
      <c r="E96" s="357"/>
      <c r="F96" s="357"/>
      <c r="G96" s="357"/>
      <c r="H96" s="357"/>
      <c r="I96" s="357"/>
      <c r="J96" s="357"/>
      <c r="K96" s="357"/>
      <c r="L96" s="357"/>
      <c r="M96" s="357"/>
      <c r="N96" s="357"/>
      <c r="O96" s="357"/>
      <c r="P96" s="357"/>
      <c r="Q96" s="357"/>
      <c r="R96" s="357"/>
      <c r="S96" s="393"/>
      <c r="T96" s="368"/>
      <c r="U96" s="357"/>
      <c r="V96" s="357"/>
      <c r="W96" s="357"/>
      <c r="X96" s="357"/>
      <c r="Y96" s="357"/>
      <c r="Z96" s="357"/>
      <c r="AA96" s="357"/>
      <c r="AB96" s="357"/>
      <c r="AC96" s="357"/>
      <c r="AD96" s="357"/>
      <c r="AE96" s="357"/>
      <c r="AF96" s="357"/>
      <c r="AG96" s="357"/>
      <c r="AH96" s="357"/>
      <c r="AI96" s="357"/>
      <c r="AJ96" s="357"/>
      <c r="AK96" s="357"/>
      <c r="AL96" s="393"/>
      <c r="AM96" s="368"/>
      <c r="AN96" s="357"/>
      <c r="AO96" s="357"/>
      <c r="AP96" s="357"/>
      <c r="AQ96" s="357"/>
      <c r="AR96" s="357"/>
      <c r="AS96" s="357"/>
      <c r="AT96" s="357"/>
      <c r="AU96" s="357"/>
      <c r="AV96" s="357"/>
      <c r="AW96" s="357"/>
      <c r="AX96" s="357"/>
      <c r="AY96" s="357"/>
      <c r="AZ96" s="357"/>
      <c r="BA96" s="357"/>
      <c r="BB96" s="357"/>
      <c r="BC96" s="357"/>
      <c r="BD96" s="357"/>
      <c r="BE96" s="393"/>
      <c r="BF96" s="368"/>
      <c r="BG96" s="357"/>
      <c r="BH96" s="357"/>
      <c r="BI96" s="357"/>
      <c r="BJ96" s="357"/>
      <c r="BK96" s="357"/>
      <c r="BL96" s="357"/>
      <c r="BM96" s="357"/>
      <c r="BN96" s="357"/>
      <c r="BO96" s="357"/>
      <c r="BP96" s="357"/>
      <c r="BQ96" s="357"/>
      <c r="BR96" s="357"/>
      <c r="BS96" s="357"/>
      <c r="BT96" s="357"/>
      <c r="BU96" s="357"/>
      <c r="BV96" s="357"/>
      <c r="BW96" s="357"/>
      <c r="BX96" s="393"/>
    </row>
    <row r="97" spans="1:76" x14ac:dyDescent="0.2">
      <c r="A97" s="368"/>
      <c r="B97" s="357"/>
      <c r="C97" s="357"/>
      <c r="D97" s="357"/>
      <c r="E97" s="357"/>
      <c r="F97" s="357"/>
      <c r="G97" s="357"/>
      <c r="H97" s="357"/>
      <c r="I97" s="357"/>
      <c r="J97" s="357"/>
      <c r="K97" s="357"/>
      <c r="L97" s="357"/>
      <c r="M97" s="357"/>
      <c r="N97" s="357"/>
      <c r="O97" s="357"/>
      <c r="P97" s="357"/>
      <c r="Q97" s="357"/>
      <c r="R97" s="357"/>
      <c r="S97" s="393"/>
      <c r="T97" s="368"/>
      <c r="U97" s="357"/>
      <c r="V97" s="357"/>
      <c r="W97" s="357"/>
      <c r="X97" s="357"/>
      <c r="Y97" s="357"/>
      <c r="Z97" s="357"/>
      <c r="AA97" s="357"/>
      <c r="AB97" s="357"/>
      <c r="AC97" s="357"/>
      <c r="AD97" s="357"/>
      <c r="AE97" s="357"/>
      <c r="AF97" s="357"/>
      <c r="AG97" s="357"/>
      <c r="AH97" s="357"/>
      <c r="AI97" s="357"/>
      <c r="AJ97" s="357"/>
      <c r="AK97" s="357"/>
      <c r="AL97" s="393"/>
      <c r="AM97" s="368"/>
      <c r="AN97" s="357"/>
      <c r="AO97" s="357"/>
      <c r="AP97" s="357"/>
      <c r="AQ97" s="357"/>
      <c r="AR97" s="357"/>
      <c r="AS97" s="357"/>
      <c r="AT97" s="357"/>
      <c r="AU97" s="357"/>
      <c r="AV97" s="357"/>
      <c r="AW97" s="357"/>
      <c r="AX97" s="357"/>
      <c r="AY97" s="357"/>
      <c r="AZ97" s="357"/>
      <c r="BA97" s="357"/>
      <c r="BB97" s="357"/>
      <c r="BC97" s="357"/>
      <c r="BD97" s="357"/>
      <c r="BE97" s="393"/>
      <c r="BF97" s="368"/>
      <c r="BG97" s="357"/>
      <c r="BH97" s="357"/>
      <c r="BI97" s="357"/>
      <c r="BJ97" s="357"/>
      <c r="BK97" s="357"/>
      <c r="BL97" s="357"/>
      <c r="BM97" s="357"/>
      <c r="BN97" s="357"/>
      <c r="BO97" s="357"/>
      <c r="BP97" s="357"/>
      <c r="BQ97" s="357"/>
      <c r="BR97" s="357"/>
      <c r="BS97" s="357"/>
      <c r="BT97" s="357"/>
      <c r="BU97" s="357"/>
      <c r="BV97" s="357"/>
      <c r="BW97" s="357"/>
      <c r="BX97" s="393"/>
    </row>
    <row r="98" spans="1:76" x14ac:dyDescent="0.2">
      <c r="A98" s="368"/>
      <c r="B98" s="357"/>
      <c r="C98" s="357"/>
      <c r="D98" s="357"/>
      <c r="E98" s="357"/>
      <c r="F98" s="357"/>
      <c r="G98" s="357"/>
      <c r="H98" s="357"/>
      <c r="I98" s="357"/>
      <c r="J98" s="357"/>
      <c r="K98" s="357"/>
      <c r="L98" s="357"/>
      <c r="M98" s="357"/>
      <c r="N98" s="357"/>
      <c r="O98" s="357"/>
      <c r="P98" s="357"/>
      <c r="Q98" s="357"/>
      <c r="R98" s="357"/>
      <c r="S98" s="393"/>
      <c r="T98" s="368"/>
      <c r="U98" s="357"/>
      <c r="V98" s="357"/>
      <c r="W98" s="357"/>
      <c r="X98" s="357"/>
      <c r="Y98" s="357"/>
      <c r="Z98" s="357"/>
      <c r="AA98" s="357"/>
      <c r="AB98" s="357"/>
      <c r="AC98" s="357"/>
      <c r="AD98" s="357"/>
      <c r="AE98" s="357"/>
      <c r="AF98" s="357"/>
      <c r="AG98" s="357"/>
      <c r="AH98" s="357"/>
      <c r="AI98" s="357"/>
      <c r="AJ98" s="357"/>
      <c r="AK98" s="357"/>
      <c r="AL98" s="393"/>
      <c r="AM98" s="368"/>
      <c r="AN98" s="357"/>
      <c r="AO98" s="357"/>
      <c r="AP98" s="357"/>
      <c r="AQ98" s="357"/>
      <c r="AR98" s="357"/>
      <c r="AS98" s="357"/>
      <c r="AT98" s="357"/>
      <c r="AU98" s="357"/>
      <c r="AV98" s="357"/>
      <c r="AW98" s="357"/>
      <c r="AX98" s="357"/>
      <c r="AY98" s="357"/>
      <c r="AZ98" s="357"/>
      <c r="BA98" s="357"/>
      <c r="BB98" s="357"/>
      <c r="BC98" s="357"/>
      <c r="BD98" s="357"/>
      <c r="BE98" s="393"/>
      <c r="BF98" s="368"/>
      <c r="BG98" s="357"/>
      <c r="BH98" s="357"/>
      <c r="BI98" s="357"/>
      <c r="BJ98" s="357"/>
      <c r="BK98" s="357"/>
      <c r="BL98" s="357"/>
      <c r="BM98" s="357"/>
      <c r="BN98" s="357"/>
      <c r="BO98" s="357"/>
      <c r="BP98" s="357"/>
      <c r="BQ98" s="357"/>
      <c r="BR98" s="357"/>
      <c r="BS98" s="357"/>
      <c r="BT98" s="357"/>
      <c r="BU98" s="357"/>
      <c r="BV98" s="357"/>
      <c r="BW98" s="357"/>
      <c r="BX98" s="393"/>
    </row>
    <row r="99" spans="1:76" x14ac:dyDescent="0.2">
      <c r="A99" s="368"/>
      <c r="B99" s="357"/>
      <c r="C99" s="357"/>
      <c r="D99" s="357"/>
      <c r="E99" s="357"/>
      <c r="F99" s="357"/>
      <c r="G99" s="357"/>
      <c r="H99" s="357"/>
      <c r="I99" s="357"/>
      <c r="J99" s="357"/>
      <c r="K99" s="357"/>
      <c r="L99" s="357"/>
      <c r="M99" s="357"/>
      <c r="N99" s="357"/>
      <c r="O99" s="357"/>
      <c r="P99" s="357"/>
      <c r="Q99" s="357"/>
      <c r="R99" s="357"/>
      <c r="S99" s="393"/>
      <c r="T99" s="368"/>
      <c r="U99" s="357"/>
      <c r="V99" s="357"/>
      <c r="W99" s="357"/>
      <c r="X99" s="357"/>
      <c r="Y99" s="357"/>
      <c r="Z99" s="357"/>
      <c r="AA99" s="357"/>
      <c r="AB99" s="357"/>
      <c r="AC99" s="357"/>
      <c r="AD99" s="357"/>
      <c r="AE99" s="357"/>
      <c r="AF99" s="357"/>
      <c r="AG99" s="357"/>
      <c r="AH99" s="357"/>
      <c r="AI99" s="357"/>
      <c r="AJ99" s="357"/>
      <c r="AK99" s="357"/>
      <c r="AL99" s="393"/>
      <c r="AM99" s="368"/>
      <c r="AN99" s="357"/>
      <c r="AO99" s="357"/>
      <c r="AP99" s="357"/>
      <c r="AQ99" s="357"/>
      <c r="AR99" s="357"/>
      <c r="AS99" s="357"/>
      <c r="AT99" s="357"/>
      <c r="AU99" s="357"/>
      <c r="AV99" s="357"/>
      <c r="AW99" s="357"/>
      <c r="AX99" s="357"/>
      <c r="AY99" s="357"/>
      <c r="AZ99" s="357"/>
      <c r="BA99" s="357"/>
      <c r="BB99" s="357"/>
      <c r="BC99" s="357"/>
      <c r="BD99" s="357"/>
      <c r="BE99" s="393"/>
      <c r="BF99" s="368"/>
      <c r="BG99" s="357"/>
      <c r="BH99" s="357"/>
      <c r="BI99" s="357"/>
      <c r="BJ99" s="357"/>
      <c r="BK99" s="357"/>
      <c r="BL99" s="357"/>
      <c r="BM99" s="357"/>
      <c r="BN99" s="357"/>
      <c r="BO99" s="357"/>
      <c r="BP99" s="357"/>
      <c r="BQ99" s="357"/>
      <c r="BR99" s="357"/>
      <c r="BS99" s="357"/>
      <c r="BT99" s="357"/>
      <c r="BU99" s="357"/>
      <c r="BV99" s="357"/>
      <c r="BW99" s="357"/>
      <c r="BX99" s="393"/>
    </row>
    <row r="100" spans="1:76" x14ac:dyDescent="0.2">
      <c r="A100" s="368"/>
      <c r="B100" s="357"/>
      <c r="C100" s="357"/>
      <c r="D100" s="357"/>
      <c r="E100" s="357"/>
      <c r="F100" s="357"/>
      <c r="G100" s="357"/>
      <c r="H100" s="357"/>
      <c r="I100" s="357"/>
      <c r="J100" s="357"/>
      <c r="K100" s="357"/>
      <c r="L100" s="357"/>
      <c r="M100" s="357"/>
      <c r="N100" s="357"/>
      <c r="O100" s="357"/>
      <c r="P100" s="357"/>
      <c r="Q100" s="357"/>
      <c r="R100" s="357"/>
      <c r="S100" s="393"/>
      <c r="T100" s="368"/>
      <c r="U100" s="357"/>
      <c r="V100" s="357"/>
      <c r="W100" s="357"/>
      <c r="X100" s="357"/>
      <c r="Y100" s="357"/>
      <c r="Z100" s="357"/>
      <c r="AA100" s="357"/>
      <c r="AB100" s="357"/>
      <c r="AC100" s="357"/>
      <c r="AD100" s="357"/>
      <c r="AE100" s="357"/>
      <c r="AF100" s="357"/>
      <c r="AG100" s="357"/>
      <c r="AH100" s="357"/>
      <c r="AI100" s="357"/>
      <c r="AJ100" s="357"/>
      <c r="AK100" s="357"/>
      <c r="AL100" s="393"/>
      <c r="AM100" s="368"/>
      <c r="AN100" s="357"/>
      <c r="AO100" s="357"/>
      <c r="AP100" s="357"/>
      <c r="AQ100" s="357"/>
      <c r="AR100" s="357"/>
      <c r="AS100" s="357"/>
      <c r="AT100" s="357"/>
      <c r="AU100" s="357"/>
      <c r="AV100" s="357"/>
      <c r="AW100" s="357"/>
      <c r="AX100" s="357"/>
      <c r="AY100" s="357"/>
      <c r="AZ100" s="357"/>
      <c r="BA100" s="357"/>
      <c r="BB100" s="357"/>
      <c r="BC100" s="357"/>
      <c r="BD100" s="357"/>
      <c r="BE100" s="393"/>
      <c r="BF100" s="368"/>
      <c r="BG100" s="357"/>
      <c r="BH100" s="357"/>
      <c r="BI100" s="357"/>
      <c r="BJ100" s="357"/>
      <c r="BK100" s="357"/>
      <c r="BL100" s="357"/>
      <c r="BM100" s="357"/>
      <c r="BN100" s="357"/>
      <c r="BO100" s="357"/>
      <c r="BP100" s="357"/>
      <c r="BQ100" s="357"/>
      <c r="BR100" s="357"/>
      <c r="BS100" s="357"/>
      <c r="BT100" s="357"/>
      <c r="BU100" s="357"/>
      <c r="BV100" s="357"/>
      <c r="BW100" s="357"/>
      <c r="BX100" s="393"/>
    </row>
    <row r="101" spans="1:76" x14ac:dyDescent="0.2">
      <c r="A101" s="368"/>
      <c r="B101" s="357"/>
      <c r="C101" s="357"/>
      <c r="D101" s="357"/>
      <c r="E101" s="357"/>
      <c r="F101" s="357"/>
      <c r="G101" s="357"/>
      <c r="H101" s="357"/>
      <c r="I101" s="357"/>
      <c r="J101" s="357"/>
      <c r="K101" s="357"/>
      <c r="L101" s="357"/>
      <c r="M101" s="357"/>
      <c r="N101" s="357"/>
      <c r="O101" s="357"/>
      <c r="P101" s="357"/>
      <c r="Q101" s="357"/>
      <c r="R101" s="357"/>
      <c r="S101" s="393"/>
      <c r="T101" s="368"/>
      <c r="U101" s="357"/>
      <c r="V101" s="357"/>
      <c r="W101" s="357"/>
      <c r="X101" s="357"/>
      <c r="Y101" s="357"/>
      <c r="Z101" s="357"/>
      <c r="AA101" s="357"/>
      <c r="AB101" s="357"/>
      <c r="AC101" s="357"/>
      <c r="AD101" s="357"/>
      <c r="AE101" s="357"/>
      <c r="AF101" s="357"/>
      <c r="AG101" s="357"/>
      <c r="AH101" s="357"/>
      <c r="AI101" s="357"/>
      <c r="AJ101" s="357"/>
      <c r="AK101" s="357"/>
      <c r="AL101" s="393"/>
      <c r="AM101" s="368"/>
      <c r="AN101" s="357"/>
      <c r="AO101" s="357"/>
      <c r="AP101" s="357"/>
      <c r="AQ101" s="357"/>
      <c r="AR101" s="357"/>
      <c r="AS101" s="357"/>
      <c r="AT101" s="357"/>
      <c r="AU101" s="357"/>
      <c r="AV101" s="357"/>
      <c r="AW101" s="357"/>
      <c r="AX101" s="357"/>
      <c r="AY101" s="357"/>
      <c r="AZ101" s="357"/>
      <c r="BA101" s="357"/>
      <c r="BB101" s="357"/>
      <c r="BC101" s="357"/>
      <c r="BD101" s="357"/>
      <c r="BE101" s="393"/>
      <c r="BF101" s="368"/>
      <c r="BG101" s="357"/>
      <c r="BH101" s="357"/>
      <c r="BI101" s="357"/>
      <c r="BJ101" s="357"/>
      <c r="BK101" s="357"/>
      <c r="BL101" s="357"/>
      <c r="BM101" s="357"/>
      <c r="BN101" s="357"/>
      <c r="BO101" s="357"/>
      <c r="BP101" s="357"/>
      <c r="BQ101" s="357"/>
      <c r="BR101" s="357"/>
      <c r="BS101" s="357"/>
      <c r="BT101" s="357"/>
      <c r="BU101" s="357"/>
      <c r="BV101" s="357"/>
      <c r="BW101" s="357"/>
      <c r="BX101" s="393"/>
    </row>
    <row r="102" spans="1:76" x14ac:dyDescent="0.2">
      <c r="A102" s="368"/>
      <c r="B102" s="357"/>
      <c r="C102" s="357"/>
      <c r="D102" s="357"/>
      <c r="E102" s="357"/>
      <c r="F102" s="357"/>
      <c r="G102" s="357"/>
      <c r="H102" s="357"/>
      <c r="I102" s="357"/>
      <c r="J102" s="357"/>
      <c r="K102" s="357"/>
      <c r="L102" s="357"/>
      <c r="M102" s="357"/>
      <c r="N102" s="357"/>
      <c r="O102" s="357"/>
      <c r="P102" s="357"/>
      <c r="Q102" s="357"/>
      <c r="R102" s="357"/>
      <c r="S102" s="393"/>
      <c r="T102" s="368"/>
      <c r="U102" s="357"/>
      <c r="V102" s="357"/>
      <c r="W102" s="357"/>
      <c r="X102" s="357"/>
      <c r="Y102" s="357"/>
      <c r="Z102" s="357"/>
      <c r="AA102" s="357"/>
      <c r="AB102" s="357"/>
      <c r="AC102" s="357"/>
      <c r="AD102" s="357"/>
      <c r="AE102" s="357"/>
      <c r="AF102" s="357"/>
      <c r="AG102" s="357"/>
      <c r="AH102" s="357"/>
      <c r="AI102" s="357"/>
      <c r="AJ102" s="357"/>
      <c r="AK102" s="357"/>
      <c r="AL102" s="393"/>
      <c r="AM102" s="368"/>
      <c r="AN102" s="357"/>
      <c r="AO102" s="357"/>
      <c r="AP102" s="357"/>
      <c r="AQ102" s="357"/>
      <c r="AR102" s="357"/>
      <c r="AS102" s="357"/>
      <c r="AT102" s="357"/>
      <c r="AU102" s="357"/>
      <c r="AV102" s="357"/>
      <c r="AW102" s="357"/>
      <c r="AX102" s="357"/>
      <c r="AY102" s="357"/>
      <c r="AZ102" s="357"/>
      <c r="BA102" s="357"/>
      <c r="BB102" s="357"/>
      <c r="BC102" s="357"/>
      <c r="BD102" s="357"/>
      <c r="BE102" s="393"/>
      <c r="BF102" s="368"/>
      <c r="BG102" s="357"/>
      <c r="BH102" s="357"/>
      <c r="BI102" s="357"/>
      <c r="BJ102" s="357"/>
      <c r="BK102" s="357"/>
      <c r="BL102" s="357"/>
      <c r="BM102" s="357"/>
      <c r="BN102" s="357"/>
      <c r="BO102" s="357"/>
      <c r="BP102" s="357"/>
      <c r="BQ102" s="357"/>
      <c r="BR102" s="357"/>
      <c r="BS102" s="357"/>
      <c r="BT102" s="357"/>
      <c r="BU102" s="357"/>
      <c r="BV102" s="357"/>
      <c r="BW102" s="357"/>
      <c r="BX102" s="393"/>
    </row>
    <row r="103" spans="1:76" x14ac:dyDescent="0.2">
      <c r="A103" s="368"/>
      <c r="B103" s="357"/>
      <c r="C103" s="357"/>
      <c r="D103" s="357"/>
      <c r="E103" s="357"/>
      <c r="F103" s="357"/>
      <c r="G103" s="357"/>
      <c r="H103" s="357"/>
      <c r="I103" s="357"/>
      <c r="J103" s="357"/>
      <c r="K103" s="357"/>
      <c r="L103" s="357"/>
      <c r="M103" s="357"/>
      <c r="N103" s="357"/>
      <c r="O103" s="357"/>
      <c r="P103" s="357"/>
      <c r="Q103" s="357"/>
      <c r="R103" s="357"/>
      <c r="S103" s="393"/>
      <c r="T103" s="368"/>
      <c r="U103" s="357"/>
      <c r="V103" s="357"/>
      <c r="W103" s="357"/>
      <c r="X103" s="357"/>
      <c r="Y103" s="357"/>
      <c r="Z103" s="357"/>
      <c r="AA103" s="357"/>
      <c r="AB103" s="357"/>
      <c r="AC103" s="357"/>
      <c r="AD103" s="357"/>
      <c r="AE103" s="357"/>
      <c r="AF103" s="357"/>
      <c r="AG103" s="357"/>
      <c r="AH103" s="357"/>
      <c r="AI103" s="357"/>
      <c r="AJ103" s="357"/>
      <c r="AK103" s="357"/>
      <c r="AL103" s="393"/>
      <c r="AM103" s="368"/>
      <c r="AN103" s="357"/>
      <c r="AO103" s="357"/>
      <c r="AP103" s="357"/>
      <c r="AQ103" s="357"/>
      <c r="AR103" s="357"/>
      <c r="AS103" s="357"/>
      <c r="AT103" s="357"/>
      <c r="AU103" s="357"/>
      <c r="AV103" s="357"/>
      <c r="AW103" s="357"/>
      <c r="AX103" s="357"/>
      <c r="AY103" s="357"/>
      <c r="AZ103" s="357"/>
      <c r="BA103" s="357"/>
      <c r="BB103" s="357"/>
      <c r="BC103" s="357"/>
      <c r="BD103" s="357"/>
      <c r="BE103" s="393"/>
      <c r="BF103" s="368"/>
      <c r="BG103" s="357"/>
      <c r="BH103" s="357"/>
      <c r="BI103" s="357"/>
      <c r="BJ103" s="357"/>
      <c r="BK103" s="357"/>
      <c r="BL103" s="357"/>
      <c r="BM103" s="357"/>
      <c r="BN103" s="357"/>
      <c r="BO103" s="357"/>
      <c r="BP103" s="357"/>
      <c r="BQ103" s="357"/>
      <c r="BR103" s="357"/>
      <c r="BS103" s="357"/>
      <c r="BT103" s="357"/>
      <c r="BU103" s="357"/>
      <c r="BV103" s="357"/>
      <c r="BW103" s="357"/>
      <c r="BX103" s="393"/>
    </row>
    <row r="104" spans="1:76" x14ac:dyDescent="0.2">
      <c r="A104" s="368"/>
      <c r="B104" s="357"/>
      <c r="C104" s="357"/>
      <c r="D104" s="357"/>
      <c r="E104" s="357"/>
      <c r="F104" s="357"/>
      <c r="G104" s="357"/>
      <c r="H104" s="357"/>
      <c r="I104" s="357"/>
      <c r="J104" s="357"/>
      <c r="K104" s="357"/>
      <c r="L104" s="357"/>
      <c r="M104" s="357"/>
      <c r="N104" s="357"/>
      <c r="O104" s="357"/>
      <c r="P104" s="357"/>
      <c r="Q104" s="357"/>
      <c r="R104" s="357"/>
      <c r="S104" s="393"/>
      <c r="T104" s="368"/>
      <c r="U104" s="357"/>
      <c r="V104" s="357"/>
      <c r="W104" s="357"/>
      <c r="X104" s="357"/>
      <c r="Y104" s="357"/>
      <c r="Z104" s="357"/>
      <c r="AA104" s="357"/>
      <c r="AB104" s="357"/>
      <c r="AC104" s="357"/>
      <c r="AD104" s="357"/>
      <c r="AE104" s="357"/>
      <c r="AF104" s="357"/>
      <c r="AG104" s="357"/>
      <c r="AH104" s="357"/>
      <c r="AI104" s="357"/>
      <c r="AJ104" s="357"/>
      <c r="AK104" s="357"/>
      <c r="AL104" s="393"/>
      <c r="AM104" s="368"/>
      <c r="AN104" s="357"/>
      <c r="AO104" s="357"/>
      <c r="AP104" s="357"/>
      <c r="AQ104" s="357"/>
      <c r="AR104" s="357"/>
      <c r="AS104" s="357"/>
      <c r="AT104" s="357"/>
      <c r="AU104" s="357"/>
      <c r="AV104" s="357"/>
      <c r="AW104" s="357"/>
      <c r="AX104" s="357"/>
      <c r="AY104" s="357"/>
      <c r="AZ104" s="357"/>
      <c r="BA104" s="357"/>
      <c r="BB104" s="357"/>
      <c r="BC104" s="357"/>
      <c r="BD104" s="357"/>
      <c r="BE104" s="393"/>
      <c r="BF104" s="368"/>
      <c r="BG104" s="357"/>
      <c r="BH104" s="357"/>
      <c r="BI104" s="357"/>
      <c r="BJ104" s="357"/>
      <c r="BK104" s="357"/>
      <c r="BL104" s="357"/>
      <c r="BM104" s="357"/>
      <c r="BN104" s="357"/>
      <c r="BO104" s="357"/>
      <c r="BP104" s="357"/>
      <c r="BQ104" s="357"/>
      <c r="BR104" s="357"/>
      <c r="BS104" s="357"/>
      <c r="BT104" s="357"/>
      <c r="BU104" s="357"/>
      <c r="BV104" s="357"/>
      <c r="BW104" s="357"/>
      <c r="BX104" s="393"/>
    </row>
    <row r="105" spans="1:76" x14ac:dyDescent="0.2">
      <c r="A105" s="368"/>
      <c r="B105" s="357"/>
      <c r="C105" s="357"/>
      <c r="D105" s="357"/>
      <c r="E105" s="357"/>
      <c r="F105" s="357"/>
      <c r="G105" s="357"/>
      <c r="H105" s="357"/>
      <c r="I105" s="357"/>
      <c r="J105" s="357"/>
      <c r="K105" s="357"/>
      <c r="L105" s="357"/>
      <c r="M105" s="357"/>
      <c r="N105" s="357"/>
      <c r="O105" s="357"/>
      <c r="P105" s="357"/>
      <c r="Q105" s="357"/>
      <c r="R105" s="357"/>
      <c r="S105" s="393"/>
      <c r="T105" s="368"/>
      <c r="U105" s="357"/>
      <c r="V105" s="357"/>
      <c r="W105" s="357"/>
      <c r="X105" s="357"/>
      <c r="Y105" s="357"/>
      <c r="Z105" s="357"/>
      <c r="AA105" s="357"/>
      <c r="AB105" s="357"/>
      <c r="AC105" s="357"/>
      <c r="AD105" s="357"/>
      <c r="AE105" s="357"/>
      <c r="AF105" s="357"/>
      <c r="AG105" s="357"/>
      <c r="AH105" s="357"/>
      <c r="AI105" s="357"/>
      <c r="AJ105" s="357"/>
      <c r="AK105" s="357"/>
      <c r="AL105" s="393"/>
      <c r="AM105" s="368"/>
      <c r="AN105" s="357"/>
      <c r="AO105" s="357"/>
      <c r="AP105" s="357"/>
      <c r="AQ105" s="357"/>
      <c r="AR105" s="357"/>
      <c r="AS105" s="357"/>
      <c r="AT105" s="357"/>
      <c r="AU105" s="357"/>
      <c r="AV105" s="357"/>
      <c r="AW105" s="357"/>
      <c r="AX105" s="357"/>
      <c r="AY105" s="357"/>
      <c r="AZ105" s="357"/>
      <c r="BA105" s="357"/>
      <c r="BB105" s="357"/>
      <c r="BC105" s="357"/>
      <c r="BD105" s="357"/>
      <c r="BE105" s="393"/>
      <c r="BF105" s="368"/>
      <c r="BG105" s="357"/>
      <c r="BH105" s="357"/>
      <c r="BI105" s="357"/>
      <c r="BJ105" s="357"/>
      <c r="BK105" s="357"/>
      <c r="BL105" s="357"/>
      <c r="BM105" s="357"/>
      <c r="BN105" s="357"/>
      <c r="BO105" s="357"/>
      <c r="BP105" s="357"/>
      <c r="BQ105" s="357"/>
      <c r="BR105" s="357"/>
      <c r="BS105" s="357"/>
      <c r="BT105" s="357"/>
      <c r="BU105" s="357"/>
      <c r="BV105" s="357"/>
      <c r="BW105" s="357"/>
      <c r="BX105" s="393"/>
    </row>
    <row r="106" spans="1:76" x14ac:dyDescent="0.2">
      <c r="A106" s="368"/>
      <c r="B106" s="357"/>
      <c r="C106" s="357"/>
      <c r="D106" s="357"/>
      <c r="E106" s="357"/>
      <c r="F106" s="357"/>
      <c r="G106" s="357"/>
      <c r="H106" s="357"/>
      <c r="I106" s="357"/>
      <c r="J106" s="357"/>
      <c r="K106" s="357"/>
      <c r="L106" s="357"/>
      <c r="M106" s="357"/>
      <c r="N106" s="357"/>
      <c r="O106" s="357"/>
      <c r="P106" s="357"/>
      <c r="Q106" s="357"/>
      <c r="R106" s="357"/>
      <c r="S106" s="393"/>
      <c r="T106" s="368"/>
      <c r="U106" s="357"/>
      <c r="V106" s="357"/>
      <c r="W106" s="357"/>
      <c r="X106" s="357"/>
      <c r="Y106" s="357"/>
      <c r="Z106" s="357"/>
      <c r="AA106" s="357"/>
      <c r="AB106" s="357"/>
      <c r="AC106" s="357"/>
      <c r="AD106" s="357"/>
      <c r="AE106" s="357"/>
      <c r="AF106" s="357"/>
      <c r="AG106" s="357"/>
      <c r="AH106" s="357"/>
      <c r="AI106" s="357"/>
      <c r="AJ106" s="357"/>
      <c r="AK106" s="357"/>
      <c r="AL106" s="393"/>
      <c r="AM106" s="368"/>
      <c r="AN106" s="357"/>
      <c r="AO106" s="357"/>
      <c r="AP106" s="357"/>
      <c r="AQ106" s="357"/>
      <c r="AR106" s="357"/>
      <c r="AS106" s="357"/>
      <c r="AT106" s="357"/>
      <c r="AU106" s="357"/>
      <c r="AV106" s="357"/>
      <c r="AW106" s="357"/>
      <c r="AX106" s="357"/>
      <c r="AY106" s="357"/>
      <c r="AZ106" s="357"/>
      <c r="BA106" s="357"/>
      <c r="BB106" s="357"/>
      <c r="BC106" s="357"/>
      <c r="BD106" s="357"/>
      <c r="BE106" s="393"/>
      <c r="BF106" s="368"/>
      <c r="BG106" s="357"/>
      <c r="BH106" s="357"/>
      <c r="BI106" s="357"/>
      <c r="BJ106" s="357"/>
      <c r="BK106" s="357"/>
      <c r="BL106" s="357"/>
      <c r="BM106" s="357"/>
      <c r="BN106" s="357"/>
      <c r="BO106" s="357"/>
      <c r="BP106" s="357"/>
      <c r="BQ106" s="357"/>
      <c r="BR106" s="357"/>
      <c r="BS106" s="357"/>
      <c r="BT106" s="357"/>
      <c r="BU106" s="357"/>
      <c r="BV106" s="357"/>
      <c r="BW106" s="357"/>
      <c r="BX106" s="393"/>
    </row>
    <row r="107" spans="1:76" x14ac:dyDescent="0.2">
      <c r="A107" s="368"/>
      <c r="B107" s="357"/>
      <c r="C107" s="357"/>
      <c r="D107" s="357"/>
      <c r="E107" s="357"/>
      <c r="F107" s="357"/>
      <c r="G107" s="357"/>
      <c r="H107" s="357"/>
      <c r="I107" s="357"/>
      <c r="J107" s="357"/>
      <c r="K107" s="357"/>
      <c r="L107" s="357"/>
      <c r="M107" s="357"/>
      <c r="N107" s="357"/>
      <c r="O107" s="357"/>
      <c r="P107" s="357"/>
      <c r="Q107" s="357"/>
      <c r="R107" s="357"/>
      <c r="S107" s="393"/>
      <c r="T107" s="368"/>
      <c r="U107" s="357"/>
      <c r="V107" s="357"/>
      <c r="W107" s="357"/>
      <c r="X107" s="357"/>
      <c r="Y107" s="357"/>
      <c r="Z107" s="357"/>
      <c r="AA107" s="357"/>
      <c r="AB107" s="357"/>
      <c r="AC107" s="357"/>
      <c r="AD107" s="357"/>
      <c r="AE107" s="357"/>
      <c r="AF107" s="357"/>
      <c r="AG107" s="357"/>
      <c r="AH107" s="357"/>
      <c r="AI107" s="357"/>
      <c r="AJ107" s="357"/>
      <c r="AK107" s="357"/>
      <c r="AL107" s="393"/>
      <c r="AM107" s="368"/>
      <c r="AN107" s="357"/>
      <c r="AO107" s="357"/>
      <c r="AP107" s="357"/>
      <c r="AQ107" s="357"/>
      <c r="AR107" s="357"/>
      <c r="AS107" s="357"/>
      <c r="AT107" s="357"/>
      <c r="AU107" s="357"/>
      <c r="AV107" s="357"/>
      <c r="AW107" s="357"/>
      <c r="AX107" s="357"/>
      <c r="AY107" s="357"/>
      <c r="AZ107" s="357"/>
      <c r="BA107" s="357"/>
      <c r="BB107" s="357"/>
      <c r="BC107" s="357"/>
      <c r="BD107" s="357"/>
      <c r="BE107" s="393"/>
      <c r="BF107" s="368"/>
      <c r="BG107" s="357"/>
      <c r="BH107" s="357"/>
      <c r="BI107" s="357"/>
      <c r="BJ107" s="357"/>
      <c r="BK107" s="357"/>
      <c r="BL107" s="357"/>
      <c r="BM107" s="357"/>
      <c r="BN107" s="357"/>
      <c r="BO107" s="357"/>
      <c r="BP107" s="357"/>
      <c r="BQ107" s="357"/>
      <c r="BR107" s="357"/>
      <c r="BS107" s="357"/>
      <c r="BT107" s="357"/>
      <c r="BU107" s="357"/>
      <c r="BV107" s="357"/>
      <c r="BW107" s="357"/>
      <c r="BX107" s="393"/>
    </row>
    <row r="108" spans="1:76" x14ac:dyDescent="0.2">
      <c r="A108" s="368"/>
      <c r="B108" s="357"/>
      <c r="C108" s="357"/>
      <c r="D108" s="357"/>
      <c r="E108" s="357"/>
      <c r="F108" s="357"/>
      <c r="G108" s="357"/>
      <c r="H108" s="357"/>
      <c r="I108" s="357"/>
      <c r="J108" s="357"/>
      <c r="K108" s="357"/>
      <c r="L108" s="357"/>
      <c r="M108" s="357"/>
      <c r="N108" s="357"/>
      <c r="O108" s="357"/>
      <c r="P108" s="357"/>
      <c r="Q108" s="357"/>
      <c r="R108" s="357"/>
      <c r="S108" s="393"/>
      <c r="T108" s="368"/>
      <c r="U108" s="357"/>
      <c r="V108" s="357"/>
      <c r="W108" s="357"/>
      <c r="X108" s="357"/>
      <c r="Y108" s="357"/>
      <c r="Z108" s="357"/>
      <c r="AA108" s="357"/>
      <c r="AB108" s="357"/>
      <c r="AC108" s="357"/>
      <c r="AD108" s="357"/>
      <c r="AE108" s="357"/>
      <c r="AF108" s="357"/>
      <c r="AG108" s="357"/>
      <c r="AH108" s="357"/>
      <c r="AI108" s="357"/>
      <c r="AJ108" s="357"/>
      <c r="AK108" s="357"/>
      <c r="AL108" s="393"/>
      <c r="AM108" s="368"/>
      <c r="AN108" s="357"/>
      <c r="AO108" s="357"/>
      <c r="AP108" s="357"/>
      <c r="AQ108" s="357"/>
      <c r="AR108" s="357"/>
      <c r="AS108" s="357"/>
      <c r="AT108" s="357"/>
      <c r="AU108" s="357"/>
      <c r="AV108" s="357"/>
      <c r="AW108" s="357"/>
      <c r="AX108" s="357"/>
      <c r="AY108" s="357"/>
      <c r="AZ108" s="357"/>
      <c r="BA108" s="357"/>
      <c r="BB108" s="357"/>
      <c r="BC108" s="357"/>
      <c r="BD108" s="357"/>
      <c r="BE108" s="393"/>
      <c r="BF108" s="368"/>
      <c r="BG108" s="357"/>
      <c r="BH108" s="357"/>
      <c r="BI108" s="357"/>
      <c r="BJ108" s="357"/>
      <c r="BK108" s="357"/>
      <c r="BL108" s="357"/>
      <c r="BM108" s="357"/>
      <c r="BN108" s="357"/>
      <c r="BO108" s="357"/>
      <c r="BP108" s="357"/>
      <c r="BQ108" s="357"/>
      <c r="BR108" s="357"/>
      <c r="BS108" s="357"/>
      <c r="BT108" s="357"/>
      <c r="BU108" s="357"/>
      <c r="BV108" s="357"/>
      <c r="BW108" s="357"/>
      <c r="BX108" s="393"/>
    </row>
    <row r="109" spans="1:76" x14ac:dyDescent="0.2">
      <c r="A109" s="368"/>
      <c r="B109" s="357"/>
      <c r="C109" s="357"/>
      <c r="D109" s="357"/>
      <c r="E109" s="357"/>
      <c r="F109" s="357"/>
      <c r="G109" s="357"/>
      <c r="H109" s="357"/>
      <c r="I109" s="357"/>
      <c r="J109" s="357"/>
      <c r="K109" s="357"/>
      <c r="L109" s="357"/>
      <c r="M109" s="357"/>
      <c r="N109" s="357"/>
      <c r="O109" s="357"/>
      <c r="P109" s="357"/>
      <c r="Q109" s="357"/>
      <c r="R109" s="357"/>
      <c r="S109" s="393"/>
      <c r="T109" s="368"/>
      <c r="U109" s="357"/>
      <c r="V109" s="357"/>
      <c r="W109" s="357"/>
      <c r="X109" s="357"/>
      <c r="Y109" s="357"/>
      <c r="Z109" s="357"/>
      <c r="AA109" s="357"/>
      <c r="AB109" s="357"/>
      <c r="AC109" s="357"/>
      <c r="AD109" s="357"/>
      <c r="AE109" s="357"/>
      <c r="AF109" s="357"/>
      <c r="AG109" s="357"/>
      <c r="AH109" s="357"/>
      <c r="AI109" s="357"/>
      <c r="AJ109" s="357"/>
      <c r="AK109" s="357"/>
      <c r="AL109" s="393"/>
      <c r="AM109" s="368"/>
      <c r="AN109" s="357"/>
      <c r="AO109" s="357"/>
      <c r="AP109" s="357"/>
      <c r="AQ109" s="357"/>
      <c r="AR109" s="357"/>
      <c r="AS109" s="357"/>
      <c r="AT109" s="357"/>
      <c r="AU109" s="357"/>
      <c r="AV109" s="357"/>
      <c r="AW109" s="357"/>
      <c r="AX109" s="357"/>
      <c r="AY109" s="357"/>
      <c r="AZ109" s="357"/>
      <c r="BA109" s="357"/>
      <c r="BB109" s="357"/>
      <c r="BC109" s="357"/>
      <c r="BD109" s="357"/>
      <c r="BE109" s="393"/>
      <c r="BF109" s="368"/>
      <c r="BG109" s="357"/>
      <c r="BH109" s="357"/>
      <c r="BI109" s="357"/>
      <c r="BJ109" s="357"/>
      <c r="BK109" s="357"/>
      <c r="BL109" s="357"/>
      <c r="BM109" s="357"/>
      <c r="BN109" s="357"/>
      <c r="BO109" s="357"/>
      <c r="BP109" s="357"/>
      <c r="BQ109" s="357"/>
      <c r="BR109" s="357"/>
      <c r="BS109" s="357"/>
      <c r="BT109" s="357"/>
      <c r="BU109" s="357"/>
      <c r="BV109" s="357"/>
      <c r="BW109" s="357"/>
      <c r="BX109" s="393"/>
    </row>
    <row r="110" spans="1:76" x14ac:dyDescent="0.2">
      <c r="A110" s="368"/>
      <c r="B110" s="357"/>
      <c r="C110" s="357"/>
      <c r="D110" s="357"/>
      <c r="E110" s="357"/>
      <c r="F110" s="357"/>
      <c r="G110" s="357"/>
      <c r="H110" s="357"/>
      <c r="I110" s="357"/>
      <c r="J110" s="357"/>
      <c r="K110" s="357"/>
      <c r="L110" s="357"/>
      <c r="M110" s="357"/>
      <c r="N110" s="357"/>
      <c r="O110" s="357"/>
      <c r="P110" s="357"/>
      <c r="Q110" s="357"/>
      <c r="R110" s="357"/>
      <c r="S110" s="393"/>
      <c r="T110" s="368"/>
      <c r="U110" s="357"/>
      <c r="V110" s="357"/>
      <c r="W110" s="357"/>
      <c r="X110" s="357"/>
      <c r="Y110" s="357"/>
      <c r="Z110" s="357"/>
      <c r="AA110" s="357"/>
      <c r="AB110" s="357"/>
      <c r="AC110" s="357"/>
      <c r="AD110" s="357"/>
      <c r="AE110" s="357"/>
      <c r="AF110" s="357"/>
      <c r="AG110" s="357"/>
      <c r="AH110" s="357"/>
      <c r="AI110" s="357"/>
      <c r="AJ110" s="357"/>
      <c r="AK110" s="357"/>
      <c r="AL110" s="393"/>
      <c r="AM110" s="368"/>
      <c r="AN110" s="357"/>
      <c r="AO110" s="357"/>
      <c r="AP110" s="357"/>
      <c r="AQ110" s="357"/>
      <c r="AR110" s="357"/>
      <c r="AS110" s="357"/>
      <c r="AT110" s="357"/>
      <c r="AU110" s="357"/>
      <c r="AV110" s="357"/>
      <c r="AW110" s="357"/>
      <c r="AX110" s="357"/>
      <c r="AY110" s="357"/>
      <c r="AZ110" s="357"/>
      <c r="BA110" s="357"/>
      <c r="BB110" s="357"/>
      <c r="BC110" s="357"/>
      <c r="BD110" s="357"/>
      <c r="BE110" s="393"/>
      <c r="BF110" s="368"/>
      <c r="BG110" s="357"/>
      <c r="BH110" s="357"/>
      <c r="BI110" s="357"/>
      <c r="BJ110" s="357"/>
      <c r="BK110" s="357"/>
      <c r="BL110" s="357"/>
      <c r="BM110" s="357"/>
      <c r="BN110" s="357"/>
      <c r="BO110" s="357"/>
      <c r="BP110" s="357"/>
      <c r="BQ110" s="357"/>
      <c r="BR110" s="357"/>
      <c r="BS110" s="357"/>
      <c r="BT110" s="357"/>
      <c r="BU110" s="357"/>
      <c r="BV110" s="357"/>
      <c r="BW110" s="357"/>
      <c r="BX110" s="393"/>
    </row>
    <row r="111" spans="1:76" x14ac:dyDescent="0.2">
      <c r="A111" s="368"/>
      <c r="B111" s="357"/>
      <c r="C111" s="357"/>
      <c r="D111" s="357"/>
      <c r="E111" s="357"/>
      <c r="F111" s="357"/>
      <c r="G111" s="357"/>
      <c r="H111" s="357"/>
      <c r="I111" s="357"/>
      <c r="J111" s="357"/>
      <c r="K111" s="357"/>
      <c r="L111" s="357"/>
      <c r="M111" s="357"/>
      <c r="N111" s="357"/>
      <c r="O111" s="357"/>
      <c r="P111" s="357"/>
      <c r="Q111" s="357"/>
      <c r="R111" s="357"/>
      <c r="S111" s="393"/>
      <c r="T111" s="368"/>
      <c r="U111" s="357"/>
      <c r="V111" s="357"/>
      <c r="W111" s="357"/>
      <c r="X111" s="357"/>
      <c r="Y111" s="357"/>
      <c r="Z111" s="357"/>
      <c r="AA111" s="357"/>
      <c r="AB111" s="357"/>
      <c r="AC111" s="357"/>
      <c r="AD111" s="357"/>
      <c r="AE111" s="357"/>
      <c r="AF111" s="357"/>
      <c r="AG111" s="357"/>
      <c r="AH111" s="357"/>
      <c r="AI111" s="357"/>
      <c r="AJ111" s="357"/>
      <c r="AK111" s="357"/>
      <c r="AL111" s="393"/>
      <c r="AM111" s="368"/>
      <c r="AN111" s="357"/>
      <c r="AO111" s="357"/>
      <c r="AP111" s="357"/>
      <c r="AQ111" s="357"/>
      <c r="AR111" s="357"/>
      <c r="AS111" s="357"/>
      <c r="AT111" s="357"/>
      <c r="AU111" s="357"/>
      <c r="AV111" s="357"/>
      <c r="AW111" s="357"/>
      <c r="AX111" s="357"/>
      <c r="AY111" s="357"/>
      <c r="AZ111" s="357"/>
      <c r="BA111" s="357"/>
      <c r="BB111" s="357"/>
      <c r="BC111" s="357"/>
      <c r="BD111" s="357"/>
      <c r="BE111" s="393"/>
      <c r="BF111" s="368"/>
      <c r="BG111" s="357"/>
      <c r="BH111" s="357"/>
      <c r="BI111" s="357"/>
      <c r="BJ111" s="357"/>
      <c r="BK111" s="357"/>
      <c r="BL111" s="357"/>
      <c r="BM111" s="357"/>
      <c r="BN111" s="357"/>
      <c r="BO111" s="357"/>
      <c r="BP111" s="357"/>
      <c r="BQ111" s="357"/>
      <c r="BR111" s="357"/>
      <c r="BS111" s="357"/>
      <c r="BT111" s="357"/>
      <c r="BU111" s="357"/>
      <c r="BV111" s="357"/>
      <c r="BW111" s="357"/>
      <c r="BX111" s="393"/>
    </row>
    <row r="112" spans="1:76" x14ac:dyDescent="0.2">
      <c r="A112" s="368"/>
      <c r="B112" s="357"/>
      <c r="C112" s="357"/>
      <c r="D112" s="357"/>
      <c r="E112" s="357"/>
      <c r="F112" s="357"/>
      <c r="G112" s="357"/>
      <c r="H112" s="357"/>
      <c r="I112" s="357"/>
      <c r="J112" s="357"/>
      <c r="K112" s="357"/>
      <c r="L112" s="357"/>
      <c r="M112" s="357"/>
      <c r="N112" s="357"/>
      <c r="O112" s="357"/>
      <c r="P112" s="357"/>
      <c r="Q112" s="357"/>
      <c r="R112" s="357"/>
      <c r="S112" s="393"/>
      <c r="T112" s="368"/>
      <c r="U112" s="357"/>
      <c r="V112" s="357"/>
      <c r="W112" s="357"/>
      <c r="X112" s="357"/>
      <c r="Y112" s="357"/>
      <c r="Z112" s="357"/>
      <c r="AA112" s="357"/>
      <c r="AB112" s="357"/>
      <c r="AC112" s="357"/>
      <c r="AD112" s="357"/>
      <c r="AE112" s="357"/>
      <c r="AF112" s="357"/>
      <c r="AG112" s="357"/>
      <c r="AH112" s="357"/>
      <c r="AI112" s="357"/>
      <c r="AJ112" s="357"/>
      <c r="AK112" s="357"/>
      <c r="AL112" s="393"/>
      <c r="AM112" s="368"/>
      <c r="AN112" s="357"/>
      <c r="AO112" s="357"/>
      <c r="AP112" s="357"/>
      <c r="AQ112" s="357"/>
      <c r="AR112" s="357"/>
      <c r="AS112" s="357"/>
      <c r="AT112" s="357"/>
      <c r="AU112" s="357"/>
      <c r="AV112" s="357"/>
      <c r="AW112" s="357"/>
      <c r="AX112" s="357"/>
      <c r="AY112" s="357"/>
      <c r="AZ112" s="357"/>
      <c r="BA112" s="357"/>
      <c r="BB112" s="357"/>
      <c r="BC112" s="357"/>
      <c r="BD112" s="357"/>
      <c r="BE112" s="393"/>
      <c r="BF112" s="368"/>
      <c r="BG112" s="357"/>
      <c r="BH112" s="357"/>
      <c r="BI112" s="357"/>
      <c r="BJ112" s="357"/>
      <c r="BK112" s="357"/>
      <c r="BL112" s="357"/>
      <c r="BM112" s="357"/>
      <c r="BN112" s="357"/>
      <c r="BO112" s="357"/>
      <c r="BP112" s="357"/>
      <c r="BQ112" s="357"/>
      <c r="BR112" s="357"/>
      <c r="BS112" s="357"/>
      <c r="BT112" s="357"/>
      <c r="BU112" s="357"/>
      <c r="BV112" s="357"/>
      <c r="BW112" s="357"/>
      <c r="BX112" s="393"/>
    </row>
    <row r="113" spans="1:76" x14ac:dyDescent="0.2">
      <c r="A113" s="368"/>
      <c r="B113" s="357"/>
      <c r="C113" s="357"/>
      <c r="D113" s="357"/>
      <c r="E113" s="357"/>
      <c r="F113" s="357"/>
      <c r="G113" s="357"/>
      <c r="H113" s="357"/>
      <c r="I113" s="357"/>
      <c r="J113" s="357"/>
      <c r="K113" s="357"/>
      <c r="L113" s="357"/>
      <c r="M113" s="357"/>
      <c r="N113" s="357"/>
      <c r="O113" s="357"/>
      <c r="P113" s="357"/>
      <c r="Q113" s="357"/>
      <c r="R113" s="357"/>
      <c r="S113" s="393"/>
      <c r="T113" s="368"/>
      <c r="U113" s="357"/>
      <c r="V113" s="357"/>
      <c r="W113" s="357"/>
      <c r="X113" s="357"/>
      <c r="Y113" s="357"/>
      <c r="Z113" s="357"/>
      <c r="AA113" s="357"/>
      <c r="AB113" s="357"/>
      <c r="AC113" s="357"/>
      <c r="AD113" s="357"/>
      <c r="AE113" s="357"/>
      <c r="AF113" s="357"/>
      <c r="AG113" s="357"/>
      <c r="AH113" s="357"/>
      <c r="AI113" s="357"/>
      <c r="AJ113" s="357"/>
      <c r="AK113" s="357"/>
      <c r="AL113" s="393"/>
      <c r="AM113" s="368"/>
      <c r="AN113" s="357"/>
      <c r="AO113" s="357"/>
      <c r="AP113" s="357"/>
      <c r="AQ113" s="357"/>
      <c r="AR113" s="357"/>
      <c r="AS113" s="357"/>
      <c r="AT113" s="357"/>
      <c r="AU113" s="357"/>
      <c r="AV113" s="357"/>
      <c r="AW113" s="357"/>
      <c r="AX113" s="357"/>
      <c r="AY113" s="357"/>
      <c r="AZ113" s="357"/>
      <c r="BA113" s="357"/>
      <c r="BB113" s="357"/>
      <c r="BC113" s="357"/>
      <c r="BD113" s="357"/>
      <c r="BE113" s="393"/>
      <c r="BF113" s="368"/>
      <c r="BG113" s="357"/>
      <c r="BH113" s="357"/>
      <c r="BI113" s="357"/>
      <c r="BJ113" s="357"/>
      <c r="BK113" s="357"/>
      <c r="BL113" s="357"/>
      <c r="BM113" s="357"/>
      <c r="BN113" s="357"/>
      <c r="BO113" s="357"/>
      <c r="BP113" s="357"/>
      <c r="BQ113" s="357"/>
      <c r="BR113" s="357"/>
      <c r="BS113" s="357"/>
      <c r="BT113" s="357"/>
      <c r="BU113" s="357"/>
      <c r="BV113" s="357"/>
      <c r="BW113" s="357"/>
      <c r="BX113" s="393"/>
    </row>
    <row r="114" spans="1:76" x14ac:dyDescent="0.2">
      <c r="A114" s="368"/>
      <c r="B114" s="357"/>
      <c r="C114" s="357"/>
      <c r="D114" s="357"/>
      <c r="E114" s="357"/>
      <c r="F114" s="357"/>
      <c r="G114" s="357"/>
      <c r="H114" s="357"/>
      <c r="I114" s="357"/>
      <c r="J114" s="357"/>
      <c r="K114" s="357"/>
      <c r="L114" s="357"/>
      <c r="M114" s="357"/>
      <c r="N114" s="357"/>
      <c r="O114" s="357"/>
      <c r="P114" s="357"/>
      <c r="Q114" s="357"/>
      <c r="R114" s="357"/>
      <c r="S114" s="393"/>
      <c r="T114" s="368"/>
      <c r="U114" s="357"/>
      <c r="V114" s="357"/>
      <c r="W114" s="357"/>
      <c r="X114" s="357"/>
      <c r="Y114" s="357"/>
      <c r="Z114" s="357"/>
      <c r="AA114" s="357"/>
      <c r="AB114" s="357"/>
      <c r="AC114" s="357"/>
      <c r="AD114" s="357"/>
      <c r="AE114" s="357"/>
      <c r="AF114" s="357"/>
      <c r="AG114" s="357"/>
      <c r="AH114" s="357"/>
      <c r="AI114" s="357"/>
      <c r="AJ114" s="357"/>
      <c r="AK114" s="357"/>
      <c r="AL114" s="393"/>
      <c r="AM114" s="368"/>
      <c r="AN114" s="357"/>
      <c r="AO114" s="357"/>
      <c r="AP114" s="357"/>
      <c r="AQ114" s="357"/>
      <c r="AR114" s="357"/>
      <c r="AS114" s="357"/>
      <c r="AT114" s="357"/>
      <c r="AU114" s="357"/>
      <c r="AV114" s="357"/>
      <c r="AW114" s="357"/>
      <c r="AX114" s="357"/>
      <c r="AY114" s="357"/>
      <c r="AZ114" s="357"/>
      <c r="BA114" s="357"/>
      <c r="BB114" s="357"/>
      <c r="BC114" s="357"/>
      <c r="BD114" s="357"/>
      <c r="BE114" s="393"/>
      <c r="BF114" s="368"/>
      <c r="BG114" s="357"/>
      <c r="BH114" s="357"/>
      <c r="BI114" s="357"/>
      <c r="BJ114" s="357"/>
      <c r="BK114" s="357"/>
      <c r="BL114" s="357"/>
      <c r="BM114" s="357"/>
      <c r="BN114" s="357"/>
      <c r="BO114" s="357"/>
      <c r="BP114" s="357"/>
      <c r="BQ114" s="357"/>
      <c r="BR114" s="357"/>
      <c r="BS114" s="357"/>
      <c r="BT114" s="357"/>
      <c r="BU114" s="357"/>
      <c r="BV114" s="357"/>
      <c r="BW114" s="357"/>
      <c r="BX114" s="393"/>
    </row>
    <row r="115" spans="1:76" x14ac:dyDescent="0.2">
      <c r="A115" s="368"/>
      <c r="B115" s="357"/>
      <c r="C115" s="357"/>
      <c r="D115" s="357"/>
      <c r="E115" s="357"/>
      <c r="F115" s="357"/>
      <c r="G115" s="357"/>
      <c r="H115" s="357"/>
      <c r="I115" s="357"/>
      <c r="J115" s="357"/>
      <c r="K115" s="357"/>
      <c r="L115" s="357"/>
      <c r="M115" s="357"/>
      <c r="N115" s="357"/>
      <c r="O115" s="357"/>
      <c r="P115" s="357"/>
      <c r="Q115" s="357"/>
      <c r="R115" s="357"/>
      <c r="S115" s="393"/>
      <c r="T115" s="368"/>
      <c r="U115" s="357"/>
      <c r="V115" s="357"/>
      <c r="W115" s="357"/>
      <c r="X115" s="357"/>
      <c r="Y115" s="357"/>
      <c r="Z115" s="357"/>
      <c r="AA115" s="357"/>
      <c r="AB115" s="357"/>
      <c r="AC115" s="357"/>
      <c r="AD115" s="357"/>
      <c r="AE115" s="357"/>
      <c r="AF115" s="357"/>
      <c r="AG115" s="357"/>
      <c r="AH115" s="357"/>
      <c r="AI115" s="357"/>
      <c r="AJ115" s="357"/>
      <c r="AK115" s="357"/>
      <c r="AL115" s="393"/>
      <c r="AM115" s="368"/>
      <c r="AN115" s="357"/>
      <c r="AO115" s="357"/>
      <c r="AP115" s="357"/>
      <c r="AQ115" s="357"/>
      <c r="AR115" s="357"/>
      <c r="AS115" s="357"/>
      <c r="AT115" s="357"/>
      <c r="AU115" s="357"/>
      <c r="AV115" s="357"/>
      <c r="AW115" s="357"/>
      <c r="AX115" s="357"/>
      <c r="AY115" s="357"/>
      <c r="AZ115" s="357"/>
      <c r="BA115" s="357"/>
      <c r="BB115" s="357"/>
      <c r="BC115" s="357"/>
      <c r="BD115" s="357"/>
      <c r="BE115" s="393"/>
      <c r="BF115" s="368"/>
      <c r="BG115" s="357"/>
      <c r="BH115" s="357"/>
      <c r="BI115" s="357"/>
      <c r="BJ115" s="357"/>
      <c r="BK115" s="357"/>
      <c r="BL115" s="357"/>
      <c r="BM115" s="357"/>
      <c r="BN115" s="357"/>
      <c r="BO115" s="357"/>
      <c r="BP115" s="357"/>
      <c r="BQ115" s="357"/>
      <c r="BR115" s="357"/>
      <c r="BS115" s="357"/>
      <c r="BT115" s="357"/>
      <c r="BU115" s="357"/>
      <c r="BV115" s="357"/>
      <c r="BW115" s="357"/>
      <c r="BX115" s="393"/>
    </row>
    <row r="116" spans="1:76" x14ac:dyDescent="0.2">
      <c r="A116" s="368"/>
      <c r="B116" s="357"/>
      <c r="C116" s="357"/>
      <c r="D116" s="357"/>
      <c r="E116" s="357"/>
      <c r="F116" s="357"/>
      <c r="G116" s="357"/>
      <c r="H116" s="357"/>
      <c r="I116" s="357"/>
      <c r="J116" s="357"/>
      <c r="K116" s="357"/>
      <c r="L116" s="357"/>
      <c r="M116" s="357"/>
      <c r="N116" s="357"/>
      <c r="O116" s="357"/>
      <c r="P116" s="357"/>
      <c r="Q116" s="357"/>
      <c r="R116" s="357"/>
      <c r="S116" s="393"/>
      <c r="T116" s="368"/>
      <c r="U116" s="357"/>
      <c r="V116" s="357"/>
      <c r="W116" s="357"/>
      <c r="X116" s="357"/>
      <c r="Y116" s="357"/>
      <c r="Z116" s="357"/>
      <c r="AA116" s="357"/>
      <c r="AB116" s="357"/>
      <c r="AC116" s="357"/>
      <c r="AD116" s="357"/>
      <c r="AE116" s="357"/>
      <c r="AF116" s="357"/>
      <c r="AG116" s="357"/>
      <c r="AH116" s="357"/>
      <c r="AI116" s="357"/>
      <c r="AJ116" s="357"/>
      <c r="AK116" s="357"/>
      <c r="AL116" s="393"/>
      <c r="AM116" s="368"/>
      <c r="AN116" s="357"/>
      <c r="AO116" s="357"/>
      <c r="AP116" s="357"/>
      <c r="AQ116" s="357"/>
      <c r="AR116" s="357"/>
      <c r="AS116" s="357"/>
      <c r="AT116" s="357"/>
      <c r="AU116" s="357"/>
      <c r="AV116" s="357"/>
      <c r="AW116" s="357"/>
      <c r="AX116" s="357"/>
      <c r="AY116" s="357"/>
      <c r="AZ116" s="357"/>
      <c r="BA116" s="357"/>
      <c r="BB116" s="357"/>
      <c r="BC116" s="357"/>
      <c r="BD116" s="357"/>
      <c r="BE116" s="393"/>
      <c r="BF116" s="368"/>
      <c r="BG116" s="357"/>
      <c r="BH116" s="357"/>
      <c r="BI116" s="357"/>
      <c r="BJ116" s="357"/>
      <c r="BK116" s="357"/>
      <c r="BL116" s="357"/>
      <c r="BM116" s="357"/>
      <c r="BN116" s="357"/>
      <c r="BO116" s="357"/>
      <c r="BP116" s="357"/>
      <c r="BQ116" s="357"/>
      <c r="BR116" s="357"/>
      <c r="BS116" s="357"/>
      <c r="BT116" s="357"/>
      <c r="BU116" s="357"/>
      <c r="BV116" s="357"/>
      <c r="BW116" s="357"/>
      <c r="BX116" s="393"/>
    </row>
    <row r="117" spans="1:76" x14ac:dyDescent="0.2">
      <c r="A117" s="368"/>
      <c r="B117" s="357"/>
      <c r="C117" s="357"/>
      <c r="D117" s="357"/>
      <c r="E117" s="357"/>
      <c r="F117" s="357"/>
      <c r="G117" s="357"/>
      <c r="H117" s="357"/>
      <c r="I117" s="357"/>
      <c r="J117" s="357"/>
      <c r="K117" s="357"/>
      <c r="L117" s="357"/>
      <c r="M117" s="357"/>
      <c r="N117" s="357"/>
      <c r="O117" s="357"/>
      <c r="P117" s="357"/>
      <c r="Q117" s="357"/>
      <c r="R117" s="357"/>
      <c r="S117" s="393"/>
      <c r="T117" s="368"/>
      <c r="U117" s="357"/>
      <c r="V117" s="357"/>
      <c r="W117" s="357"/>
      <c r="X117" s="357"/>
      <c r="Y117" s="357"/>
      <c r="Z117" s="357"/>
      <c r="AA117" s="357"/>
      <c r="AB117" s="357"/>
      <c r="AC117" s="357"/>
      <c r="AD117" s="357"/>
      <c r="AE117" s="357"/>
      <c r="AF117" s="357"/>
      <c r="AG117" s="357"/>
      <c r="AH117" s="357"/>
      <c r="AI117" s="357"/>
      <c r="AJ117" s="357"/>
      <c r="AK117" s="357"/>
      <c r="AL117" s="393"/>
      <c r="AM117" s="368"/>
      <c r="AN117" s="357"/>
      <c r="AO117" s="357"/>
      <c r="AP117" s="357"/>
      <c r="AQ117" s="357"/>
      <c r="AR117" s="357"/>
      <c r="AS117" s="357"/>
      <c r="AT117" s="357"/>
      <c r="AU117" s="357"/>
      <c r="AV117" s="357"/>
      <c r="AW117" s="357"/>
      <c r="AX117" s="357"/>
      <c r="AY117" s="357"/>
      <c r="AZ117" s="357"/>
      <c r="BA117" s="357"/>
      <c r="BB117" s="357"/>
      <c r="BC117" s="357"/>
      <c r="BD117" s="357"/>
      <c r="BE117" s="393"/>
      <c r="BF117" s="368"/>
      <c r="BG117" s="357"/>
      <c r="BH117" s="357"/>
      <c r="BI117" s="357"/>
      <c r="BJ117" s="357"/>
      <c r="BK117" s="357"/>
      <c r="BL117" s="357"/>
      <c r="BM117" s="357"/>
      <c r="BN117" s="357"/>
      <c r="BO117" s="357"/>
      <c r="BP117" s="357"/>
      <c r="BQ117" s="357"/>
      <c r="BR117" s="357"/>
      <c r="BS117" s="357"/>
      <c r="BT117" s="357"/>
      <c r="BU117" s="357"/>
      <c r="BV117" s="357"/>
      <c r="BW117" s="357"/>
      <c r="BX117" s="393"/>
    </row>
    <row r="118" spans="1:76" x14ac:dyDescent="0.2">
      <c r="A118" s="368"/>
      <c r="B118" s="357"/>
      <c r="C118" s="357"/>
      <c r="D118" s="357"/>
      <c r="E118" s="357"/>
      <c r="F118" s="357"/>
      <c r="G118" s="357"/>
      <c r="H118" s="357"/>
      <c r="I118" s="357"/>
      <c r="J118" s="357"/>
      <c r="K118" s="357"/>
      <c r="L118" s="357"/>
      <c r="M118" s="357"/>
      <c r="N118" s="357"/>
      <c r="O118" s="357"/>
      <c r="P118" s="357"/>
      <c r="Q118" s="357"/>
      <c r="R118" s="357"/>
      <c r="S118" s="393"/>
      <c r="T118" s="368"/>
      <c r="U118" s="357"/>
      <c r="V118" s="357"/>
      <c r="W118" s="357"/>
      <c r="X118" s="357"/>
      <c r="Y118" s="357"/>
      <c r="Z118" s="357"/>
      <c r="AA118" s="357"/>
      <c r="AB118" s="357"/>
      <c r="AC118" s="357"/>
      <c r="AD118" s="357"/>
      <c r="AE118" s="357"/>
      <c r="AF118" s="357"/>
      <c r="AG118" s="357"/>
      <c r="AH118" s="357"/>
      <c r="AI118" s="357"/>
      <c r="AJ118" s="357"/>
      <c r="AK118" s="357"/>
      <c r="AL118" s="393"/>
      <c r="AM118" s="368"/>
      <c r="AN118" s="357"/>
      <c r="AO118" s="357"/>
      <c r="AP118" s="357"/>
      <c r="AQ118" s="357"/>
      <c r="AR118" s="357"/>
      <c r="AS118" s="357"/>
      <c r="AT118" s="357"/>
      <c r="AU118" s="357"/>
      <c r="AV118" s="357"/>
      <c r="AW118" s="357"/>
      <c r="AX118" s="357"/>
      <c r="AY118" s="357"/>
      <c r="AZ118" s="357"/>
      <c r="BA118" s="357"/>
      <c r="BB118" s="357"/>
      <c r="BC118" s="357"/>
      <c r="BD118" s="357"/>
      <c r="BE118" s="393"/>
      <c r="BF118" s="368"/>
      <c r="BG118" s="357"/>
      <c r="BH118" s="357"/>
      <c r="BI118" s="357"/>
      <c r="BJ118" s="357"/>
      <c r="BK118" s="357"/>
      <c r="BL118" s="357"/>
      <c r="BM118" s="357"/>
      <c r="BN118" s="357"/>
      <c r="BO118" s="357"/>
      <c r="BP118" s="357"/>
      <c r="BQ118" s="357"/>
      <c r="BR118" s="357"/>
      <c r="BS118" s="357"/>
      <c r="BT118" s="357"/>
      <c r="BU118" s="357"/>
      <c r="BV118" s="357"/>
      <c r="BW118" s="357"/>
      <c r="BX118" s="393"/>
    </row>
    <row r="119" spans="1:76" x14ac:dyDescent="0.2">
      <c r="A119" s="368"/>
      <c r="B119" s="357"/>
      <c r="C119" s="357"/>
      <c r="D119" s="357"/>
      <c r="E119" s="357"/>
      <c r="F119" s="357"/>
      <c r="G119" s="357"/>
      <c r="H119" s="357"/>
      <c r="I119" s="357"/>
      <c r="J119" s="357"/>
      <c r="K119" s="357"/>
      <c r="L119" s="357"/>
      <c r="M119" s="357"/>
      <c r="N119" s="357"/>
      <c r="O119" s="357"/>
      <c r="P119" s="357"/>
      <c r="Q119" s="357"/>
      <c r="R119" s="357"/>
      <c r="S119" s="393"/>
      <c r="T119" s="368"/>
      <c r="U119" s="357"/>
      <c r="V119" s="357"/>
      <c r="W119" s="357"/>
      <c r="X119" s="357"/>
      <c r="Y119" s="357"/>
      <c r="Z119" s="357"/>
      <c r="AA119" s="357"/>
      <c r="AB119" s="357"/>
      <c r="AC119" s="357"/>
      <c r="AD119" s="357"/>
      <c r="AE119" s="357"/>
      <c r="AF119" s="357"/>
      <c r="AG119" s="357"/>
      <c r="AH119" s="357"/>
      <c r="AI119" s="357"/>
      <c r="AJ119" s="357"/>
      <c r="AK119" s="357"/>
      <c r="AL119" s="393"/>
      <c r="AM119" s="368"/>
      <c r="AN119" s="357"/>
      <c r="AO119" s="357"/>
      <c r="AP119" s="357"/>
      <c r="AQ119" s="357"/>
      <c r="AR119" s="357"/>
      <c r="AS119" s="357"/>
      <c r="AT119" s="357"/>
      <c r="AU119" s="357"/>
      <c r="AV119" s="357"/>
      <c r="AW119" s="357"/>
      <c r="AX119" s="357"/>
      <c r="AY119" s="357"/>
      <c r="AZ119" s="357"/>
      <c r="BA119" s="357"/>
      <c r="BB119" s="357"/>
      <c r="BC119" s="357"/>
      <c r="BD119" s="357"/>
      <c r="BE119" s="393"/>
      <c r="BF119" s="368"/>
      <c r="BG119" s="357"/>
      <c r="BH119" s="357"/>
      <c r="BI119" s="357"/>
      <c r="BJ119" s="357"/>
      <c r="BK119" s="357"/>
      <c r="BL119" s="357"/>
      <c r="BM119" s="357"/>
      <c r="BN119" s="357"/>
      <c r="BO119" s="357"/>
      <c r="BP119" s="357"/>
      <c r="BQ119" s="357"/>
      <c r="BR119" s="357"/>
      <c r="BS119" s="357"/>
      <c r="BT119" s="357"/>
      <c r="BU119" s="357"/>
      <c r="BV119" s="357"/>
      <c r="BW119" s="357"/>
      <c r="BX119" s="393"/>
    </row>
    <row r="120" spans="1:76" x14ac:dyDescent="0.2">
      <c r="A120" s="368"/>
      <c r="B120" s="357"/>
      <c r="C120" s="357"/>
      <c r="D120" s="357"/>
      <c r="E120" s="357"/>
      <c r="F120" s="357"/>
      <c r="G120" s="357"/>
      <c r="H120" s="357"/>
      <c r="I120" s="357"/>
      <c r="J120" s="357"/>
      <c r="K120" s="357"/>
      <c r="L120" s="357"/>
      <c r="M120" s="357"/>
      <c r="N120" s="357"/>
      <c r="O120" s="357"/>
      <c r="P120" s="357"/>
      <c r="Q120" s="357"/>
      <c r="R120" s="357"/>
      <c r="S120" s="393"/>
      <c r="T120" s="368"/>
      <c r="U120" s="357"/>
      <c r="V120" s="357"/>
      <c r="W120" s="357"/>
      <c r="X120" s="357"/>
      <c r="Y120" s="357"/>
      <c r="Z120" s="357"/>
      <c r="AA120" s="357"/>
      <c r="AB120" s="357"/>
      <c r="AC120" s="357"/>
      <c r="AD120" s="357"/>
      <c r="AE120" s="357"/>
      <c r="AF120" s="357"/>
      <c r="AG120" s="357"/>
      <c r="AH120" s="357"/>
      <c r="AI120" s="357"/>
      <c r="AJ120" s="357"/>
      <c r="AK120" s="357"/>
      <c r="AL120" s="393"/>
      <c r="AM120" s="368"/>
      <c r="AN120" s="357"/>
      <c r="AO120" s="357"/>
      <c r="AP120" s="357"/>
      <c r="AQ120" s="357"/>
      <c r="AR120" s="357"/>
      <c r="AS120" s="357"/>
      <c r="AT120" s="357"/>
      <c r="AU120" s="357"/>
      <c r="AV120" s="357"/>
      <c r="AW120" s="357"/>
      <c r="AX120" s="357"/>
      <c r="AY120" s="357"/>
      <c r="AZ120" s="357"/>
      <c r="BA120" s="357"/>
      <c r="BB120" s="357"/>
      <c r="BC120" s="357"/>
      <c r="BD120" s="357"/>
      <c r="BE120" s="393"/>
      <c r="BF120" s="368"/>
      <c r="BG120" s="357"/>
      <c r="BH120" s="357"/>
      <c r="BI120" s="357"/>
      <c r="BJ120" s="357"/>
      <c r="BK120" s="357"/>
      <c r="BL120" s="357"/>
      <c r="BM120" s="357"/>
      <c r="BN120" s="357"/>
      <c r="BO120" s="357"/>
      <c r="BP120" s="357"/>
      <c r="BQ120" s="357"/>
      <c r="BR120" s="357"/>
      <c r="BS120" s="357"/>
      <c r="BT120" s="357"/>
      <c r="BU120" s="357"/>
      <c r="BV120" s="357"/>
      <c r="BW120" s="357"/>
      <c r="BX120" s="393"/>
    </row>
    <row r="121" spans="1:76" x14ac:dyDescent="0.2">
      <c r="A121" s="368"/>
      <c r="B121" s="357"/>
      <c r="C121" s="357"/>
      <c r="D121" s="357"/>
      <c r="E121" s="357"/>
      <c r="F121" s="357"/>
      <c r="G121" s="357"/>
      <c r="H121" s="357"/>
      <c r="I121" s="357"/>
      <c r="J121" s="357"/>
      <c r="K121" s="357"/>
      <c r="L121" s="357"/>
      <c r="M121" s="357"/>
      <c r="N121" s="357"/>
      <c r="O121" s="357"/>
      <c r="P121" s="357"/>
      <c r="Q121" s="357"/>
      <c r="R121" s="357"/>
      <c r="S121" s="393"/>
      <c r="T121" s="368"/>
      <c r="U121" s="357"/>
      <c r="V121" s="357"/>
      <c r="W121" s="357"/>
      <c r="X121" s="357"/>
      <c r="Y121" s="357"/>
      <c r="Z121" s="357"/>
      <c r="AA121" s="357"/>
      <c r="AB121" s="357"/>
      <c r="AC121" s="357"/>
      <c r="AD121" s="357"/>
      <c r="AE121" s="357"/>
      <c r="AF121" s="357"/>
      <c r="AG121" s="357"/>
      <c r="AH121" s="357"/>
      <c r="AI121" s="357"/>
      <c r="AJ121" s="357"/>
      <c r="AK121" s="357"/>
      <c r="AL121" s="393"/>
      <c r="AM121" s="368"/>
      <c r="AN121" s="357"/>
      <c r="AO121" s="357"/>
      <c r="AP121" s="357"/>
      <c r="AQ121" s="357"/>
      <c r="AR121" s="357"/>
      <c r="AS121" s="357"/>
      <c r="AT121" s="357"/>
      <c r="AU121" s="357"/>
      <c r="AV121" s="357"/>
      <c r="AW121" s="357"/>
      <c r="AX121" s="357"/>
      <c r="AY121" s="357"/>
      <c r="AZ121" s="357"/>
      <c r="BA121" s="357"/>
      <c r="BB121" s="357"/>
      <c r="BC121" s="357"/>
      <c r="BD121" s="357"/>
      <c r="BE121" s="393"/>
      <c r="BF121" s="368"/>
      <c r="BG121" s="357"/>
      <c r="BH121" s="357"/>
      <c r="BI121" s="357"/>
      <c r="BJ121" s="357"/>
      <c r="BK121" s="357"/>
      <c r="BL121" s="357"/>
      <c r="BM121" s="357"/>
      <c r="BN121" s="357"/>
      <c r="BO121" s="357"/>
      <c r="BP121" s="357"/>
      <c r="BQ121" s="357"/>
      <c r="BR121" s="357"/>
      <c r="BS121" s="357"/>
      <c r="BT121" s="357"/>
      <c r="BU121" s="357"/>
      <c r="BV121" s="357"/>
      <c r="BW121" s="357"/>
      <c r="BX121" s="393"/>
    </row>
    <row r="122" spans="1:76" x14ac:dyDescent="0.2">
      <c r="A122" s="368"/>
      <c r="B122" s="357"/>
      <c r="C122" s="357"/>
      <c r="D122" s="357"/>
      <c r="E122" s="357"/>
      <c r="F122" s="357"/>
      <c r="G122" s="357"/>
      <c r="H122" s="357"/>
      <c r="I122" s="357"/>
      <c r="J122" s="357"/>
      <c r="K122" s="357"/>
      <c r="L122" s="357"/>
      <c r="M122" s="357"/>
      <c r="N122" s="357"/>
      <c r="O122" s="357"/>
      <c r="P122" s="357"/>
      <c r="Q122" s="357"/>
      <c r="R122" s="357"/>
      <c r="S122" s="393"/>
      <c r="T122" s="368"/>
      <c r="U122" s="357"/>
      <c r="V122" s="357"/>
      <c r="W122" s="357"/>
      <c r="X122" s="357"/>
      <c r="Y122" s="357"/>
      <c r="Z122" s="357"/>
      <c r="AA122" s="357"/>
      <c r="AB122" s="357"/>
      <c r="AC122" s="357"/>
      <c r="AD122" s="357"/>
      <c r="AE122" s="357"/>
      <c r="AF122" s="357"/>
      <c r="AG122" s="357"/>
      <c r="AH122" s="357"/>
      <c r="AI122" s="357"/>
      <c r="AJ122" s="357"/>
      <c r="AK122" s="357"/>
      <c r="AL122" s="393"/>
      <c r="AM122" s="368"/>
      <c r="AN122" s="357"/>
      <c r="AO122" s="357"/>
      <c r="AP122" s="357"/>
      <c r="AQ122" s="357"/>
      <c r="AR122" s="357"/>
      <c r="AS122" s="357"/>
      <c r="AT122" s="357"/>
      <c r="AU122" s="357"/>
      <c r="AV122" s="357"/>
      <c r="AW122" s="357"/>
      <c r="AX122" s="357"/>
      <c r="AY122" s="357"/>
      <c r="AZ122" s="357"/>
      <c r="BA122" s="357"/>
      <c r="BB122" s="357"/>
      <c r="BC122" s="357"/>
      <c r="BD122" s="357"/>
      <c r="BE122" s="393"/>
      <c r="BF122" s="368"/>
      <c r="BG122" s="357"/>
      <c r="BH122" s="357"/>
      <c r="BI122" s="357"/>
      <c r="BJ122" s="357"/>
      <c r="BK122" s="357"/>
      <c r="BL122" s="357"/>
      <c r="BM122" s="357"/>
      <c r="BN122" s="357"/>
      <c r="BO122" s="357"/>
      <c r="BP122" s="357"/>
      <c r="BQ122" s="357"/>
      <c r="BR122" s="357"/>
      <c r="BS122" s="357"/>
      <c r="BT122" s="357"/>
      <c r="BU122" s="357"/>
      <c r="BV122" s="357"/>
      <c r="BW122" s="357"/>
      <c r="BX122" s="393"/>
    </row>
    <row r="123" spans="1:76" x14ac:dyDescent="0.2">
      <c r="A123" s="368"/>
      <c r="B123" s="357"/>
      <c r="C123" s="357"/>
      <c r="D123" s="357"/>
      <c r="E123" s="357"/>
      <c r="F123" s="357"/>
      <c r="G123" s="357"/>
      <c r="H123" s="357"/>
      <c r="I123" s="357"/>
      <c r="J123" s="357"/>
      <c r="K123" s="357"/>
      <c r="L123" s="357"/>
      <c r="M123" s="357"/>
      <c r="N123" s="357"/>
      <c r="O123" s="357"/>
      <c r="P123" s="357"/>
      <c r="Q123" s="357"/>
      <c r="R123" s="357"/>
      <c r="S123" s="393"/>
      <c r="T123" s="368"/>
      <c r="U123" s="357"/>
      <c r="V123" s="357"/>
      <c r="W123" s="357"/>
      <c r="X123" s="357"/>
      <c r="Y123" s="357"/>
      <c r="Z123" s="357"/>
      <c r="AA123" s="357"/>
      <c r="AB123" s="357"/>
      <c r="AC123" s="357"/>
      <c r="AD123" s="357"/>
      <c r="AE123" s="357"/>
      <c r="AF123" s="357"/>
      <c r="AG123" s="357"/>
      <c r="AH123" s="357"/>
      <c r="AI123" s="357"/>
      <c r="AJ123" s="357"/>
      <c r="AK123" s="357"/>
      <c r="AL123" s="393"/>
      <c r="AM123" s="368"/>
      <c r="AN123" s="357"/>
      <c r="AO123" s="357"/>
      <c r="AP123" s="357"/>
      <c r="AQ123" s="357"/>
      <c r="AR123" s="357"/>
      <c r="AS123" s="357"/>
      <c r="AT123" s="357"/>
      <c r="AU123" s="357"/>
      <c r="AV123" s="357"/>
      <c r="AW123" s="357"/>
      <c r="AX123" s="357"/>
      <c r="AY123" s="357"/>
      <c r="AZ123" s="357"/>
      <c r="BA123" s="357"/>
      <c r="BB123" s="357"/>
      <c r="BC123" s="357"/>
      <c r="BD123" s="357"/>
      <c r="BE123" s="393"/>
      <c r="BF123" s="368"/>
      <c r="BG123" s="357"/>
      <c r="BH123" s="357"/>
      <c r="BI123" s="357"/>
      <c r="BJ123" s="357"/>
      <c r="BK123" s="357"/>
      <c r="BL123" s="357"/>
      <c r="BM123" s="357"/>
      <c r="BN123" s="357"/>
      <c r="BO123" s="357"/>
      <c r="BP123" s="357"/>
      <c r="BQ123" s="357"/>
      <c r="BR123" s="357"/>
      <c r="BS123" s="357"/>
      <c r="BT123" s="357"/>
      <c r="BU123" s="357"/>
      <c r="BV123" s="357"/>
      <c r="BW123" s="357"/>
      <c r="BX123" s="393"/>
    </row>
    <row r="124" spans="1:76" x14ac:dyDescent="0.2">
      <c r="A124" s="368"/>
      <c r="B124" s="357"/>
      <c r="C124" s="357"/>
      <c r="D124" s="357"/>
      <c r="E124" s="357"/>
      <c r="F124" s="357"/>
      <c r="G124" s="357"/>
      <c r="H124" s="357"/>
      <c r="I124" s="357"/>
      <c r="J124" s="357"/>
      <c r="K124" s="357"/>
      <c r="L124" s="357"/>
      <c r="M124" s="357"/>
      <c r="N124" s="357"/>
      <c r="O124" s="357"/>
      <c r="P124" s="357"/>
      <c r="Q124" s="357"/>
      <c r="R124" s="357"/>
      <c r="S124" s="393"/>
      <c r="T124" s="368"/>
      <c r="U124" s="357"/>
      <c r="V124" s="357"/>
      <c r="W124" s="357"/>
      <c r="X124" s="357"/>
      <c r="Y124" s="357"/>
      <c r="Z124" s="357"/>
      <c r="AA124" s="357"/>
      <c r="AB124" s="357"/>
      <c r="AC124" s="357"/>
      <c r="AD124" s="357"/>
      <c r="AE124" s="357"/>
      <c r="AF124" s="357"/>
      <c r="AG124" s="357"/>
      <c r="AH124" s="357"/>
      <c r="AI124" s="357"/>
      <c r="AJ124" s="357"/>
      <c r="AK124" s="357"/>
      <c r="AL124" s="393"/>
      <c r="AM124" s="368"/>
      <c r="AN124" s="357"/>
      <c r="AO124" s="357"/>
      <c r="AP124" s="357"/>
      <c r="AQ124" s="357"/>
      <c r="AR124" s="357"/>
      <c r="AS124" s="357"/>
      <c r="AT124" s="357"/>
      <c r="AU124" s="357"/>
      <c r="AV124" s="357"/>
      <c r="AW124" s="357"/>
      <c r="AX124" s="357"/>
      <c r="AY124" s="357"/>
      <c r="AZ124" s="357"/>
      <c r="BA124" s="357"/>
      <c r="BB124" s="357"/>
      <c r="BC124" s="357"/>
      <c r="BD124" s="357"/>
      <c r="BE124" s="393"/>
      <c r="BF124" s="368"/>
      <c r="BG124" s="357"/>
      <c r="BH124" s="357"/>
      <c r="BI124" s="357"/>
      <c r="BJ124" s="357"/>
      <c r="BK124" s="357"/>
      <c r="BL124" s="357"/>
      <c r="BM124" s="357"/>
      <c r="BN124" s="357"/>
      <c r="BO124" s="357"/>
      <c r="BP124" s="357"/>
      <c r="BQ124" s="357"/>
      <c r="BR124" s="357"/>
      <c r="BS124" s="357"/>
      <c r="BT124" s="357"/>
      <c r="BU124" s="357"/>
      <c r="BV124" s="357"/>
      <c r="BW124" s="357"/>
      <c r="BX124" s="393"/>
    </row>
    <row r="125" spans="1:76" x14ac:dyDescent="0.2">
      <c r="A125" s="368"/>
      <c r="B125" s="357"/>
      <c r="C125" s="357"/>
      <c r="D125" s="357"/>
      <c r="E125" s="357"/>
      <c r="F125" s="357"/>
      <c r="G125" s="357"/>
      <c r="H125" s="357"/>
      <c r="I125" s="357"/>
      <c r="J125" s="357"/>
      <c r="K125" s="357"/>
      <c r="L125" s="357"/>
      <c r="M125" s="357"/>
      <c r="N125" s="357"/>
      <c r="O125" s="357"/>
      <c r="P125" s="357"/>
      <c r="Q125" s="357"/>
      <c r="R125" s="357"/>
      <c r="S125" s="393"/>
      <c r="T125" s="368"/>
      <c r="U125" s="357"/>
      <c r="V125" s="357"/>
      <c r="W125" s="357"/>
      <c r="X125" s="357"/>
      <c r="Y125" s="357"/>
      <c r="Z125" s="357"/>
      <c r="AA125" s="357"/>
      <c r="AB125" s="357"/>
      <c r="AC125" s="357"/>
      <c r="AD125" s="357"/>
      <c r="AE125" s="357"/>
      <c r="AF125" s="357"/>
      <c r="AG125" s="357"/>
      <c r="AH125" s="357"/>
      <c r="AI125" s="357"/>
      <c r="AJ125" s="357"/>
      <c r="AK125" s="357"/>
      <c r="AL125" s="393"/>
      <c r="AM125" s="368"/>
      <c r="AN125" s="357"/>
      <c r="AO125" s="357"/>
      <c r="AP125" s="357"/>
      <c r="AQ125" s="357"/>
      <c r="AR125" s="357"/>
      <c r="AS125" s="357"/>
      <c r="AT125" s="357"/>
      <c r="AU125" s="357"/>
      <c r="AV125" s="357"/>
      <c r="AW125" s="357"/>
      <c r="AX125" s="357"/>
      <c r="AY125" s="357"/>
      <c r="AZ125" s="357"/>
      <c r="BA125" s="357"/>
      <c r="BB125" s="357"/>
      <c r="BC125" s="357"/>
      <c r="BD125" s="357"/>
      <c r="BE125" s="393"/>
      <c r="BF125" s="368"/>
      <c r="BG125" s="357"/>
      <c r="BH125" s="357"/>
      <c r="BI125" s="357"/>
      <c r="BJ125" s="357"/>
      <c r="BK125" s="357"/>
      <c r="BL125" s="357"/>
      <c r="BM125" s="357"/>
      <c r="BN125" s="357"/>
      <c r="BO125" s="357"/>
      <c r="BP125" s="357"/>
      <c r="BQ125" s="357"/>
      <c r="BR125" s="357"/>
      <c r="BS125" s="357"/>
      <c r="BT125" s="357"/>
      <c r="BU125" s="357"/>
      <c r="BV125" s="357"/>
      <c r="BW125" s="357"/>
      <c r="BX125" s="393"/>
    </row>
    <row r="126" spans="1:76" x14ac:dyDescent="0.2">
      <c r="A126" s="368"/>
      <c r="B126" s="357"/>
      <c r="C126" s="357"/>
      <c r="D126" s="357"/>
      <c r="E126" s="357"/>
      <c r="F126" s="357"/>
      <c r="G126" s="357"/>
      <c r="H126" s="357"/>
      <c r="I126" s="357"/>
      <c r="J126" s="357"/>
      <c r="K126" s="357"/>
      <c r="L126" s="357"/>
      <c r="M126" s="357"/>
      <c r="N126" s="357"/>
      <c r="O126" s="357"/>
      <c r="P126" s="357"/>
      <c r="Q126" s="357"/>
      <c r="R126" s="357"/>
      <c r="S126" s="393"/>
      <c r="T126" s="368"/>
      <c r="U126" s="357"/>
      <c r="V126" s="357"/>
      <c r="W126" s="357"/>
      <c r="X126" s="357"/>
      <c r="Y126" s="357"/>
      <c r="Z126" s="357"/>
      <c r="AA126" s="357"/>
      <c r="AB126" s="357"/>
      <c r="AC126" s="357"/>
      <c r="AD126" s="357"/>
      <c r="AE126" s="357"/>
      <c r="AF126" s="357"/>
      <c r="AG126" s="357"/>
      <c r="AH126" s="357"/>
      <c r="AI126" s="357"/>
      <c r="AJ126" s="357"/>
      <c r="AK126" s="357"/>
      <c r="AL126" s="393"/>
      <c r="AM126" s="368"/>
      <c r="AN126" s="357"/>
      <c r="AO126" s="357"/>
      <c r="AP126" s="357"/>
      <c r="AQ126" s="357"/>
      <c r="AR126" s="357"/>
      <c r="AS126" s="357"/>
      <c r="AT126" s="357"/>
      <c r="AU126" s="357"/>
      <c r="AV126" s="357"/>
      <c r="AW126" s="357"/>
      <c r="AX126" s="357"/>
      <c r="AY126" s="357"/>
      <c r="AZ126" s="357"/>
      <c r="BA126" s="357"/>
      <c r="BB126" s="357"/>
      <c r="BC126" s="357"/>
      <c r="BD126" s="357"/>
      <c r="BE126" s="393"/>
      <c r="BF126" s="368"/>
      <c r="BG126" s="357"/>
      <c r="BH126" s="357"/>
      <c r="BI126" s="357"/>
      <c r="BJ126" s="357"/>
      <c r="BK126" s="357"/>
      <c r="BL126" s="357"/>
      <c r="BM126" s="357"/>
      <c r="BN126" s="357"/>
      <c r="BO126" s="357"/>
      <c r="BP126" s="357"/>
      <c r="BQ126" s="357"/>
      <c r="BR126" s="357"/>
      <c r="BS126" s="357"/>
      <c r="BT126" s="357"/>
      <c r="BU126" s="357"/>
      <c r="BV126" s="357"/>
      <c r="BW126" s="357"/>
      <c r="BX126" s="393"/>
    </row>
    <row r="127" spans="1:76" x14ac:dyDescent="0.2">
      <c r="A127" s="368"/>
      <c r="B127" s="357"/>
      <c r="C127" s="357"/>
      <c r="D127" s="357"/>
      <c r="E127" s="357"/>
      <c r="F127" s="357"/>
      <c r="G127" s="357"/>
      <c r="H127" s="357"/>
      <c r="I127" s="357"/>
      <c r="J127" s="357"/>
      <c r="K127" s="357"/>
      <c r="L127" s="357"/>
      <c r="M127" s="357"/>
      <c r="N127" s="357"/>
      <c r="O127" s="357"/>
      <c r="P127" s="357"/>
      <c r="Q127" s="357"/>
      <c r="R127" s="357"/>
      <c r="S127" s="393"/>
      <c r="T127" s="368"/>
      <c r="U127" s="357"/>
      <c r="V127" s="357"/>
      <c r="W127" s="357"/>
      <c r="X127" s="357"/>
      <c r="Y127" s="357"/>
      <c r="Z127" s="357"/>
      <c r="AA127" s="357"/>
      <c r="AB127" s="357"/>
      <c r="AC127" s="357"/>
      <c r="AD127" s="357"/>
      <c r="AE127" s="357"/>
      <c r="AF127" s="357"/>
      <c r="AG127" s="357"/>
      <c r="AH127" s="357"/>
      <c r="AI127" s="357"/>
      <c r="AJ127" s="357"/>
      <c r="AK127" s="357"/>
      <c r="AL127" s="393"/>
      <c r="AM127" s="368"/>
      <c r="AN127" s="357"/>
      <c r="AO127" s="357"/>
      <c r="AP127" s="357"/>
      <c r="AQ127" s="357"/>
      <c r="AR127" s="357"/>
      <c r="AS127" s="357"/>
      <c r="AT127" s="357"/>
      <c r="AU127" s="357"/>
      <c r="AV127" s="357"/>
      <c r="AW127" s="357"/>
      <c r="AX127" s="357"/>
      <c r="AY127" s="357"/>
      <c r="AZ127" s="357"/>
      <c r="BA127" s="357"/>
      <c r="BB127" s="357"/>
      <c r="BC127" s="357"/>
      <c r="BD127" s="357"/>
      <c r="BE127" s="393"/>
      <c r="BF127" s="368"/>
      <c r="BG127" s="357"/>
      <c r="BH127" s="357"/>
      <c r="BI127" s="357"/>
      <c r="BJ127" s="357"/>
      <c r="BK127" s="357"/>
      <c r="BL127" s="357"/>
      <c r="BM127" s="357"/>
      <c r="BN127" s="357"/>
      <c r="BO127" s="357"/>
      <c r="BP127" s="357"/>
      <c r="BQ127" s="357"/>
      <c r="BR127" s="357"/>
      <c r="BS127" s="357"/>
      <c r="BT127" s="357"/>
      <c r="BU127" s="357"/>
      <c r="BV127" s="357"/>
      <c r="BW127" s="357"/>
      <c r="BX127" s="393"/>
    </row>
    <row r="128" spans="1:76" x14ac:dyDescent="0.2">
      <c r="A128" s="368"/>
      <c r="B128" s="357"/>
      <c r="C128" s="357"/>
      <c r="D128" s="357"/>
      <c r="E128" s="357"/>
      <c r="F128" s="357"/>
      <c r="G128" s="357"/>
      <c r="H128" s="357"/>
      <c r="I128" s="357"/>
      <c r="J128" s="357"/>
      <c r="K128" s="357"/>
      <c r="L128" s="357"/>
      <c r="M128" s="357"/>
      <c r="N128" s="357"/>
      <c r="O128" s="357"/>
      <c r="P128" s="357"/>
      <c r="Q128" s="357"/>
      <c r="R128" s="357"/>
      <c r="S128" s="393"/>
      <c r="T128" s="368"/>
      <c r="U128" s="357"/>
      <c r="V128" s="357"/>
      <c r="W128" s="357"/>
      <c r="X128" s="357"/>
      <c r="Y128" s="357"/>
      <c r="Z128" s="357"/>
      <c r="AA128" s="357"/>
      <c r="AB128" s="357"/>
      <c r="AC128" s="357"/>
      <c r="AD128" s="357"/>
      <c r="AE128" s="357"/>
      <c r="AF128" s="357"/>
      <c r="AG128" s="357"/>
      <c r="AH128" s="357"/>
      <c r="AI128" s="357"/>
      <c r="AJ128" s="357"/>
      <c r="AK128" s="357"/>
      <c r="AL128" s="393"/>
      <c r="AM128" s="368"/>
      <c r="AN128" s="357"/>
      <c r="AO128" s="357"/>
      <c r="AP128" s="357"/>
      <c r="AQ128" s="357"/>
      <c r="AR128" s="357"/>
      <c r="AS128" s="357"/>
      <c r="AT128" s="357"/>
      <c r="AU128" s="357"/>
      <c r="AV128" s="357"/>
      <c r="AW128" s="357"/>
      <c r="AX128" s="357"/>
      <c r="AY128" s="357"/>
      <c r="AZ128" s="357"/>
      <c r="BA128" s="357"/>
      <c r="BB128" s="357"/>
      <c r="BC128" s="357"/>
      <c r="BD128" s="357"/>
      <c r="BE128" s="393"/>
      <c r="BF128" s="368"/>
      <c r="BG128" s="357"/>
      <c r="BH128" s="357"/>
      <c r="BI128" s="357"/>
      <c r="BJ128" s="357"/>
      <c r="BK128" s="357"/>
      <c r="BL128" s="357"/>
      <c r="BM128" s="357"/>
      <c r="BN128" s="357"/>
      <c r="BO128" s="357"/>
      <c r="BP128" s="357"/>
      <c r="BQ128" s="357"/>
      <c r="BR128" s="357"/>
      <c r="BS128" s="357"/>
      <c r="BT128" s="357"/>
      <c r="BU128" s="357"/>
      <c r="BV128" s="357"/>
      <c r="BW128" s="357"/>
      <c r="BX128" s="393"/>
    </row>
    <row r="129" spans="1:76" x14ac:dyDescent="0.2">
      <c r="A129" s="368"/>
      <c r="B129" s="357"/>
      <c r="C129" s="357"/>
      <c r="D129" s="357"/>
      <c r="E129" s="357"/>
      <c r="F129" s="357"/>
      <c r="G129" s="357"/>
      <c r="H129" s="357"/>
      <c r="I129" s="357"/>
      <c r="J129" s="357"/>
      <c r="K129" s="357"/>
      <c r="L129" s="357"/>
      <c r="M129" s="357"/>
      <c r="N129" s="357"/>
      <c r="O129" s="357"/>
      <c r="P129" s="357"/>
      <c r="Q129" s="357"/>
      <c r="R129" s="357"/>
      <c r="S129" s="393"/>
      <c r="T129" s="368"/>
      <c r="U129" s="357"/>
      <c r="V129" s="357"/>
      <c r="W129" s="357"/>
      <c r="X129" s="357"/>
      <c r="Y129" s="357"/>
      <c r="Z129" s="357"/>
      <c r="AA129" s="357"/>
      <c r="AB129" s="357"/>
      <c r="AC129" s="357"/>
      <c r="AD129" s="357"/>
      <c r="AE129" s="357"/>
      <c r="AF129" s="357"/>
      <c r="AG129" s="357"/>
      <c r="AH129" s="357"/>
      <c r="AI129" s="357"/>
      <c r="AJ129" s="357"/>
      <c r="AK129" s="357"/>
      <c r="AL129" s="393"/>
      <c r="AM129" s="368"/>
      <c r="AN129" s="357"/>
      <c r="AO129" s="357"/>
      <c r="AP129" s="357"/>
      <c r="AQ129" s="357"/>
      <c r="AR129" s="357"/>
      <c r="AS129" s="357"/>
      <c r="AT129" s="357"/>
      <c r="AU129" s="357"/>
      <c r="AV129" s="357"/>
      <c r="AW129" s="357"/>
      <c r="AX129" s="357"/>
      <c r="AY129" s="357"/>
      <c r="AZ129" s="357"/>
      <c r="BA129" s="357"/>
      <c r="BB129" s="357"/>
      <c r="BC129" s="357"/>
      <c r="BD129" s="357"/>
      <c r="BE129" s="393"/>
      <c r="BF129" s="368"/>
      <c r="BG129" s="357"/>
      <c r="BH129" s="357"/>
      <c r="BI129" s="357"/>
      <c r="BJ129" s="357"/>
      <c r="BK129" s="357"/>
      <c r="BL129" s="357"/>
      <c r="BM129" s="357"/>
      <c r="BN129" s="357"/>
      <c r="BO129" s="357"/>
      <c r="BP129" s="357"/>
      <c r="BQ129" s="357"/>
      <c r="BR129" s="357"/>
      <c r="BS129" s="357"/>
      <c r="BT129" s="357"/>
      <c r="BU129" s="357"/>
      <c r="BV129" s="357"/>
      <c r="BW129" s="357"/>
      <c r="BX129" s="393"/>
    </row>
    <row r="130" spans="1:76" x14ac:dyDescent="0.2">
      <c r="A130" s="368"/>
      <c r="B130" s="357"/>
      <c r="C130" s="357"/>
      <c r="D130" s="357"/>
      <c r="E130" s="357"/>
      <c r="F130" s="357"/>
      <c r="G130" s="357"/>
      <c r="H130" s="357"/>
      <c r="I130" s="357"/>
      <c r="J130" s="357"/>
      <c r="K130" s="357"/>
      <c r="L130" s="357"/>
      <c r="M130" s="357"/>
      <c r="N130" s="357"/>
      <c r="O130" s="357"/>
      <c r="P130" s="357"/>
      <c r="Q130" s="357"/>
      <c r="R130" s="357"/>
      <c r="S130" s="393"/>
      <c r="T130" s="368"/>
      <c r="U130" s="357"/>
      <c r="V130" s="357"/>
      <c r="W130" s="357"/>
      <c r="X130" s="357"/>
      <c r="Y130" s="357"/>
      <c r="Z130" s="357"/>
      <c r="AA130" s="357"/>
      <c r="AB130" s="357"/>
      <c r="AC130" s="357"/>
      <c r="AD130" s="357"/>
      <c r="AE130" s="357"/>
      <c r="AF130" s="357"/>
      <c r="AG130" s="357"/>
      <c r="AH130" s="357"/>
      <c r="AI130" s="357"/>
      <c r="AJ130" s="357"/>
      <c r="AK130" s="357"/>
      <c r="AL130" s="393"/>
      <c r="AM130" s="368"/>
      <c r="AN130" s="357"/>
      <c r="AO130" s="357"/>
      <c r="AP130" s="357"/>
      <c r="AQ130" s="357"/>
      <c r="AR130" s="357"/>
      <c r="AS130" s="357"/>
      <c r="AT130" s="357"/>
      <c r="AU130" s="357"/>
      <c r="AV130" s="357"/>
      <c r="AW130" s="357"/>
      <c r="AX130" s="357"/>
      <c r="AY130" s="357"/>
      <c r="AZ130" s="357"/>
      <c r="BA130" s="357"/>
      <c r="BB130" s="357"/>
      <c r="BC130" s="357"/>
      <c r="BD130" s="357"/>
      <c r="BE130" s="393"/>
      <c r="BF130" s="368"/>
      <c r="BG130" s="357"/>
      <c r="BH130" s="357"/>
      <c r="BI130" s="357"/>
      <c r="BJ130" s="357"/>
      <c r="BK130" s="357"/>
      <c r="BL130" s="357"/>
      <c r="BM130" s="357"/>
      <c r="BN130" s="357"/>
      <c r="BO130" s="357"/>
      <c r="BP130" s="357"/>
      <c r="BQ130" s="357"/>
      <c r="BR130" s="357"/>
      <c r="BS130" s="357"/>
      <c r="BT130" s="357"/>
      <c r="BU130" s="357"/>
      <c r="BV130" s="357"/>
      <c r="BW130" s="357"/>
      <c r="BX130" s="393"/>
    </row>
    <row r="131" spans="1:76" x14ac:dyDescent="0.2">
      <c r="A131" s="368"/>
      <c r="B131" s="357"/>
      <c r="C131" s="357"/>
      <c r="D131" s="357"/>
      <c r="E131" s="357"/>
      <c r="F131" s="357"/>
      <c r="G131" s="357"/>
      <c r="H131" s="357"/>
      <c r="I131" s="357"/>
      <c r="J131" s="357"/>
      <c r="K131" s="357"/>
      <c r="L131" s="357"/>
      <c r="M131" s="357"/>
      <c r="N131" s="357"/>
      <c r="O131" s="357"/>
      <c r="P131" s="357"/>
      <c r="Q131" s="357"/>
      <c r="R131" s="357"/>
      <c r="S131" s="393"/>
      <c r="T131" s="368"/>
      <c r="U131" s="357"/>
      <c r="V131" s="357"/>
      <c r="W131" s="357"/>
      <c r="X131" s="357"/>
      <c r="Y131" s="357"/>
      <c r="Z131" s="357"/>
      <c r="AA131" s="357"/>
      <c r="AB131" s="357"/>
      <c r="AC131" s="357"/>
      <c r="AD131" s="357"/>
      <c r="AE131" s="357"/>
      <c r="AF131" s="357"/>
      <c r="AG131" s="357"/>
      <c r="AH131" s="357"/>
      <c r="AI131" s="357"/>
      <c r="AJ131" s="357"/>
      <c r="AK131" s="357"/>
      <c r="AL131" s="393"/>
      <c r="AM131" s="368"/>
      <c r="AN131" s="357"/>
      <c r="AO131" s="357"/>
      <c r="AP131" s="357"/>
      <c r="AQ131" s="357"/>
      <c r="AR131" s="357"/>
      <c r="AS131" s="357"/>
      <c r="AT131" s="357"/>
      <c r="AU131" s="357"/>
      <c r="AV131" s="357"/>
      <c r="AW131" s="357"/>
      <c r="AX131" s="357"/>
      <c r="AY131" s="357"/>
      <c r="AZ131" s="357"/>
      <c r="BA131" s="357"/>
      <c r="BB131" s="357"/>
      <c r="BC131" s="357"/>
      <c r="BD131" s="357"/>
      <c r="BE131" s="393"/>
      <c r="BF131" s="368"/>
      <c r="BG131" s="357"/>
      <c r="BH131" s="357"/>
      <c r="BI131" s="357"/>
      <c r="BJ131" s="357"/>
      <c r="BK131" s="357"/>
      <c r="BL131" s="357"/>
      <c r="BM131" s="357"/>
      <c r="BN131" s="357"/>
      <c r="BO131" s="357"/>
      <c r="BP131" s="357"/>
      <c r="BQ131" s="357"/>
      <c r="BR131" s="357"/>
      <c r="BS131" s="357"/>
      <c r="BT131" s="357"/>
      <c r="BU131" s="357"/>
      <c r="BV131" s="357"/>
      <c r="BW131" s="357"/>
      <c r="BX131" s="393"/>
    </row>
    <row r="132" spans="1:76" x14ac:dyDescent="0.2">
      <c r="A132" s="368"/>
      <c r="B132" s="357"/>
      <c r="C132" s="357"/>
      <c r="D132" s="357"/>
      <c r="E132" s="357"/>
      <c r="F132" s="357"/>
      <c r="G132" s="357"/>
      <c r="H132" s="357"/>
      <c r="I132" s="357"/>
      <c r="J132" s="357"/>
      <c r="K132" s="357"/>
      <c r="L132" s="357"/>
      <c r="M132" s="357"/>
      <c r="N132" s="357"/>
      <c r="O132" s="357"/>
      <c r="P132" s="357"/>
      <c r="Q132" s="357"/>
      <c r="R132" s="357"/>
      <c r="S132" s="393"/>
      <c r="T132" s="368"/>
      <c r="U132" s="357"/>
      <c r="V132" s="357"/>
      <c r="W132" s="357"/>
      <c r="X132" s="357"/>
      <c r="Y132" s="357"/>
      <c r="Z132" s="357"/>
      <c r="AA132" s="357"/>
      <c r="AB132" s="357"/>
      <c r="AC132" s="357"/>
      <c r="AD132" s="357"/>
      <c r="AE132" s="357"/>
      <c r="AF132" s="357"/>
      <c r="AG132" s="357"/>
      <c r="AH132" s="357"/>
      <c r="AI132" s="357"/>
      <c r="AJ132" s="357"/>
      <c r="AK132" s="357"/>
      <c r="AL132" s="393"/>
      <c r="AM132" s="368"/>
      <c r="AN132" s="357"/>
      <c r="AO132" s="357"/>
      <c r="AP132" s="357"/>
      <c r="AQ132" s="357"/>
      <c r="AR132" s="357"/>
      <c r="AS132" s="357"/>
      <c r="AT132" s="357"/>
      <c r="AU132" s="357"/>
      <c r="AV132" s="357"/>
      <c r="AW132" s="357"/>
      <c r="AX132" s="357"/>
      <c r="AY132" s="357"/>
      <c r="AZ132" s="357"/>
      <c r="BA132" s="357"/>
      <c r="BB132" s="357"/>
      <c r="BC132" s="357"/>
      <c r="BD132" s="357"/>
      <c r="BE132" s="393"/>
      <c r="BF132" s="368"/>
      <c r="BG132" s="357"/>
      <c r="BH132" s="357"/>
      <c r="BI132" s="357"/>
      <c r="BJ132" s="357"/>
      <c r="BK132" s="357"/>
      <c r="BL132" s="357"/>
      <c r="BM132" s="357"/>
      <c r="BN132" s="357"/>
      <c r="BO132" s="357"/>
      <c r="BP132" s="357"/>
      <c r="BQ132" s="357"/>
      <c r="BR132" s="357"/>
      <c r="BS132" s="357"/>
      <c r="BT132" s="357"/>
      <c r="BU132" s="357"/>
      <c r="BV132" s="357"/>
      <c r="BW132" s="357"/>
      <c r="BX132" s="393"/>
    </row>
    <row r="133" spans="1:76" x14ac:dyDescent="0.2">
      <c r="A133" s="368"/>
      <c r="B133" s="357"/>
      <c r="C133" s="357"/>
      <c r="D133" s="357"/>
      <c r="E133" s="357"/>
      <c r="F133" s="357"/>
      <c r="G133" s="357"/>
      <c r="H133" s="357"/>
      <c r="I133" s="357"/>
      <c r="J133" s="357"/>
      <c r="K133" s="357"/>
      <c r="L133" s="357"/>
      <c r="M133" s="357"/>
      <c r="N133" s="357"/>
      <c r="O133" s="357"/>
      <c r="P133" s="357"/>
      <c r="Q133" s="357"/>
      <c r="R133" s="357"/>
      <c r="S133" s="393"/>
      <c r="T133" s="368"/>
      <c r="U133" s="357"/>
      <c r="V133" s="357"/>
      <c r="W133" s="357"/>
      <c r="X133" s="357"/>
      <c r="Y133" s="357"/>
      <c r="Z133" s="357"/>
      <c r="AA133" s="357"/>
      <c r="AB133" s="357"/>
      <c r="AC133" s="357"/>
      <c r="AD133" s="357"/>
      <c r="AE133" s="357"/>
      <c r="AF133" s="357"/>
      <c r="AG133" s="357"/>
      <c r="AH133" s="357"/>
      <c r="AI133" s="357"/>
      <c r="AJ133" s="357"/>
      <c r="AK133" s="357"/>
      <c r="AL133" s="393"/>
      <c r="AM133" s="368"/>
      <c r="AN133" s="357"/>
      <c r="AO133" s="357"/>
      <c r="AP133" s="357"/>
      <c r="AQ133" s="357"/>
      <c r="AR133" s="357"/>
      <c r="AS133" s="357"/>
      <c r="AT133" s="357"/>
      <c r="AU133" s="357"/>
      <c r="AV133" s="357"/>
      <c r="AW133" s="357"/>
      <c r="AX133" s="357"/>
      <c r="AY133" s="357"/>
      <c r="AZ133" s="357"/>
      <c r="BA133" s="357"/>
      <c r="BB133" s="357"/>
      <c r="BC133" s="357"/>
      <c r="BD133" s="357"/>
      <c r="BE133" s="393"/>
      <c r="BF133" s="368"/>
      <c r="BG133" s="357"/>
      <c r="BH133" s="357"/>
      <c r="BI133" s="357"/>
      <c r="BJ133" s="357"/>
      <c r="BK133" s="357"/>
      <c r="BL133" s="357"/>
      <c r="BM133" s="357"/>
      <c r="BN133" s="357"/>
      <c r="BO133" s="357"/>
      <c r="BP133" s="357"/>
      <c r="BQ133" s="357"/>
      <c r="BR133" s="357"/>
      <c r="BS133" s="357"/>
      <c r="BT133" s="357"/>
      <c r="BU133" s="357"/>
      <c r="BV133" s="357"/>
      <c r="BW133" s="357"/>
      <c r="BX133" s="393"/>
    </row>
    <row r="134" spans="1:76" x14ac:dyDescent="0.2">
      <c r="A134" s="368"/>
      <c r="B134" s="357"/>
      <c r="C134" s="357"/>
      <c r="D134" s="357"/>
      <c r="E134" s="357"/>
      <c r="F134" s="357"/>
      <c r="G134" s="357"/>
      <c r="H134" s="357"/>
      <c r="I134" s="357"/>
      <c r="J134" s="357"/>
      <c r="K134" s="357"/>
      <c r="L134" s="357"/>
      <c r="M134" s="357"/>
      <c r="N134" s="357"/>
      <c r="O134" s="357"/>
      <c r="P134" s="357"/>
      <c r="Q134" s="357"/>
      <c r="R134" s="357"/>
      <c r="S134" s="393"/>
      <c r="T134" s="368"/>
      <c r="U134" s="357"/>
      <c r="V134" s="357"/>
      <c r="W134" s="357"/>
      <c r="X134" s="357"/>
      <c r="Y134" s="357"/>
      <c r="Z134" s="357"/>
      <c r="AA134" s="357"/>
      <c r="AB134" s="357"/>
      <c r="AC134" s="357"/>
      <c r="AD134" s="357"/>
      <c r="AE134" s="357"/>
      <c r="AF134" s="357"/>
      <c r="AG134" s="357"/>
      <c r="AH134" s="357"/>
      <c r="AI134" s="357"/>
      <c r="AJ134" s="357"/>
      <c r="AK134" s="357"/>
      <c r="AL134" s="393"/>
      <c r="AM134" s="368"/>
      <c r="AN134" s="357"/>
      <c r="AO134" s="357"/>
      <c r="AP134" s="357"/>
      <c r="AQ134" s="357"/>
      <c r="AR134" s="357"/>
      <c r="AS134" s="357"/>
      <c r="AT134" s="357"/>
      <c r="AU134" s="357"/>
      <c r="AV134" s="357"/>
      <c r="AW134" s="357"/>
      <c r="AX134" s="357"/>
      <c r="AY134" s="357"/>
      <c r="AZ134" s="357"/>
      <c r="BA134" s="357"/>
      <c r="BB134" s="357"/>
      <c r="BC134" s="357"/>
      <c r="BD134" s="357"/>
      <c r="BE134" s="393"/>
      <c r="BF134" s="368"/>
      <c r="BG134" s="357"/>
      <c r="BH134" s="357"/>
      <c r="BI134" s="357"/>
      <c r="BJ134" s="357"/>
      <c r="BK134" s="357"/>
      <c r="BL134" s="357"/>
      <c r="BM134" s="357"/>
      <c r="BN134" s="357"/>
      <c r="BO134" s="357"/>
      <c r="BP134" s="357"/>
      <c r="BQ134" s="357"/>
      <c r="BR134" s="357"/>
      <c r="BS134" s="357"/>
      <c r="BT134" s="357"/>
      <c r="BU134" s="357"/>
      <c r="BV134" s="357"/>
      <c r="BW134" s="357"/>
      <c r="BX134" s="393"/>
    </row>
    <row r="135" spans="1:76" x14ac:dyDescent="0.2">
      <c r="A135" s="368"/>
      <c r="B135" s="357"/>
      <c r="C135" s="357"/>
      <c r="D135" s="357"/>
      <c r="E135" s="357"/>
      <c r="F135" s="357"/>
      <c r="G135" s="357"/>
      <c r="H135" s="357"/>
      <c r="I135" s="357"/>
      <c r="J135" s="357"/>
      <c r="K135" s="357"/>
      <c r="L135" s="357"/>
      <c r="M135" s="357"/>
      <c r="N135" s="357"/>
      <c r="O135" s="357"/>
      <c r="P135" s="357"/>
      <c r="Q135" s="357"/>
      <c r="R135" s="357"/>
      <c r="S135" s="393"/>
      <c r="T135" s="368"/>
      <c r="U135" s="357"/>
      <c r="V135" s="357"/>
      <c r="W135" s="357"/>
      <c r="X135" s="357"/>
      <c r="Y135" s="357"/>
      <c r="Z135" s="357"/>
      <c r="AA135" s="357"/>
      <c r="AB135" s="357"/>
      <c r="AC135" s="357"/>
      <c r="AD135" s="357"/>
      <c r="AE135" s="357"/>
      <c r="AF135" s="357"/>
      <c r="AG135" s="357"/>
      <c r="AH135" s="357"/>
      <c r="AI135" s="357"/>
      <c r="AJ135" s="357"/>
      <c r="AK135" s="357"/>
      <c r="AL135" s="393"/>
      <c r="AM135" s="368"/>
      <c r="AN135" s="357"/>
      <c r="AO135" s="357"/>
      <c r="AP135" s="357"/>
      <c r="AQ135" s="357"/>
      <c r="AR135" s="357"/>
      <c r="AS135" s="357"/>
      <c r="AT135" s="357"/>
      <c r="AU135" s="357"/>
      <c r="AV135" s="357"/>
      <c r="AW135" s="357"/>
      <c r="AX135" s="357"/>
      <c r="AY135" s="357"/>
      <c r="AZ135" s="357"/>
      <c r="BA135" s="357"/>
      <c r="BB135" s="357"/>
      <c r="BC135" s="357"/>
      <c r="BD135" s="357"/>
      <c r="BE135" s="393"/>
      <c r="BF135" s="368"/>
      <c r="BG135" s="357"/>
      <c r="BH135" s="357"/>
      <c r="BI135" s="357"/>
      <c r="BJ135" s="357"/>
      <c r="BK135" s="357"/>
      <c r="BL135" s="357"/>
      <c r="BM135" s="357"/>
      <c r="BN135" s="357"/>
      <c r="BO135" s="357"/>
      <c r="BP135" s="357"/>
      <c r="BQ135" s="357"/>
      <c r="BR135" s="357"/>
      <c r="BS135" s="357"/>
      <c r="BT135" s="357"/>
      <c r="BU135" s="357"/>
      <c r="BV135" s="357"/>
      <c r="BW135" s="357"/>
      <c r="BX135" s="393"/>
    </row>
    <row r="136" spans="1:76" x14ac:dyDescent="0.2">
      <c r="A136" s="368"/>
      <c r="B136" s="357"/>
      <c r="C136" s="357"/>
      <c r="D136" s="357"/>
      <c r="E136" s="357"/>
      <c r="F136" s="357"/>
      <c r="G136" s="357"/>
      <c r="H136" s="357"/>
      <c r="I136" s="357"/>
      <c r="J136" s="357"/>
      <c r="K136" s="357"/>
      <c r="L136" s="357"/>
      <c r="M136" s="357"/>
      <c r="N136" s="357"/>
      <c r="O136" s="357"/>
      <c r="P136" s="357"/>
      <c r="Q136" s="357"/>
      <c r="R136" s="357"/>
      <c r="S136" s="393"/>
      <c r="T136" s="368"/>
      <c r="U136" s="357"/>
      <c r="V136" s="357"/>
      <c r="W136" s="357"/>
      <c r="X136" s="357"/>
      <c r="Y136" s="357"/>
      <c r="Z136" s="357"/>
      <c r="AA136" s="357"/>
      <c r="AB136" s="357"/>
      <c r="AC136" s="357"/>
      <c r="AD136" s="357"/>
      <c r="AE136" s="357"/>
      <c r="AF136" s="357"/>
      <c r="AG136" s="357"/>
      <c r="AH136" s="357"/>
      <c r="AI136" s="357"/>
      <c r="AJ136" s="357"/>
      <c r="AK136" s="357"/>
      <c r="AL136" s="393"/>
      <c r="AM136" s="368"/>
      <c r="AN136" s="357"/>
      <c r="AO136" s="357"/>
      <c r="AP136" s="357"/>
      <c r="AQ136" s="357"/>
      <c r="AR136" s="357"/>
      <c r="AS136" s="357"/>
      <c r="AT136" s="357"/>
      <c r="AU136" s="357"/>
      <c r="AV136" s="357"/>
      <c r="AW136" s="357"/>
      <c r="AX136" s="357"/>
      <c r="AY136" s="357"/>
      <c r="AZ136" s="357"/>
      <c r="BA136" s="357"/>
      <c r="BB136" s="357"/>
      <c r="BC136" s="357"/>
      <c r="BD136" s="357"/>
      <c r="BE136" s="393"/>
      <c r="BF136" s="368"/>
      <c r="BG136" s="357"/>
      <c r="BH136" s="357"/>
      <c r="BI136" s="357"/>
      <c r="BJ136" s="357"/>
      <c r="BK136" s="357"/>
      <c r="BL136" s="357"/>
      <c r="BM136" s="357"/>
      <c r="BN136" s="357"/>
      <c r="BO136" s="357"/>
      <c r="BP136" s="357"/>
      <c r="BQ136" s="357"/>
      <c r="BR136" s="357"/>
      <c r="BS136" s="357"/>
      <c r="BT136" s="357"/>
      <c r="BU136" s="357"/>
      <c r="BV136" s="357"/>
      <c r="BW136" s="357"/>
      <c r="BX136" s="393"/>
    </row>
    <row r="137" spans="1:76" x14ac:dyDescent="0.2">
      <c r="A137" s="368"/>
      <c r="B137" s="357"/>
      <c r="C137" s="357"/>
      <c r="D137" s="357"/>
      <c r="E137" s="357"/>
      <c r="F137" s="357"/>
      <c r="G137" s="357"/>
      <c r="H137" s="357"/>
      <c r="I137" s="357"/>
      <c r="J137" s="357"/>
      <c r="K137" s="357"/>
      <c r="L137" s="357"/>
      <c r="M137" s="357"/>
      <c r="N137" s="357"/>
      <c r="O137" s="357"/>
      <c r="P137" s="357"/>
      <c r="Q137" s="357"/>
      <c r="R137" s="357"/>
      <c r="S137" s="393"/>
      <c r="T137" s="368"/>
      <c r="U137" s="357"/>
      <c r="V137" s="357"/>
      <c r="W137" s="357"/>
      <c r="X137" s="357"/>
      <c r="Y137" s="357"/>
      <c r="Z137" s="357"/>
      <c r="AA137" s="357"/>
      <c r="AB137" s="357"/>
      <c r="AC137" s="357"/>
      <c r="AD137" s="357"/>
      <c r="AE137" s="357"/>
      <c r="AF137" s="357"/>
      <c r="AG137" s="357"/>
      <c r="AH137" s="357"/>
      <c r="AI137" s="357"/>
      <c r="AJ137" s="357"/>
      <c r="AK137" s="357"/>
      <c r="AL137" s="393"/>
      <c r="AM137" s="368"/>
      <c r="AN137" s="357"/>
      <c r="AO137" s="357"/>
      <c r="AP137" s="357"/>
      <c r="AQ137" s="357"/>
      <c r="AR137" s="357"/>
      <c r="AS137" s="357"/>
      <c r="AT137" s="357"/>
      <c r="AU137" s="357"/>
      <c r="AV137" s="357"/>
      <c r="AW137" s="357"/>
      <c r="AX137" s="357"/>
      <c r="AY137" s="357"/>
      <c r="AZ137" s="357"/>
      <c r="BA137" s="357"/>
      <c r="BB137" s="357"/>
      <c r="BC137" s="357"/>
      <c r="BD137" s="357"/>
      <c r="BE137" s="393"/>
      <c r="BF137" s="368"/>
      <c r="BG137" s="357"/>
      <c r="BH137" s="357"/>
      <c r="BI137" s="357"/>
      <c r="BJ137" s="357"/>
      <c r="BK137" s="357"/>
      <c r="BL137" s="357"/>
      <c r="BM137" s="357"/>
      <c r="BN137" s="357"/>
      <c r="BO137" s="357"/>
      <c r="BP137" s="357"/>
      <c r="BQ137" s="357"/>
      <c r="BR137" s="357"/>
      <c r="BS137" s="357"/>
      <c r="BT137" s="357"/>
      <c r="BU137" s="357"/>
      <c r="BV137" s="357"/>
      <c r="BW137" s="357"/>
      <c r="BX137" s="393"/>
    </row>
    <row r="138" spans="1:76" x14ac:dyDescent="0.2">
      <c r="A138" s="368"/>
      <c r="B138" s="357"/>
      <c r="C138" s="357"/>
      <c r="D138" s="357"/>
      <c r="E138" s="357"/>
      <c r="F138" s="357"/>
      <c r="G138" s="357"/>
      <c r="H138" s="357"/>
      <c r="I138" s="357"/>
      <c r="J138" s="357"/>
      <c r="K138" s="357"/>
      <c r="L138" s="357"/>
      <c r="M138" s="357"/>
      <c r="N138" s="357"/>
      <c r="O138" s="357"/>
      <c r="P138" s="357"/>
      <c r="Q138" s="357"/>
      <c r="R138" s="357"/>
      <c r="S138" s="393"/>
      <c r="T138" s="368"/>
      <c r="U138" s="357"/>
      <c r="V138" s="357"/>
      <c r="W138" s="357"/>
      <c r="X138" s="357"/>
      <c r="Y138" s="357"/>
      <c r="Z138" s="357"/>
      <c r="AA138" s="357"/>
      <c r="AB138" s="357"/>
      <c r="AC138" s="357"/>
      <c r="AD138" s="357"/>
      <c r="AE138" s="357"/>
      <c r="AF138" s="357"/>
      <c r="AG138" s="357"/>
      <c r="AH138" s="357"/>
      <c r="AI138" s="357"/>
      <c r="AJ138" s="357"/>
      <c r="AK138" s="357"/>
      <c r="AL138" s="393"/>
      <c r="AM138" s="368"/>
      <c r="AN138" s="357"/>
      <c r="AO138" s="357"/>
      <c r="AP138" s="357"/>
      <c r="AQ138" s="357"/>
      <c r="AR138" s="357"/>
      <c r="AS138" s="357"/>
      <c r="AT138" s="357"/>
      <c r="AU138" s="357"/>
      <c r="AV138" s="357"/>
      <c r="AW138" s="357"/>
      <c r="AX138" s="357"/>
      <c r="AY138" s="357"/>
      <c r="AZ138" s="357"/>
      <c r="BA138" s="357"/>
      <c r="BB138" s="357"/>
      <c r="BC138" s="357"/>
      <c r="BD138" s="357"/>
      <c r="BE138" s="393"/>
      <c r="BF138" s="368"/>
      <c r="BG138" s="357"/>
      <c r="BH138" s="357"/>
      <c r="BI138" s="357"/>
      <c r="BJ138" s="357"/>
      <c r="BK138" s="357"/>
      <c r="BL138" s="357"/>
      <c r="BM138" s="357"/>
      <c r="BN138" s="357"/>
      <c r="BO138" s="357"/>
      <c r="BP138" s="357"/>
      <c r="BQ138" s="357"/>
      <c r="BR138" s="357"/>
      <c r="BS138" s="357"/>
      <c r="BT138" s="357"/>
      <c r="BU138" s="357"/>
      <c r="BV138" s="357"/>
      <c r="BW138" s="357"/>
      <c r="BX138" s="393"/>
    </row>
    <row r="139" spans="1:76" x14ac:dyDescent="0.2">
      <c r="A139" s="368"/>
      <c r="B139" s="357"/>
      <c r="C139" s="357"/>
      <c r="D139" s="357"/>
      <c r="E139" s="357"/>
      <c r="F139" s="357"/>
      <c r="G139" s="357"/>
      <c r="H139" s="357"/>
      <c r="I139" s="357"/>
      <c r="J139" s="357"/>
      <c r="K139" s="357"/>
      <c r="L139" s="357"/>
      <c r="M139" s="357"/>
      <c r="N139" s="357"/>
      <c r="O139" s="357"/>
      <c r="P139" s="357"/>
      <c r="Q139" s="357"/>
      <c r="R139" s="357"/>
      <c r="S139" s="393"/>
      <c r="T139" s="368"/>
      <c r="U139" s="357"/>
      <c r="V139" s="357"/>
      <c r="W139" s="357"/>
      <c r="X139" s="357"/>
      <c r="Y139" s="357"/>
      <c r="Z139" s="357"/>
      <c r="AA139" s="357"/>
      <c r="AB139" s="357"/>
      <c r="AC139" s="357"/>
      <c r="AD139" s="357"/>
      <c r="AE139" s="357"/>
      <c r="AF139" s="357"/>
      <c r="AG139" s="357"/>
      <c r="AH139" s="357"/>
      <c r="AI139" s="357"/>
      <c r="AJ139" s="357"/>
      <c r="AK139" s="357"/>
      <c r="AL139" s="393"/>
      <c r="AM139" s="368"/>
      <c r="AN139" s="357"/>
      <c r="AO139" s="357"/>
      <c r="AP139" s="357"/>
      <c r="AQ139" s="357"/>
      <c r="AR139" s="357"/>
      <c r="AS139" s="357"/>
      <c r="AT139" s="357"/>
      <c r="AU139" s="357"/>
      <c r="AV139" s="357"/>
      <c r="AW139" s="357"/>
      <c r="AX139" s="357"/>
      <c r="AY139" s="357"/>
      <c r="AZ139" s="357"/>
      <c r="BA139" s="357"/>
      <c r="BB139" s="357"/>
      <c r="BC139" s="357"/>
      <c r="BD139" s="357"/>
      <c r="BE139" s="393"/>
      <c r="BF139" s="368"/>
      <c r="BG139" s="357"/>
      <c r="BH139" s="357"/>
      <c r="BI139" s="357"/>
      <c r="BJ139" s="357"/>
      <c r="BK139" s="357"/>
      <c r="BL139" s="357"/>
      <c r="BM139" s="357"/>
      <c r="BN139" s="357"/>
      <c r="BO139" s="357"/>
      <c r="BP139" s="357"/>
      <c r="BQ139" s="357"/>
      <c r="BR139" s="357"/>
      <c r="BS139" s="357"/>
      <c r="BT139" s="357"/>
      <c r="BU139" s="357"/>
      <c r="BV139" s="357"/>
      <c r="BW139" s="357"/>
      <c r="BX139" s="393"/>
    </row>
    <row r="140" spans="1:76" x14ac:dyDescent="0.2">
      <c r="A140" s="368"/>
      <c r="B140" s="357"/>
      <c r="C140" s="357"/>
      <c r="D140" s="357"/>
      <c r="E140" s="357"/>
      <c r="F140" s="357"/>
      <c r="G140" s="357"/>
      <c r="H140" s="357"/>
      <c r="I140" s="357"/>
      <c r="J140" s="357"/>
      <c r="K140" s="357"/>
      <c r="L140" s="357"/>
      <c r="M140" s="357"/>
      <c r="N140" s="357"/>
      <c r="O140" s="357"/>
      <c r="P140" s="357"/>
      <c r="Q140" s="357"/>
      <c r="R140" s="357"/>
      <c r="S140" s="393"/>
      <c r="T140" s="368"/>
      <c r="U140" s="357"/>
      <c r="V140" s="357"/>
      <c r="W140" s="357"/>
      <c r="X140" s="357"/>
      <c r="Y140" s="357"/>
      <c r="Z140" s="357"/>
      <c r="AA140" s="357"/>
      <c r="AB140" s="357"/>
      <c r="AC140" s="357"/>
      <c r="AD140" s="357"/>
      <c r="AE140" s="357"/>
      <c r="AF140" s="357"/>
      <c r="AG140" s="357"/>
      <c r="AH140" s="357"/>
      <c r="AI140" s="357"/>
      <c r="AJ140" s="357"/>
      <c r="AK140" s="357"/>
      <c r="AL140" s="393"/>
      <c r="AM140" s="368"/>
      <c r="AN140" s="357"/>
      <c r="AO140" s="357"/>
      <c r="AP140" s="357"/>
      <c r="AQ140" s="357"/>
      <c r="AR140" s="357"/>
      <c r="AS140" s="357"/>
      <c r="AT140" s="357"/>
      <c r="AU140" s="357"/>
      <c r="AV140" s="357"/>
      <c r="AW140" s="357"/>
      <c r="AX140" s="357"/>
      <c r="AY140" s="357"/>
      <c r="AZ140" s="357"/>
      <c r="BA140" s="357"/>
      <c r="BB140" s="357"/>
      <c r="BC140" s="357"/>
      <c r="BD140" s="357"/>
      <c r="BE140" s="393"/>
      <c r="BF140" s="368"/>
      <c r="BG140" s="357"/>
      <c r="BH140" s="357"/>
      <c r="BI140" s="357"/>
      <c r="BJ140" s="357"/>
      <c r="BK140" s="357"/>
      <c r="BL140" s="357"/>
      <c r="BM140" s="357"/>
      <c r="BN140" s="357"/>
      <c r="BO140" s="357"/>
      <c r="BP140" s="357"/>
      <c r="BQ140" s="357"/>
      <c r="BR140" s="357"/>
      <c r="BS140" s="357"/>
      <c r="BT140" s="357"/>
      <c r="BU140" s="357"/>
      <c r="BV140" s="357"/>
      <c r="BW140" s="357"/>
      <c r="BX140" s="393"/>
    </row>
    <row r="141" spans="1:76" x14ac:dyDescent="0.2">
      <c r="A141" s="368"/>
      <c r="B141" s="357"/>
      <c r="C141" s="357"/>
      <c r="D141" s="357"/>
      <c r="E141" s="357"/>
      <c r="F141" s="357"/>
      <c r="G141" s="357"/>
      <c r="H141" s="357"/>
      <c r="I141" s="357"/>
      <c r="J141" s="357"/>
      <c r="K141" s="357"/>
      <c r="L141" s="357"/>
      <c r="M141" s="357"/>
      <c r="N141" s="357"/>
      <c r="O141" s="357"/>
      <c r="P141" s="357"/>
      <c r="Q141" s="357"/>
      <c r="R141" s="357"/>
      <c r="S141" s="393"/>
      <c r="T141" s="368"/>
      <c r="U141" s="357"/>
      <c r="V141" s="357"/>
      <c r="W141" s="357"/>
      <c r="X141" s="357"/>
      <c r="Y141" s="357"/>
      <c r="Z141" s="357"/>
      <c r="AA141" s="357"/>
      <c r="AB141" s="357"/>
      <c r="AC141" s="357"/>
      <c r="AD141" s="357"/>
      <c r="AE141" s="357"/>
      <c r="AF141" s="357"/>
      <c r="AG141" s="357"/>
      <c r="AH141" s="357"/>
      <c r="AI141" s="357"/>
      <c r="AJ141" s="357"/>
      <c r="AK141" s="357"/>
      <c r="AL141" s="393"/>
      <c r="AM141" s="368"/>
      <c r="AN141" s="357"/>
      <c r="AO141" s="357"/>
      <c r="AP141" s="357"/>
      <c r="AQ141" s="357"/>
      <c r="AR141" s="357"/>
      <c r="AS141" s="357"/>
      <c r="AT141" s="357"/>
      <c r="AU141" s="357"/>
      <c r="AV141" s="357"/>
      <c r="AW141" s="357"/>
      <c r="AX141" s="357"/>
      <c r="AY141" s="357"/>
      <c r="AZ141" s="357"/>
      <c r="BA141" s="357"/>
      <c r="BB141" s="357"/>
      <c r="BC141" s="357"/>
      <c r="BD141" s="357"/>
      <c r="BE141" s="393"/>
      <c r="BF141" s="368"/>
      <c r="BG141" s="357"/>
      <c r="BH141" s="357"/>
      <c r="BI141" s="357"/>
      <c r="BJ141" s="357"/>
      <c r="BK141" s="357"/>
      <c r="BL141" s="357"/>
      <c r="BM141" s="357"/>
      <c r="BN141" s="357"/>
      <c r="BO141" s="357"/>
      <c r="BP141" s="357"/>
      <c r="BQ141" s="357"/>
      <c r="BR141" s="357"/>
      <c r="BS141" s="357"/>
      <c r="BT141" s="357"/>
      <c r="BU141" s="357"/>
      <c r="BV141" s="357"/>
      <c r="BW141" s="357"/>
      <c r="BX141" s="393"/>
    </row>
    <row r="142" spans="1:76" x14ac:dyDescent="0.2">
      <c r="A142" s="368"/>
      <c r="B142" s="357"/>
      <c r="C142" s="357"/>
      <c r="D142" s="357"/>
      <c r="E142" s="357"/>
      <c r="F142" s="357"/>
      <c r="G142" s="357"/>
      <c r="H142" s="357"/>
      <c r="I142" s="357"/>
      <c r="J142" s="357"/>
      <c r="K142" s="357"/>
      <c r="L142" s="357"/>
      <c r="M142" s="357"/>
      <c r="N142" s="357"/>
      <c r="O142" s="357"/>
      <c r="P142" s="357"/>
      <c r="Q142" s="357"/>
      <c r="R142" s="357"/>
      <c r="S142" s="393"/>
      <c r="T142" s="368"/>
      <c r="U142" s="357"/>
      <c r="V142" s="357"/>
      <c r="W142" s="357"/>
      <c r="X142" s="357"/>
      <c r="Y142" s="357"/>
      <c r="Z142" s="357"/>
      <c r="AA142" s="357"/>
      <c r="AB142" s="357"/>
      <c r="AC142" s="357"/>
      <c r="AD142" s="357"/>
      <c r="AE142" s="357"/>
      <c r="AF142" s="357"/>
      <c r="AG142" s="357"/>
      <c r="AH142" s="357"/>
      <c r="AI142" s="357"/>
      <c r="AJ142" s="357"/>
      <c r="AK142" s="357"/>
      <c r="AL142" s="393"/>
      <c r="AM142" s="368"/>
      <c r="AN142" s="357"/>
      <c r="AO142" s="357"/>
      <c r="AP142" s="357"/>
      <c r="AQ142" s="357"/>
      <c r="AR142" s="357"/>
      <c r="AS142" s="357"/>
      <c r="AT142" s="357"/>
      <c r="AU142" s="357"/>
      <c r="AV142" s="357"/>
      <c r="AW142" s="357"/>
      <c r="AX142" s="357"/>
      <c r="AY142" s="357"/>
      <c r="AZ142" s="357"/>
      <c r="BA142" s="357"/>
      <c r="BB142" s="357"/>
      <c r="BC142" s="357"/>
      <c r="BD142" s="357"/>
      <c r="BE142" s="393"/>
      <c r="BF142" s="368"/>
      <c r="BG142" s="357"/>
      <c r="BH142" s="357"/>
      <c r="BI142" s="357"/>
      <c r="BJ142" s="357"/>
      <c r="BK142" s="357"/>
      <c r="BL142" s="357"/>
      <c r="BM142" s="357"/>
      <c r="BN142" s="357"/>
      <c r="BO142" s="357"/>
      <c r="BP142" s="357"/>
      <c r="BQ142" s="357"/>
      <c r="BR142" s="357"/>
      <c r="BS142" s="357"/>
      <c r="BT142" s="357"/>
      <c r="BU142" s="357"/>
      <c r="BV142" s="357"/>
      <c r="BW142" s="357"/>
      <c r="BX142" s="393"/>
    </row>
    <row r="143" spans="1:76" x14ac:dyDescent="0.2">
      <c r="A143" s="368"/>
      <c r="B143" s="357"/>
      <c r="C143" s="357"/>
      <c r="D143" s="357"/>
      <c r="E143" s="357"/>
      <c r="F143" s="357"/>
      <c r="G143" s="357"/>
      <c r="H143" s="357"/>
      <c r="I143" s="357"/>
      <c r="J143" s="357"/>
      <c r="K143" s="357"/>
      <c r="L143" s="357"/>
      <c r="M143" s="357"/>
      <c r="N143" s="357"/>
      <c r="O143" s="357"/>
      <c r="P143" s="357"/>
      <c r="Q143" s="357"/>
      <c r="R143" s="357"/>
      <c r="S143" s="393"/>
      <c r="T143" s="368"/>
      <c r="U143" s="357"/>
      <c r="V143" s="357"/>
      <c r="W143" s="357"/>
      <c r="X143" s="357"/>
      <c r="Y143" s="357"/>
      <c r="Z143" s="357"/>
      <c r="AA143" s="357"/>
      <c r="AB143" s="357"/>
      <c r="AC143" s="357"/>
      <c r="AD143" s="357"/>
      <c r="AE143" s="357"/>
      <c r="AF143" s="357"/>
      <c r="AG143" s="357"/>
      <c r="AH143" s="357"/>
      <c r="AI143" s="357"/>
      <c r="AJ143" s="357"/>
      <c r="AK143" s="357"/>
      <c r="AL143" s="393"/>
      <c r="AM143" s="368"/>
      <c r="AN143" s="357"/>
      <c r="AO143" s="357"/>
      <c r="AP143" s="357"/>
      <c r="AQ143" s="357"/>
      <c r="AR143" s="357"/>
      <c r="AS143" s="357"/>
      <c r="AT143" s="357"/>
      <c r="AU143" s="357"/>
      <c r="AV143" s="357"/>
      <c r="AW143" s="357"/>
      <c r="AX143" s="357"/>
      <c r="AY143" s="357"/>
      <c r="AZ143" s="357"/>
      <c r="BA143" s="357"/>
      <c r="BB143" s="357"/>
      <c r="BC143" s="357"/>
      <c r="BD143" s="357"/>
      <c r="BE143" s="393"/>
      <c r="BF143" s="368"/>
      <c r="BG143" s="357"/>
      <c r="BH143" s="357"/>
      <c r="BI143" s="357"/>
      <c r="BJ143" s="357"/>
      <c r="BK143" s="357"/>
      <c r="BL143" s="357"/>
      <c r="BM143" s="357"/>
      <c r="BN143" s="357"/>
      <c r="BO143" s="357"/>
      <c r="BP143" s="357"/>
      <c r="BQ143" s="357"/>
      <c r="BR143" s="357"/>
      <c r="BS143" s="357"/>
      <c r="BT143" s="357"/>
      <c r="BU143" s="357"/>
      <c r="BV143" s="357"/>
      <c r="BW143" s="357"/>
      <c r="BX143" s="393"/>
    </row>
    <row r="144" spans="1:76" x14ac:dyDescent="0.2">
      <c r="A144" s="368"/>
      <c r="B144" s="357"/>
      <c r="C144" s="357"/>
      <c r="D144" s="357"/>
      <c r="E144" s="357"/>
      <c r="F144" s="357"/>
      <c r="G144" s="357"/>
      <c r="H144" s="357"/>
      <c r="I144" s="357"/>
      <c r="J144" s="357"/>
      <c r="K144" s="357"/>
      <c r="L144" s="357"/>
      <c r="M144" s="357"/>
      <c r="N144" s="357"/>
      <c r="O144" s="357"/>
      <c r="P144" s="357"/>
      <c r="Q144" s="357"/>
      <c r="R144" s="357"/>
      <c r="S144" s="393"/>
      <c r="T144" s="368"/>
      <c r="U144" s="357"/>
      <c r="V144" s="357"/>
      <c r="W144" s="357"/>
      <c r="X144" s="357"/>
      <c r="Y144" s="357"/>
      <c r="Z144" s="357"/>
      <c r="AA144" s="357"/>
      <c r="AB144" s="357"/>
      <c r="AC144" s="357"/>
      <c r="AD144" s="357"/>
      <c r="AE144" s="357"/>
      <c r="AF144" s="357"/>
      <c r="AG144" s="357"/>
      <c r="AH144" s="357"/>
      <c r="AI144" s="357"/>
      <c r="AJ144" s="357"/>
      <c r="AK144" s="357"/>
      <c r="AL144" s="393"/>
      <c r="AM144" s="368"/>
      <c r="AN144" s="357"/>
      <c r="AO144" s="357"/>
      <c r="AP144" s="357"/>
      <c r="AQ144" s="357"/>
      <c r="AR144" s="357"/>
      <c r="AS144" s="357"/>
      <c r="AT144" s="357"/>
      <c r="AU144" s="357"/>
      <c r="AV144" s="357"/>
      <c r="AW144" s="357"/>
      <c r="AX144" s="357"/>
      <c r="AY144" s="357"/>
      <c r="AZ144" s="357"/>
      <c r="BA144" s="357"/>
      <c r="BB144" s="357"/>
      <c r="BC144" s="357"/>
      <c r="BD144" s="357"/>
      <c r="BE144" s="393"/>
      <c r="BF144" s="368"/>
      <c r="BG144" s="357"/>
      <c r="BH144" s="357"/>
      <c r="BI144" s="357"/>
      <c r="BJ144" s="357"/>
      <c r="BK144" s="357"/>
      <c r="BL144" s="357"/>
      <c r="BM144" s="357"/>
      <c r="BN144" s="357"/>
      <c r="BO144" s="357"/>
      <c r="BP144" s="357"/>
      <c r="BQ144" s="357"/>
      <c r="BR144" s="357"/>
      <c r="BS144" s="357"/>
      <c r="BT144" s="357"/>
      <c r="BU144" s="357"/>
      <c r="BV144" s="357"/>
      <c r="BW144" s="357"/>
      <c r="BX144" s="393"/>
    </row>
    <row r="145" spans="1:76" x14ac:dyDescent="0.2">
      <c r="A145" s="368"/>
      <c r="B145" s="357"/>
      <c r="C145" s="357"/>
      <c r="D145" s="357"/>
      <c r="E145" s="357"/>
      <c r="F145" s="357"/>
      <c r="G145" s="357"/>
      <c r="H145" s="357"/>
      <c r="I145" s="357"/>
      <c r="J145" s="357"/>
      <c r="K145" s="357"/>
      <c r="L145" s="357"/>
      <c r="M145" s="357"/>
      <c r="N145" s="357"/>
      <c r="O145" s="357"/>
      <c r="P145" s="357"/>
      <c r="Q145" s="357"/>
      <c r="R145" s="357"/>
      <c r="S145" s="393"/>
      <c r="T145" s="368"/>
      <c r="U145" s="357"/>
      <c r="V145" s="357"/>
      <c r="W145" s="357"/>
      <c r="X145" s="357"/>
      <c r="Y145" s="357"/>
      <c r="Z145" s="357"/>
      <c r="AA145" s="357"/>
      <c r="AB145" s="357"/>
      <c r="AC145" s="357"/>
      <c r="AD145" s="357"/>
      <c r="AE145" s="357"/>
      <c r="AF145" s="357"/>
      <c r="AG145" s="357"/>
      <c r="AH145" s="357"/>
      <c r="AI145" s="357"/>
      <c r="AJ145" s="357"/>
      <c r="AK145" s="357"/>
      <c r="AL145" s="393"/>
      <c r="AM145" s="368"/>
      <c r="AN145" s="357"/>
      <c r="AO145" s="357"/>
      <c r="AP145" s="357"/>
      <c r="AQ145" s="357"/>
      <c r="AR145" s="357"/>
      <c r="AS145" s="357"/>
      <c r="AT145" s="357"/>
      <c r="AU145" s="357"/>
      <c r="AV145" s="357"/>
      <c r="AW145" s="357"/>
      <c r="AX145" s="357"/>
      <c r="AY145" s="357"/>
      <c r="AZ145" s="357"/>
      <c r="BA145" s="357"/>
      <c r="BB145" s="357"/>
      <c r="BC145" s="357"/>
      <c r="BD145" s="357"/>
      <c r="BE145" s="393"/>
      <c r="BF145" s="368"/>
      <c r="BG145" s="357"/>
      <c r="BH145" s="357"/>
      <c r="BI145" s="357"/>
      <c r="BJ145" s="357"/>
      <c r="BK145" s="357"/>
      <c r="BL145" s="357"/>
      <c r="BM145" s="357"/>
      <c r="BN145" s="357"/>
      <c r="BO145" s="357"/>
      <c r="BP145" s="357"/>
      <c r="BQ145" s="357"/>
      <c r="BR145" s="357"/>
      <c r="BS145" s="357"/>
      <c r="BT145" s="357"/>
      <c r="BU145" s="357"/>
      <c r="BV145" s="357"/>
      <c r="BW145" s="357"/>
      <c r="BX145" s="393"/>
    </row>
    <row r="146" spans="1:76" x14ac:dyDescent="0.2">
      <c r="A146" s="368"/>
      <c r="B146" s="357"/>
      <c r="C146" s="357"/>
      <c r="D146" s="357"/>
      <c r="E146" s="357"/>
      <c r="F146" s="357"/>
      <c r="G146" s="357"/>
      <c r="H146" s="357"/>
      <c r="I146" s="357"/>
      <c r="J146" s="357"/>
      <c r="K146" s="357"/>
      <c r="L146" s="357"/>
      <c r="M146" s="357"/>
      <c r="N146" s="357"/>
      <c r="O146" s="357"/>
      <c r="P146" s="357"/>
      <c r="Q146" s="357"/>
      <c r="R146" s="357"/>
      <c r="S146" s="393"/>
      <c r="T146" s="368"/>
      <c r="U146" s="357"/>
      <c r="V146" s="357"/>
      <c r="W146" s="357"/>
      <c r="X146" s="357"/>
      <c r="Y146" s="357"/>
      <c r="Z146" s="357"/>
      <c r="AA146" s="357"/>
      <c r="AB146" s="357"/>
      <c r="AC146" s="357"/>
      <c r="AD146" s="357"/>
      <c r="AE146" s="357"/>
      <c r="AF146" s="357"/>
      <c r="AG146" s="357"/>
      <c r="AH146" s="357"/>
      <c r="AI146" s="357"/>
      <c r="AJ146" s="357"/>
      <c r="AK146" s="357"/>
      <c r="AL146" s="393"/>
      <c r="AM146" s="368"/>
      <c r="AN146" s="357"/>
      <c r="AO146" s="357"/>
      <c r="AP146" s="357"/>
      <c r="AQ146" s="357"/>
      <c r="AR146" s="357"/>
      <c r="AS146" s="357"/>
      <c r="AT146" s="357"/>
      <c r="AU146" s="357"/>
      <c r="AV146" s="357"/>
      <c r="AW146" s="357"/>
      <c r="AX146" s="357"/>
      <c r="AY146" s="357"/>
      <c r="AZ146" s="357"/>
      <c r="BA146" s="357"/>
      <c r="BB146" s="357"/>
      <c r="BC146" s="357"/>
      <c r="BD146" s="357"/>
      <c r="BE146" s="393"/>
      <c r="BF146" s="368"/>
      <c r="BG146" s="357"/>
      <c r="BH146" s="357"/>
      <c r="BI146" s="357"/>
      <c r="BJ146" s="357"/>
      <c r="BK146" s="357"/>
      <c r="BL146" s="357"/>
      <c r="BM146" s="357"/>
      <c r="BN146" s="357"/>
      <c r="BO146" s="357"/>
      <c r="BP146" s="357"/>
      <c r="BQ146" s="357"/>
      <c r="BR146" s="357"/>
      <c r="BS146" s="357"/>
      <c r="BT146" s="357"/>
      <c r="BU146" s="357"/>
      <c r="BV146" s="357"/>
      <c r="BW146" s="357"/>
      <c r="BX146" s="393"/>
    </row>
    <row r="147" spans="1:76" x14ac:dyDescent="0.2">
      <c r="A147" s="368"/>
      <c r="B147" s="357"/>
      <c r="C147" s="357"/>
      <c r="D147" s="357"/>
      <c r="E147" s="357"/>
      <c r="F147" s="357"/>
      <c r="G147" s="357"/>
      <c r="H147" s="357"/>
      <c r="I147" s="357"/>
      <c r="J147" s="357"/>
      <c r="K147" s="357"/>
      <c r="L147" s="357"/>
      <c r="M147" s="357"/>
      <c r="N147" s="357"/>
      <c r="O147" s="357"/>
      <c r="P147" s="357"/>
      <c r="Q147" s="357"/>
      <c r="R147" s="357"/>
      <c r="S147" s="393"/>
      <c r="T147" s="368"/>
      <c r="U147" s="357"/>
      <c r="V147" s="357"/>
      <c r="W147" s="357"/>
      <c r="X147" s="357"/>
      <c r="Y147" s="357"/>
      <c r="Z147" s="357"/>
      <c r="AA147" s="357"/>
      <c r="AB147" s="357"/>
      <c r="AC147" s="357"/>
      <c r="AD147" s="357"/>
      <c r="AE147" s="357"/>
      <c r="AF147" s="357"/>
      <c r="AG147" s="357"/>
      <c r="AH147" s="357"/>
      <c r="AI147" s="357"/>
      <c r="AJ147" s="357"/>
      <c r="AK147" s="357"/>
      <c r="AL147" s="393"/>
      <c r="AM147" s="368"/>
      <c r="AN147" s="357"/>
      <c r="AO147" s="357"/>
      <c r="AP147" s="357"/>
      <c r="AQ147" s="357"/>
      <c r="AR147" s="357"/>
      <c r="AS147" s="357"/>
      <c r="AT147" s="357"/>
      <c r="AU147" s="357"/>
      <c r="AV147" s="357"/>
      <c r="AW147" s="357"/>
      <c r="AX147" s="357"/>
      <c r="AY147" s="357"/>
      <c r="AZ147" s="357"/>
      <c r="BA147" s="357"/>
      <c r="BB147" s="357"/>
      <c r="BC147" s="357"/>
      <c r="BD147" s="357"/>
      <c r="BE147" s="393"/>
      <c r="BF147" s="368"/>
      <c r="BG147" s="357"/>
      <c r="BH147" s="357"/>
      <c r="BI147" s="357"/>
      <c r="BJ147" s="357"/>
      <c r="BK147" s="357"/>
      <c r="BL147" s="357"/>
      <c r="BM147" s="357"/>
      <c r="BN147" s="357"/>
      <c r="BO147" s="357"/>
      <c r="BP147" s="357"/>
      <c r="BQ147" s="357"/>
      <c r="BR147" s="357"/>
      <c r="BS147" s="357"/>
      <c r="BT147" s="357"/>
      <c r="BU147" s="357"/>
      <c r="BV147" s="357"/>
      <c r="BW147" s="357"/>
      <c r="BX147" s="393"/>
    </row>
    <row r="148" spans="1:76" x14ac:dyDescent="0.2">
      <c r="A148" s="368"/>
      <c r="B148" s="357"/>
      <c r="C148" s="357"/>
      <c r="D148" s="357"/>
      <c r="E148" s="357"/>
      <c r="F148" s="357"/>
      <c r="G148" s="357"/>
      <c r="H148" s="357"/>
      <c r="I148" s="357"/>
      <c r="J148" s="357"/>
      <c r="K148" s="357"/>
      <c r="L148" s="357"/>
      <c r="M148" s="357"/>
      <c r="N148" s="357"/>
      <c r="O148" s="357"/>
      <c r="P148" s="357"/>
      <c r="Q148" s="357"/>
      <c r="R148" s="357"/>
      <c r="S148" s="393"/>
      <c r="T148" s="368"/>
      <c r="U148" s="357"/>
      <c r="V148" s="357"/>
      <c r="W148" s="357"/>
      <c r="X148" s="357"/>
      <c r="Y148" s="357"/>
      <c r="Z148" s="357"/>
      <c r="AA148" s="357"/>
      <c r="AB148" s="357"/>
      <c r="AC148" s="357"/>
      <c r="AD148" s="357"/>
      <c r="AE148" s="357"/>
      <c r="AF148" s="357"/>
      <c r="AG148" s="357"/>
      <c r="AH148" s="357"/>
      <c r="AI148" s="357"/>
      <c r="AJ148" s="357"/>
      <c r="AK148" s="357"/>
      <c r="AL148" s="393"/>
      <c r="AM148" s="368"/>
      <c r="AN148" s="357"/>
      <c r="AO148" s="357"/>
      <c r="AP148" s="357"/>
      <c r="AQ148" s="357"/>
      <c r="AR148" s="357"/>
      <c r="AS148" s="357"/>
      <c r="AT148" s="357"/>
      <c r="AU148" s="357"/>
      <c r="AV148" s="357"/>
      <c r="AW148" s="357"/>
      <c r="AX148" s="357"/>
      <c r="AY148" s="357"/>
      <c r="AZ148" s="357"/>
      <c r="BA148" s="357"/>
      <c r="BB148" s="357"/>
      <c r="BC148" s="357"/>
      <c r="BD148" s="357"/>
      <c r="BE148" s="393"/>
      <c r="BF148" s="368"/>
      <c r="BG148" s="357"/>
      <c r="BH148" s="357"/>
      <c r="BI148" s="357"/>
      <c r="BJ148" s="357"/>
      <c r="BK148" s="357"/>
      <c r="BL148" s="357"/>
      <c r="BM148" s="357"/>
      <c r="BN148" s="357"/>
      <c r="BO148" s="357"/>
      <c r="BP148" s="357"/>
      <c r="BQ148" s="357"/>
      <c r="BR148" s="357"/>
      <c r="BS148" s="357"/>
      <c r="BT148" s="357"/>
      <c r="BU148" s="357"/>
      <c r="BV148" s="357"/>
      <c r="BW148" s="357"/>
      <c r="BX148" s="393"/>
    </row>
    <row r="149" spans="1:76" x14ac:dyDescent="0.2">
      <c r="A149" s="368"/>
      <c r="B149" s="357"/>
      <c r="C149" s="357"/>
      <c r="D149" s="357"/>
      <c r="E149" s="357"/>
      <c r="F149" s="357"/>
      <c r="G149" s="357"/>
      <c r="H149" s="357"/>
      <c r="I149" s="357"/>
      <c r="J149" s="357"/>
      <c r="K149" s="357"/>
      <c r="L149" s="357"/>
      <c r="M149" s="357"/>
      <c r="N149" s="357"/>
      <c r="O149" s="357"/>
      <c r="P149" s="357"/>
      <c r="Q149" s="357"/>
      <c r="R149" s="357"/>
      <c r="S149" s="393"/>
      <c r="T149" s="368"/>
      <c r="U149" s="357"/>
      <c r="V149" s="357"/>
      <c r="W149" s="357"/>
      <c r="X149" s="357"/>
      <c r="Y149" s="357"/>
      <c r="Z149" s="357"/>
      <c r="AA149" s="357"/>
      <c r="AB149" s="357"/>
      <c r="AC149" s="357"/>
      <c r="AD149" s="357"/>
      <c r="AE149" s="357"/>
      <c r="AF149" s="357"/>
      <c r="AG149" s="357"/>
      <c r="AH149" s="357"/>
      <c r="AI149" s="357"/>
      <c r="AJ149" s="357"/>
      <c r="AK149" s="357"/>
      <c r="AL149" s="393"/>
      <c r="AM149" s="368"/>
      <c r="AN149" s="357"/>
      <c r="AO149" s="357"/>
      <c r="AP149" s="357"/>
      <c r="AQ149" s="357"/>
      <c r="AR149" s="357"/>
      <c r="AS149" s="357"/>
      <c r="AT149" s="357"/>
      <c r="AU149" s="357"/>
      <c r="AV149" s="357"/>
      <c r="AW149" s="357"/>
      <c r="AX149" s="357"/>
      <c r="AY149" s="357"/>
      <c r="AZ149" s="357"/>
      <c r="BA149" s="357"/>
      <c r="BB149" s="357"/>
      <c r="BC149" s="357"/>
      <c r="BD149" s="357"/>
      <c r="BE149" s="393"/>
      <c r="BF149" s="368"/>
      <c r="BG149" s="357"/>
      <c r="BH149" s="357"/>
      <c r="BI149" s="357"/>
      <c r="BJ149" s="357"/>
      <c r="BK149" s="357"/>
      <c r="BL149" s="357"/>
      <c r="BM149" s="357"/>
      <c r="BN149" s="357"/>
      <c r="BO149" s="357"/>
      <c r="BP149" s="357"/>
      <c r="BQ149" s="357"/>
      <c r="BR149" s="357"/>
      <c r="BS149" s="357"/>
      <c r="BT149" s="357"/>
      <c r="BU149" s="357"/>
      <c r="BV149" s="357"/>
      <c r="BW149" s="357"/>
      <c r="BX149" s="393"/>
    </row>
    <row r="150" spans="1:76" x14ac:dyDescent="0.2">
      <c r="A150" s="368"/>
      <c r="B150" s="357"/>
      <c r="C150" s="357"/>
      <c r="D150" s="357"/>
      <c r="E150" s="357"/>
      <c r="F150" s="357"/>
      <c r="G150" s="357"/>
      <c r="H150" s="357"/>
      <c r="I150" s="357"/>
      <c r="J150" s="357"/>
      <c r="K150" s="357"/>
      <c r="L150" s="357"/>
      <c r="M150" s="357"/>
      <c r="N150" s="357"/>
      <c r="O150" s="357"/>
      <c r="P150" s="357"/>
      <c r="Q150" s="357"/>
      <c r="R150" s="357"/>
      <c r="S150" s="393"/>
      <c r="T150" s="368"/>
      <c r="U150" s="357"/>
      <c r="V150" s="357"/>
      <c r="W150" s="357"/>
      <c r="X150" s="357"/>
      <c r="Y150" s="357"/>
      <c r="Z150" s="357"/>
      <c r="AA150" s="357"/>
      <c r="AB150" s="357"/>
      <c r="AC150" s="357"/>
      <c r="AD150" s="357"/>
      <c r="AE150" s="357"/>
      <c r="AF150" s="357"/>
      <c r="AG150" s="357"/>
      <c r="AH150" s="357"/>
      <c r="AI150" s="357"/>
      <c r="AJ150" s="357"/>
      <c r="AK150" s="357"/>
      <c r="AL150" s="393"/>
      <c r="AM150" s="368"/>
      <c r="AN150" s="357"/>
      <c r="AO150" s="357"/>
      <c r="AP150" s="357"/>
      <c r="AQ150" s="357"/>
      <c r="AR150" s="357"/>
      <c r="AS150" s="357"/>
      <c r="AT150" s="357"/>
      <c r="AU150" s="357"/>
      <c r="AV150" s="357"/>
      <c r="AW150" s="357"/>
      <c r="AX150" s="357"/>
      <c r="AY150" s="357"/>
      <c r="AZ150" s="357"/>
      <c r="BA150" s="357"/>
      <c r="BB150" s="357"/>
      <c r="BC150" s="357"/>
      <c r="BD150" s="357"/>
      <c r="BE150" s="393"/>
      <c r="BF150" s="368"/>
      <c r="BG150" s="357"/>
      <c r="BH150" s="357"/>
      <c r="BI150" s="357"/>
      <c r="BJ150" s="357"/>
      <c r="BK150" s="357"/>
      <c r="BL150" s="357"/>
      <c r="BM150" s="357"/>
      <c r="BN150" s="357"/>
      <c r="BO150" s="357"/>
      <c r="BP150" s="357"/>
      <c r="BQ150" s="357"/>
      <c r="BR150" s="357"/>
      <c r="BS150" s="357"/>
      <c r="BT150" s="357"/>
      <c r="BU150" s="357"/>
      <c r="BV150" s="357"/>
      <c r="BW150" s="357"/>
      <c r="BX150" s="393"/>
    </row>
    <row r="151" spans="1:76" x14ac:dyDescent="0.2">
      <c r="A151" s="368"/>
      <c r="B151" s="357"/>
      <c r="C151" s="357"/>
      <c r="D151" s="357"/>
      <c r="E151" s="357"/>
      <c r="F151" s="357"/>
      <c r="G151" s="357"/>
      <c r="H151" s="357"/>
      <c r="I151" s="357"/>
      <c r="J151" s="357"/>
      <c r="K151" s="357"/>
      <c r="L151" s="357"/>
      <c r="M151" s="357"/>
      <c r="N151" s="357"/>
      <c r="O151" s="357"/>
      <c r="P151" s="357"/>
      <c r="Q151" s="357"/>
      <c r="R151" s="357"/>
      <c r="S151" s="393"/>
      <c r="T151" s="368"/>
      <c r="U151" s="357"/>
      <c r="V151" s="357"/>
      <c r="W151" s="357"/>
      <c r="X151" s="357"/>
      <c r="Y151" s="357"/>
      <c r="Z151" s="357"/>
      <c r="AA151" s="357"/>
      <c r="AB151" s="357"/>
      <c r="AC151" s="357"/>
      <c r="AD151" s="357"/>
      <c r="AE151" s="357"/>
      <c r="AF151" s="357"/>
      <c r="AG151" s="357"/>
      <c r="AH151" s="357"/>
      <c r="AI151" s="357"/>
      <c r="AJ151" s="357"/>
      <c r="AK151" s="357"/>
      <c r="AL151" s="393"/>
      <c r="AM151" s="368"/>
      <c r="AN151" s="357"/>
      <c r="AO151" s="357"/>
      <c r="AP151" s="357"/>
      <c r="AQ151" s="357"/>
      <c r="AR151" s="357"/>
      <c r="AS151" s="357"/>
      <c r="AT151" s="357"/>
      <c r="AU151" s="357"/>
      <c r="AV151" s="357"/>
      <c r="AW151" s="357"/>
      <c r="AX151" s="357"/>
      <c r="AY151" s="357"/>
      <c r="AZ151" s="357"/>
      <c r="BA151" s="357"/>
      <c r="BB151" s="357"/>
      <c r="BC151" s="357"/>
      <c r="BD151" s="357"/>
      <c r="BE151" s="393"/>
      <c r="BF151" s="368"/>
      <c r="BG151" s="357"/>
      <c r="BH151" s="357"/>
      <c r="BI151" s="357"/>
      <c r="BJ151" s="357"/>
      <c r="BK151" s="357"/>
      <c r="BL151" s="357"/>
      <c r="BM151" s="357"/>
      <c r="BN151" s="357"/>
      <c r="BO151" s="357"/>
      <c r="BP151" s="357"/>
      <c r="BQ151" s="357"/>
      <c r="BR151" s="357"/>
      <c r="BS151" s="357"/>
      <c r="BT151" s="357"/>
      <c r="BU151" s="357"/>
      <c r="BV151" s="357"/>
      <c r="BW151" s="357"/>
      <c r="BX151" s="393"/>
    </row>
    <row r="152" spans="1:76" x14ac:dyDescent="0.2">
      <c r="A152" s="368"/>
      <c r="B152" s="357"/>
      <c r="C152" s="357"/>
      <c r="D152" s="357"/>
      <c r="E152" s="357"/>
      <c r="F152" s="357"/>
      <c r="G152" s="357"/>
      <c r="H152" s="357"/>
      <c r="I152" s="357"/>
      <c r="J152" s="357"/>
      <c r="K152" s="357"/>
      <c r="L152" s="357"/>
      <c r="M152" s="357"/>
      <c r="N152" s="357"/>
      <c r="O152" s="357"/>
      <c r="P152" s="357"/>
      <c r="Q152" s="357"/>
      <c r="R152" s="357"/>
      <c r="S152" s="393"/>
      <c r="T152" s="368"/>
      <c r="U152" s="357"/>
      <c r="V152" s="357"/>
      <c r="W152" s="357"/>
      <c r="X152" s="357"/>
      <c r="Y152" s="357"/>
      <c r="Z152" s="357"/>
      <c r="AA152" s="357"/>
      <c r="AB152" s="357"/>
      <c r="AC152" s="357"/>
      <c r="AD152" s="357"/>
      <c r="AE152" s="357"/>
      <c r="AF152" s="357"/>
      <c r="AG152" s="357"/>
      <c r="AH152" s="357"/>
      <c r="AI152" s="357"/>
      <c r="AJ152" s="357"/>
      <c r="AK152" s="357"/>
      <c r="AL152" s="393"/>
      <c r="AM152" s="368"/>
      <c r="AN152" s="357"/>
      <c r="AO152" s="357"/>
      <c r="AP152" s="357"/>
      <c r="AQ152" s="357"/>
      <c r="AR152" s="357"/>
      <c r="AS152" s="357"/>
      <c r="AT152" s="357"/>
      <c r="AU152" s="357"/>
      <c r="AV152" s="357"/>
      <c r="AW152" s="357"/>
      <c r="AX152" s="357"/>
      <c r="AY152" s="357"/>
      <c r="AZ152" s="357"/>
      <c r="BA152" s="357"/>
      <c r="BB152" s="357"/>
      <c r="BC152" s="357"/>
      <c r="BD152" s="357"/>
      <c r="BE152" s="393"/>
      <c r="BF152" s="368"/>
      <c r="BG152" s="357"/>
      <c r="BH152" s="357"/>
      <c r="BI152" s="357"/>
      <c r="BJ152" s="357"/>
      <c r="BK152" s="357"/>
      <c r="BL152" s="357"/>
      <c r="BM152" s="357"/>
      <c r="BN152" s="357"/>
      <c r="BO152" s="357"/>
      <c r="BP152" s="357"/>
      <c r="BQ152" s="357"/>
      <c r="BR152" s="357"/>
      <c r="BS152" s="357"/>
      <c r="BT152" s="357"/>
      <c r="BU152" s="357"/>
      <c r="BV152" s="357"/>
      <c r="BW152" s="357"/>
      <c r="BX152" s="393"/>
    </row>
    <row r="153" spans="1:76" x14ac:dyDescent="0.2">
      <c r="A153" s="368"/>
      <c r="B153" s="357"/>
      <c r="C153" s="357"/>
      <c r="D153" s="357"/>
      <c r="E153" s="357"/>
      <c r="F153" s="357"/>
      <c r="G153" s="357"/>
      <c r="H153" s="357"/>
      <c r="I153" s="357"/>
      <c r="J153" s="357"/>
      <c r="K153" s="357"/>
      <c r="L153" s="357"/>
      <c r="M153" s="357"/>
      <c r="N153" s="357"/>
      <c r="O153" s="357"/>
      <c r="P153" s="357"/>
      <c r="Q153" s="357"/>
      <c r="R153" s="357"/>
      <c r="S153" s="393"/>
      <c r="T153" s="368"/>
      <c r="U153" s="357"/>
      <c r="V153" s="357"/>
      <c r="W153" s="357"/>
      <c r="X153" s="357"/>
      <c r="Y153" s="357"/>
      <c r="Z153" s="357"/>
      <c r="AA153" s="357"/>
      <c r="AB153" s="357"/>
      <c r="AC153" s="357"/>
      <c r="AD153" s="357"/>
      <c r="AE153" s="357"/>
      <c r="AF153" s="357"/>
      <c r="AG153" s="357"/>
      <c r="AH153" s="357"/>
      <c r="AI153" s="357"/>
      <c r="AJ153" s="357"/>
      <c r="AK153" s="357"/>
      <c r="AL153" s="393"/>
      <c r="AM153" s="368"/>
      <c r="AN153" s="357"/>
      <c r="AO153" s="357"/>
      <c r="AP153" s="357"/>
      <c r="AQ153" s="357"/>
      <c r="AR153" s="357"/>
      <c r="AS153" s="357"/>
      <c r="AT153" s="357"/>
      <c r="AU153" s="357"/>
      <c r="AV153" s="357"/>
      <c r="AW153" s="357"/>
      <c r="AX153" s="357"/>
      <c r="AY153" s="357"/>
      <c r="AZ153" s="357"/>
      <c r="BA153" s="357"/>
      <c r="BB153" s="357"/>
      <c r="BC153" s="357"/>
      <c r="BD153" s="357"/>
      <c r="BE153" s="393"/>
      <c r="BF153" s="368"/>
      <c r="BG153" s="357"/>
      <c r="BH153" s="357"/>
      <c r="BI153" s="357"/>
      <c r="BJ153" s="357"/>
      <c r="BK153" s="357"/>
      <c r="BL153" s="357"/>
      <c r="BM153" s="357"/>
      <c r="BN153" s="357"/>
      <c r="BO153" s="357"/>
      <c r="BP153" s="357"/>
      <c r="BQ153" s="357"/>
      <c r="BR153" s="357"/>
      <c r="BS153" s="357"/>
      <c r="BT153" s="357"/>
      <c r="BU153" s="357"/>
      <c r="BV153" s="357"/>
      <c r="BW153" s="357"/>
      <c r="BX153" s="393"/>
    </row>
    <row r="154" spans="1:76" x14ac:dyDescent="0.2">
      <c r="A154" s="368"/>
      <c r="B154" s="357"/>
      <c r="C154" s="357"/>
      <c r="D154" s="357"/>
      <c r="E154" s="357"/>
      <c r="F154" s="357"/>
      <c r="G154" s="357"/>
      <c r="H154" s="357"/>
      <c r="I154" s="357"/>
      <c r="J154" s="357"/>
      <c r="K154" s="357"/>
      <c r="L154" s="357"/>
      <c r="M154" s="357"/>
      <c r="N154" s="357"/>
      <c r="O154" s="357"/>
      <c r="P154" s="357"/>
      <c r="Q154" s="357"/>
      <c r="R154" s="357"/>
      <c r="S154" s="393"/>
      <c r="T154" s="368"/>
      <c r="U154" s="357"/>
      <c r="V154" s="357"/>
      <c r="W154" s="357"/>
      <c r="X154" s="357"/>
      <c r="Y154" s="357"/>
      <c r="Z154" s="357"/>
      <c r="AA154" s="357"/>
      <c r="AB154" s="357"/>
      <c r="AC154" s="357"/>
      <c r="AD154" s="357"/>
      <c r="AE154" s="357"/>
      <c r="AF154" s="357"/>
      <c r="AG154" s="357"/>
      <c r="AH154" s="357"/>
      <c r="AI154" s="357"/>
      <c r="AJ154" s="357"/>
      <c r="AK154" s="357"/>
      <c r="AL154" s="393"/>
      <c r="AM154" s="368"/>
      <c r="AN154" s="357"/>
      <c r="AO154" s="357"/>
      <c r="AP154" s="357"/>
      <c r="AQ154" s="357"/>
      <c r="AR154" s="357"/>
      <c r="AS154" s="357"/>
      <c r="AT154" s="357"/>
      <c r="AU154" s="357"/>
      <c r="AV154" s="357"/>
      <c r="AW154" s="357"/>
      <c r="AX154" s="357"/>
      <c r="AY154" s="357"/>
      <c r="AZ154" s="357"/>
      <c r="BA154" s="357"/>
      <c r="BB154" s="357"/>
      <c r="BC154" s="357"/>
      <c r="BD154" s="357"/>
      <c r="BE154" s="393"/>
      <c r="BF154" s="368"/>
      <c r="BG154" s="357"/>
      <c r="BH154" s="357"/>
      <c r="BI154" s="357"/>
      <c r="BJ154" s="357"/>
      <c r="BK154" s="357"/>
      <c r="BL154" s="357"/>
      <c r="BM154" s="357"/>
      <c r="BN154" s="357"/>
      <c r="BO154" s="357"/>
      <c r="BP154" s="357"/>
      <c r="BQ154" s="357"/>
      <c r="BR154" s="357"/>
      <c r="BS154" s="357"/>
      <c r="BT154" s="357"/>
      <c r="BU154" s="357"/>
      <c r="BV154" s="357"/>
      <c r="BW154" s="357"/>
      <c r="BX154" s="393"/>
    </row>
    <row r="155" spans="1:76" x14ac:dyDescent="0.2">
      <c r="A155" s="368"/>
      <c r="B155" s="357"/>
      <c r="C155" s="357"/>
      <c r="D155" s="357"/>
      <c r="E155" s="357"/>
      <c r="F155" s="357"/>
      <c r="G155" s="357"/>
      <c r="H155" s="357"/>
      <c r="I155" s="357"/>
      <c r="J155" s="357"/>
      <c r="K155" s="357"/>
      <c r="L155" s="357"/>
      <c r="M155" s="357"/>
      <c r="N155" s="357"/>
      <c r="O155" s="357"/>
      <c r="P155" s="357"/>
      <c r="Q155" s="357"/>
      <c r="R155" s="357"/>
      <c r="S155" s="393"/>
      <c r="T155" s="368"/>
      <c r="U155" s="357"/>
      <c r="V155" s="357"/>
      <c r="W155" s="357"/>
      <c r="X155" s="357"/>
      <c r="Y155" s="357"/>
      <c r="Z155" s="357"/>
      <c r="AA155" s="357"/>
      <c r="AB155" s="357"/>
      <c r="AC155" s="357"/>
      <c r="AD155" s="357"/>
      <c r="AE155" s="357"/>
      <c r="AF155" s="357"/>
      <c r="AG155" s="357"/>
      <c r="AH155" s="357"/>
      <c r="AI155" s="357"/>
      <c r="AJ155" s="357"/>
      <c r="AK155" s="357"/>
      <c r="AL155" s="393"/>
      <c r="AM155" s="368"/>
      <c r="AN155" s="357"/>
      <c r="AO155" s="357"/>
      <c r="AP155" s="357"/>
      <c r="AQ155" s="357"/>
      <c r="AR155" s="357"/>
      <c r="AS155" s="357"/>
      <c r="AT155" s="357"/>
      <c r="AU155" s="357"/>
      <c r="AV155" s="357"/>
      <c r="AW155" s="357"/>
      <c r="AX155" s="357"/>
      <c r="AY155" s="357"/>
      <c r="AZ155" s="357"/>
      <c r="BA155" s="357"/>
      <c r="BB155" s="357"/>
      <c r="BC155" s="357"/>
      <c r="BD155" s="357"/>
      <c r="BE155" s="393"/>
      <c r="BF155" s="368"/>
      <c r="BG155" s="357"/>
      <c r="BH155" s="357"/>
      <c r="BI155" s="357"/>
      <c r="BJ155" s="357"/>
      <c r="BK155" s="357"/>
      <c r="BL155" s="357"/>
      <c r="BM155" s="357"/>
      <c r="BN155" s="357"/>
      <c r="BO155" s="357"/>
      <c r="BP155" s="357"/>
      <c r="BQ155" s="357"/>
      <c r="BR155" s="357"/>
      <c r="BS155" s="357"/>
      <c r="BT155" s="357"/>
      <c r="BU155" s="357"/>
      <c r="BV155" s="357"/>
      <c r="BW155" s="357"/>
      <c r="BX155" s="393"/>
    </row>
    <row r="156" spans="1:76" x14ac:dyDescent="0.2">
      <c r="A156" s="368"/>
      <c r="B156" s="357"/>
      <c r="C156" s="357"/>
      <c r="D156" s="357"/>
      <c r="E156" s="357"/>
      <c r="F156" s="357"/>
      <c r="G156" s="357"/>
      <c r="H156" s="357"/>
      <c r="I156" s="357"/>
      <c r="J156" s="357"/>
      <c r="K156" s="357"/>
      <c r="L156" s="357"/>
      <c r="M156" s="357"/>
      <c r="N156" s="357"/>
      <c r="O156" s="357"/>
      <c r="P156" s="357"/>
      <c r="Q156" s="357"/>
      <c r="R156" s="357"/>
      <c r="S156" s="393"/>
      <c r="T156" s="368"/>
      <c r="U156" s="357"/>
      <c r="V156" s="357"/>
      <c r="W156" s="357"/>
      <c r="X156" s="357"/>
      <c r="Y156" s="357"/>
      <c r="Z156" s="357"/>
      <c r="AA156" s="357"/>
      <c r="AB156" s="357"/>
      <c r="AC156" s="357"/>
      <c r="AD156" s="357"/>
      <c r="AE156" s="357"/>
      <c r="AF156" s="357"/>
      <c r="AG156" s="357"/>
      <c r="AH156" s="357"/>
      <c r="AI156" s="357"/>
      <c r="AJ156" s="357"/>
      <c r="AK156" s="357"/>
      <c r="AL156" s="393"/>
      <c r="AM156" s="368"/>
      <c r="AN156" s="357"/>
      <c r="AO156" s="357"/>
      <c r="AP156" s="357"/>
      <c r="AQ156" s="357"/>
      <c r="AR156" s="357"/>
      <c r="AS156" s="357"/>
      <c r="AT156" s="357"/>
      <c r="AU156" s="357"/>
      <c r="AV156" s="357"/>
      <c r="AW156" s="357"/>
      <c r="AX156" s="357"/>
      <c r="AY156" s="357"/>
      <c r="AZ156" s="357"/>
      <c r="BA156" s="357"/>
      <c r="BB156" s="357"/>
      <c r="BC156" s="357"/>
      <c r="BD156" s="357"/>
      <c r="BE156" s="393"/>
      <c r="BF156" s="368"/>
      <c r="BG156" s="357"/>
      <c r="BH156" s="357"/>
      <c r="BI156" s="357"/>
      <c r="BJ156" s="357"/>
      <c r="BK156" s="357"/>
      <c r="BL156" s="357"/>
      <c r="BM156" s="357"/>
      <c r="BN156" s="357"/>
      <c r="BO156" s="357"/>
      <c r="BP156" s="357"/>
      <c r="BQ156" s="357"/>
      <c r="BR156" s="357"/>
      <c r="BS156" s="357"/>
      <c r="BT156" s="357"/>
      <c r="BU156" s="357"/>
      <c r="BV156" s="357"/>
      <c r="BW156" s="357"/>
      <c r="BX156" s="393"/>
    </row>
    <row r="157" spans="1:76" x14ac:dyDescent="0.2">
      <c r="A157" s="368"/>
      <c r="B157" s="357"/>
      <c r="C157" s="357"/>
      <c r="D157" s="357"/>
      <c r="E157" s="357"/>
      <c r="F157" s="357"/>
      <c r="G157" s="357"/>
      <c r="H157" s="357"/>
      <c r="I157" s="357"/>
      <c r="J157" s="357"/>
      <c r="K157" s="357"/>
      <c r="L157" s="357"/>
      <c r="M157" s="357"/>
      <c r="N157" s="357"/>
      <c r="O157" s="357"/>
      <c r="P157" s="357"/>
      <c r="Q157" s="357"/>
      <c r="R157" s="357"/>
      <c r="S157" s="393"/>
      <c r="T157" s="368"/>
      <c r="U157" s="357"/>
      <c r="V157" s="357"/>
      <c r="W157" s="357"/>
      <c r="X157" s="357"/>
      <c r="Y157" s="357"/>
      <c r="Z157" s="357"/>
      <c r="AA157" s="357"/>
      <c r="AB157" s="357"/>
      <c r="AC157" s="357"/>
      <c r="AD157" s="357"/>
      <c r="AE157" s="357"/>
      <c r="AF157" s="357"/>
      <c r="AG157" s="357"/>
      <c r="AH157" s="357"/>
      <c r="AI157" s="357"/>
      <c r="AJ157" s="357"/>
      <c r="AK157" s="357"/>
      <c r="AL157" s="393"/>
      <c r="AM157" s="368"/>
      <c r="AN157" s="357"/>
      <c r="AO157" s="357"/>
      <c r="AP157" s="357"/>
      <c r="AQ157" s="357"/>
      <c r="AR157" s="357"/>
      <c r="AS157" s="357"/>
      <c r="AT157" s="357"/>
      <c r="AU157" s="357"/>
      <c r="AV157" s="357"/>
      <c r="AW157" s="357"/>
      <c r="AX157" s="357"/>
      <c r="AY157" s="357"/>
      <c r="AZ157" s="357"/>
      <c r="BA157" s="357"/>
      <c r="BB157" s="357"/>
      <c r="BC157" s="357"/>
      <c r="BD157" s="357"/>
      <c r="BE157" s="393"/>
      <c r="BF157" s="368"/>
      <c r="BG157" s="357"/>
      <c r="BH157" s="357"/>
      <c r="BI157" s="357"/>
      <c r="BJ157" s="357"/>
      <c r="BK157" s="357"/>
      <c r="BL157" s="357"/>
      <c r="BM157" s="357"/>
      <c r="BN157" s="357"/>
      <c r="BO157" s="357"/>
      <c r="BP157" s="357"/>
      <c r="BQ157" s="357"/>
      <c r="BR157" s="357"/>
      <c r="BS157" s="357"/>
      <c r="BT157" s="357"/>
      <c r="BU157" s="357"/>
      <c r="BV157" s="357"/>
      <c r="BW157" s="357"/>
      <c r="BX157" s="393"/>
    </row>
    <row r="158" spans="1:76" x14ac:dyDescent="0.2">
      <c r="A158" s="368"/>
      <c r="B158" s="357"/>
      <c r="C158" s="357"/>
      <c r="D158" s="357"/>
      <c r="E158" s="357"/>
      <c r="F158" s="357"/>
      <c r="G158" s="357"/>
      <c r="H158" s="357"/>
      <c r="I158" s="357"/>
      <c r="J158" s="357"/>
      <c r="K158" s="357"/>
      <c r="L158" s="357"/>
      <c r="M158" s="357"/>
      <c r="N158" s="357"/>
      <c r="O158" s="357"/>
      <c r="P158" s="357"/>
      <c r="Q158" s="357"/>
      <c r="R158" s="357"/>
      <c r="S158" s="393"/>
      <c r="T158" s="368"/>
      <c r="U158" s="357"/>
      <c r="V158" s="357"/>
      <c r="W158" s="357"/>
      <c r="X158" s="357"/>
      <c r="Y158" s="357"/>
      <c r="Z158" s="357"/>
      <c r="AA158" s="357"/>
      <c r="AB158" s="357"/>
      <c r="AC158" s="357"/>
      <c r="AD158" s="357"/>
      <c r="AE158" s="357"/>
      <c r="AF158" s="357"/>
      <c r="AG158" s="357"/>
      <c r="AH158" s="357"/>
      <c r="AI158" s="357"/>
      <c r="AJ158" s="357"/>
      <c r="AK158" s="357"/>
      <c r="AL158" s="393"/>
      <c r="AM158" s="368"/>
      <c r="AN158" s="357"/>
      <c r="AO158" s="357"/>
      <c r="AP158" s="357"/>
      <c r="AQ158" s="357"/>
      <c r="AR158" s="357"/>
      <c r="AS158" s="357"/>
      <c r="AT158" s="357"/>
      <c r="AU158" s="357"/>
      <c r="AV158" s="357"/>
      <c r="AW158" s="357"/>
      <c r="AX158" s="357"/>
      <c r="AY158" s="357"/>
      <c r="AZ158" s="357"/>
      <c r="BA158" s="357"/>
      <c r="BB158" s="357"/>
      <c r="BC158" s="357"/>
      <c r="BD158" s="357"/>
      <c r="BE158" s="393"/>
      <c r="BF158" s="368"/>
      <c r="BG158" s="357"/>
      <c r="BH158" s="357"/>
      <c r="BI158" s="357"/>
      <c r="BJ158" s="357"/>
      <c r="BK158" s="357"/>
      <c r="BL158" s="357"/>
      <c r="BM158" s="357"/>
      <c r="BN158" s="357"/>
      <c r="BO158" s="357"/>
      <c r="BP158" s="357"/>
      <c r="BQ158" s="357"/>
      <c r="BR158" s="357"/>
      <c r="BS158" s="357"/>
      <c r="BT158" s="357"/>
      <c r="BU158" s="357"/>
      <c r="BV158" s="357"/>
      <c r="BW158" s="357"/>
      <c r="BX158" s="393"/>
    </row>
    <row r="159" spans="1:76" x14ac:dyDescent="0.2">
      <c r="A159" s="368"/>
      <c r="B159" s="357"/>
      <c r="C159" s="357"/>
      <c r="D159" s="357"/>
      <c r="E159" s="357"/>
      <c r="F159" s="357"/>
      <c r="G159" s="357"/>
      <c r="H159" s="357"/>
      <c r="I159" s="357"/>
      <c r="J159" s="357"/>
      <c r="K159" s="357"/>
      <c r="L159" s="357"/>
      <c r="M159" s="357"/>
      <c r="N159" s="357"/>
      <c r="O159" s="357"/>
      <c r="P159" s="357"/>
      <c r="Q159" s="357"/>
      <c r="R159" s="357"/>
      <c r="S159" s="393"/>
      <c r="T159" s="368"/>
      <c r="U159" s="357"/>
      <c r="V159" s="357"/>
      <c r="W159" s="357"/>
      <c r="X159" s="357"/>
      <c r="Y159" s="357"/>
      <c r="Z159" s="357"/>
      <c r="AA159" s="357"/>
      <c r="AB159" s="357"/>
      <c r="AC159" s="357"/>
      <c r="AD159" s="357"/>
      <c r="AE159" s="357"/>
      <c r="AF159" s="357"/>
      <c r="AG159" s="357"/>
      <c r="AH159" s="357"/>
      <c r="AI159" s="357"/>
      <c r="AJ159" s="357"/>
      <c r="AK159" s="357"/>
      <c r="AL159" s="393"/>
      <c r="AM159" s="368"/>
      <c r="AN159" s="357"/>
      <c r="AO159" s="357"/>
      <c r="AP159" s="357"/>
      <c r="AQ159" s="357"/>
      <c r="AR159" s="357"/>
      <c r="AS159" s="357"/>
      <c r="AT159" s="357"/>
      <c r="AU159" s="357"/>
      <c r="AV159" s="357"/>
      <c r="AW159" s="357"/>
      <c r="AX159" s="357"/>
      <c r="AY159" s="357"/>
      <c r="AZ159" s="357"/>
      <c r="BA159" s="357"/>
      <c r="BB159" s="357"/>
      <c r="BC159" s="357"/>
      <c r="BD159" s="357"/>
      <c r="BE159" s="393"/>
      <c r="BF159" s="368"/>
      <c r="BG159" s="357"/>
      <c r="BH159" s="357"/>
      <c r="BI159" s="357"/>
      <c r="BJ159" s="357"/>
      <c r="BK159" s="357"/>
      <c r="BL159" s="357"/>
      <c r="BM159" s="357"/>
      <c r="BN159" s="357"/>
      <c r="BO159" s="357"/>
      <c r="BP159" s="357"/>
      <c r="BQ159" s="357"/>
      <c r="BR159" s="357"/>
      <c r="BS159" s="357"/>
      <c r="BT159" s="357"/>
      <c r="BU159" s="357"/>
      <c r="BV159" s="357"/>
      <c r="BW159" s="357"/>
      <c r="BX159" s="393"/>
    </row>
    <row r="160" spans="1:76" x14ac:dyDescent="0.2">
      <c r="A160" s="368"/>
      <c r="B160" s="357"/>
      <c r="C160" s="357"/>
      <c r="D160" s="357"/>
      <c r="E160" s="357"/>
      <c r="F160" s="357"/>
      <c r="G160" s="357"/>
      <c r="H160" s="357"/>
      <c r="I160" s="357"/>
      <c r="J160" s="357"/>
      <c r="K160" s="357"/>
      <c r="L160" s="357"/>
      <c r="M160" s="357"/>
      <c r="N160" s="357"/>
      <c r="O160" s="357"/>
      <c r="P160" s="357"/>
      <c r="Q160" s="357"/>
      <c r="R160" s="357"/>
      <c r="S160" s="393"/>
      <c r="T160" s="368"/>
      <c r="U160" s="357"/>
      <c r="V160" s="357"/>
      <c r="W160" s="357"/>
      <c r="X160" s="357"/>
      <c r="Y160" s="357"/>
      <c r="Z160" s="357"/>
      <c r="AA160" s="357"/>
      <c r="AB160" s="357"/>
      <c r="AC160" s="357"/>
      <c r="AD160" s="357"/>
      <c r="AE160" s="357"/>
      <c r="AF160" s="357"/>
      <c r="AG160" s="357"/>
      <c r="AH160" s="357"/>
      <c r="AI160" s="357"/>
      <c r="AJ160" s="357"/>
      <c r="AK160" s="357"/>
      <c r="AL160" s="393"/>
      <c r="AM160" s="368"/>
      <c r="AN160" s="357"/>
      <c r="AO160" s="357"/>
      <c r="AP160" s="357"/>
      <c r="AQ160" s="357"/>
      <c r="AR160" s="357"/>
      <c r="AS160" s="357"/>
      <c r="AT160" s="357"/>
      <c r="AU160" s="357"/>
      <c r="AV160" s="357"/>
      <c r="AW160" s="357"/>
      <c r="AX160" s="357"/>
      <c r="AY160" s="357"/>
      <c r="AZ160" s="357"/>
      <c r="BA160" s="357"/>
      <c r="BB160" s="357"/>
      <c r="BC160" s="357"/>
      <c r="BD160" s="357"/>
      <c r="BE160" s="393"/>
      <c r="BF160" s="368"/>
      <c r="BG160" s="357"/>
      <c r="BH160" s="357"/>
      <c r="BI160" s="357"/>
      <c r="BJ160" s="357"/>
      <c r="BK160" s="357"/>
      <c r="BL160" s="357"/>
      <c r="BM160" s="357"/>
      <c r="BN160" s="357"/>
      <c r="BO160" s="357"/>
      <c r="BP160" s="357"/>
      <c r="BQ160" s="357"/>
      <c r="BR160" s="357"/>
      <c r="BS160" s="357"/>
      <c r="BT160" s="357"/>
      <c r="BU160" s="357"/>
      <c r="BV160" s="357"/>
      <c r="BW160" s="357"/>
      <c r="BX160" s="393"/>
    </row>
    <row r="161" spans="1:76" x14ac:dyDescent="0.2">
      <c r="A161" s="368"/>
      <c r="B161" s="357"/>
      <c r="C161" s="357"/>
      <c r="D161" s="357"/>
      <c r="E161" s="357"/>
      <c r="F161" s="357"/>
      <c r="G161" s="357"/>
      <c r="H161" s="357"/>
      <c r="I161" s="357"/>
      <c r="J161" s="357"/>
      <c r="K161" s="357"/>
      <c r="L161" s="357"/>
      <c r="M161" s="357"/>
      <c r="N161" s="357"/>
      <c r="O161" s="357"/>
      <c r="P161" s="357"/>
      <c r="Q161" s="357"/>
      <c r="R161" s="357"/>
      <c r="S161" s="393"/>
      <c r="T161" s="368"/>
      <c r="U161" s="357"/>
      <c r="V161" s="357"/>
      <c r="W161" s="357"/>
      <c r="X161" s="357"/>
      <c r="Y161" s="357"/>
      <c r="Z161" s="357"/>
      <c r="AA161" s="357"/>
      <c r="AB161" s="357"/>
      <c r="AC161" s="357"/>
      <c r="AD161" s="357"/>
      <c r="AE161" s="357"/>
      <c r="AF161" s="357"/>
      <c r="AG161" s="357"/>
      <c r="AH161" s="357"/>
      <c r="AI161" s="357"/>
      <c r="AJ161" s="357"/>
      <c r="AK161" s="357"/>
      <c r="AL161" s="393"/>
      <c r="AM161" s="368"/>
      <c r="AN161" s="357"/>
      <c r="AO161" s="357"/>
      <c r="AP161" s="357"/>
      <c r="AQ161" s="357"/>
      <c r="AR161" s="357"/>
      <c r="AS161" s="357"/>
      <c r="AT161" s="357"/>
      <c r="AU161" s="357"/>
      <c r="AV161" s="357"/>
      <c r="AW161" s="357"/>
      <c r="AX161" s="357"/>
      <c r="AY161" s="357"/>
      <c r="AZ161" s="357"/>
      <c r="BA161" s="357"/>
      <c r="BB161" s="357"/>
      <c r="BC161" s="357"/>
      <c r="BD161" s="357"/>
      <c r="BE161" s="393"/>
      <c r="BF161" s="368"/>
      <c r="BG161" s="357"/>
      <c r="BH161" s="357"/>
      <c r="BI161" s="357"/>
      <c r="BJ161" s="357"/>
      <c r="BK161" s="357"/>
      <c r="BL161" s="357"/>
      <c r="BM161" s="357"/>
      <c r="BN161" s="357"/>
      <c r="BO161" s="357"/>
      <c r="BP161" s="357"/>
      <c r="BQ161" s="357"/>
      <c r="BR161" s="357"/>
      <c r="BS161" s="357"/>
      <c r="BT161" s="357"/>
      <c r="BU161" s="357"/>
      <c r="BV161" s="357"/>
      <c r="BW161" s="357"/>
      <c r="BX161" s="393"/>
    </row>
    <row r="162" spans="1:76" x14ac:dyDescent="0.2">
      <c r="A162" s="368"/>
      <c r="B162" s="357"/>
      <c r="C162" s="357"/>
      <c r="D162" s="357"/>
      <c r="E162" s="357"/>
      <c r="F162" s="357"/>
      <c r="G162" s="357"/>
      <c r="H162" s="357"/>
      <c r="I162" s="357"/>
      <c r="J162" s="357"/>
      <c r="K162" s="357"/>
      <c r="L162" s="357"/>
      <c r="M162" s="357"/>
      <c r="N162" s="357"/>
      <c r="O162" s="357"/>
      <c r="P162" s="357"/>
      <c r="Q162" s="357"/>
      <c r="R162" s="357"/>
      <c r="S162" s="393"/>
      <c r="T162" s="368"/>
      <c r="U162" s="357"/>
      <c r="V162" s="357"/>
      <c r="W162" s="357"/>
      <c r="X162" s="357"/>
      <c r="Y162" s="357"/>
      <c r="Z162" s="357"/>
      <c r="AA162" s="357"/>
      <c r="AB162" s="357"/>
      <c r="AC162" s="357"/>
      <c r="AD162" s="357"/>
      <c r="AE162" s="357"/>
      <c r="AF162" s="357"/>
      <c r="AG162" s="357"/>
      <c r="AH162" s="357"/>
      <c r="AI162" s="357"/>
      <c r="AJ162" s="357"/>
      <c r="AK162" s="357"/>
      <c r="AL162" s="393"/>
      <c r="AM162" s="368"/>
      <c r="AN162" s="357"/>
      <c r="AO162" s="357"/>
      <c r="AP162" s="357"/>
      <c r="AQ162" s="357"/>
      <c r="AR162" s="357"/>
      <c r="AS162" s="357"/>
      <c r="AT162" s="357"/>
      <c r="AU162" s="357"/>
      <c r="AV162" s="357"/>
      <c r="AW162" s="357"/>
      <c r="AX162" s="357"/>
      <c r="AY162" s="357"/>
      <c r="AZ162" s="357"/>
      <c r="BA162" s="357"/>
      <c r="BB162" s="357"/>
      <c r="BC162" s="357"/>
      <c r="BD162" s="357"/>
      <c r="BE162" s="393"/>
      <c r="BF162" s="368"/>
      <c r="BG162" s="357"/>
      <c r="BH162" s="357"/>
      <c r="BI162" s="357"/>
      <c r="BJ162" s="357"/>
      <c r="BK162" s="357"/>
      <c r="BL162" s="357"/>
      <c r="BM162" s="357"/>
      <c r="BN162" s="357"/>
      <c r="BO162" s="357"/>
      <c r="BP162" s="357"/>
      <c r="BQ162" s="357"/>
      <c r="BR162" s="357"/>
      <c r="BS162" s="357"/>
      <c r="BT162" s="357"/>
      <c r="BU162" s="357"/>
      <c r="BV162" s="357"/>
      <c r="BW162" s="357"/>
      <c r="BX162" s="393"/>
    </row>
    <row r="163" spans="1:76" x14ac:dyDescent="0.2">
      <c r="A163" s="368"/>
      <c r="B163" s="357"/>
      <c r="C163" s="357"/>
      <c r="D163" s="357"/>
      <c r="E163" s="357"/>
      <c r="F163" s="357"/>
      <c r="G163" s="357"/>
      <c r="H163" s="357"/>
      <c r="I163" s="357"/>
      <c r="J163" s="357"/>
      <c r="K163" s="357"/>
      <c r="L163" s="357"/>
      <c r="M163" s="357"/>
      <c r="N163" s="357"/>
      <c r="O163" s="357"/>
      <c r="P163" s="357"/>
      <c r="Q163" s="357"/>
      <c r="R163" s="357"/>
      <c r="S163" s="393"/>
      <c r="T163" s="368"/>
      <c r="U163" s="357"/>
      <c r="V163" s="357"/>
      <c r="W163" s="357"/>
      <c r="X163" s="357"/>
      <c r="Y163" s="357"/>
      <c r="Z163" s="357"/>
      <c r="AA163" s="357"/>
      <c r="AB163" s="357"/>
      <c r="AC163" s="357"/>
      <c r="AD163" s="357"/>
      <c r="AE163" s="357"/>
      <c r="AF163" s="357"/>
      <c r="AG163" s="357"/>
      <c r="AH163" s="357"/>
      <c r="AI163" s="357"/>
      <c r="AJ163" s="357"/>
      <c r="AK163" s="357"/>
      <c r="AL163" s="393"/>
      <c r="AM163" s="368"/>
      <c r="AN163" s="357"/>
      <c r="AO163" s="357"/>
      <c r="AP163" s="357"/>
      <c r="AQ163" s="357"/>
      <c r="AR163" s="357"/>
      <c r="AS163" s="357"/>
      <c r="AT163" s="357"/>
      <c r="AU163" s="357"/>
      <c r="AV163" s="357"/>
      <c r="AW163" s="357"/>
      <c r="AX163" s="357"/>
      <c r="AY163" s="357"/>
      <c r="AZ163" s="357"/>
      <c r="BA163" s="357"/>
      <c r="BB163" s="357"/>
      <c r="BC163" s="357"/>
      <c r="BD163" s="357"/>
      <c r="BE163" s="393"/>
      <c r="BF163" s="368"/>
      <c r="BG163" s="357"/>
      <c r="BH163" s="357"/>
      <c r="BI163" s="357"/>
      <c r="BJ163" s="357"/>
      <c r="BK163" s="357"/>
      <c r="BL163" s="357"/>
      <c r="BM163" s="357"/>
      <c r="BN163" s="357"/>
      <c r="BO163" s="357"/>
      <c r="BP163" s="357"/>
      <c r="BQ163" s="357"/>
      <c r="BR163" s="357"/>
      <c r="BS163" s="357"/>
      <c r="BT163" s="357"/>
      <c r="BU163" s="357"/>
      <c r="BV163" s="357"/>
      <c r="BW163" s="357"/>
      <c r="BX163" s="393"/>
    </row>
    <row r="164" spans="1:76" x14ac:dyDescent="0.2">
      <c r="A164" s="368"/>
      <c r="B164" s="357"/>
      <c r="C164" s="357"/>
      <c r="D164" s="357"/>
      <c r="E164" s="357"/>
      <c r="F164" s="357"/>
      <c r="G164" s="357"/>
      <c r="H164" s="357"/>
      <c r="I164" s="357"/>
      <c r="J164" s="357"/>
      <c r="K164" s="357"/>
      <c r="L164" s="357"/>
      <c r="M164" s="357"/>
      <c r="N164" s="357"/>
      <c r="O164" s="357"/>
      <c r="P164" s="357"/>
      <c r="Q164" s="357"/>
      <c r="R164" s="357"/>
      <c r="S164" s="393"/>
      <c r="T164" s="368"/>
      <c r="U164" s="357"/>
      <c r="V164" s="357"/>
      <c r="W164" s="357"/>
      <c r="X164" s="357"/>
      <c r="Y164" s="357"/>
      <c r="Z164" s="357"/>
      <c r="AA164" s="357"/>
      <c r="AB164" s="357"/>
      <c r="AC164" s="357"/>
      <c r="AD164" s="357"/>
      <c r="AE164" s="357"/>
      <c r="AF164" s="357"/>
      <c r="AG164" s="357"/>
      <c r="AH164" s="357"/>
      <c r="AI164" s="357"/>
      <c r="AJ164" s="357"/>
      <c r="AK164" s="357"/>
      <c r="AL164" s="393"/>
      <c r="AM164" s="368"/>
      <c r="AN164" s="357"/>
      <c r="AO164" s="357"/>
      <c r="AP164" s="357"/>
      <c r="AQ164" s="357"/>
      <c r="AR164" s="357"/>
      <c r="AS164" s="357"/>
      <c r="AT164" s="357"/>
      <c r="AU164" s="357"/>
      <c r="AV164" s="357"/>
      <c r="AW164" s="357"/>
      <c r="AX164" s="357"/>
      <c r="AY164" s="357"/>
      <c r="AZ164" s="357"/>
      <c r="BA164" s="357"/>
      <c r="BB164" s="357"/>
      <c r="BC164" s="357"/>
      <c r="BD164" s="357"/>
      <c r="BE164" s="393"/>
      <c r="BF164" s="368"/>
      <c r="BG164" s="357"/>
      <c r="BH164" s="357"/>
      <c r="BI164" s="357"/>
      <c r="BJ164" s="357"/>
      <c r="BK164" s="357"/>
      <c r="BL164" s="357"/>
      <c r="BM164" s="357"/>
      <c r="BN164" s="357"/>
      <c r="BO164" s="357"/>
      <c r="BP164" s="357"/>
      <c r="BQ164" s="357"/>
      <c r="BR164" s="357"/>
      <c r="BS164" s="357"/>
      <c r="BT164" s="357"/>
      <c r="BU164" s="357"/>
      <c r="BV164" s="357"/>
      <c r="BW164" s="357"/>
      <c r="BX164" s="393"/>
    </row>
    <row r="165" spans="1:76" x14ac:dyDescent="0.2">
      <c r="A165" s="368"/>
      <c r="B165" s="357"/>
      <c r="C165" s="357"/>
      <c r="D165" s="357"/>
      <c r="E165" s="357"/>
      <c r="F165" s="357"/>
      <c r="G165" s="357"/>
      <c r="H165" s="357"/>
      <c r="I165" s="357"/>
      <c r="J165" s="357"/>
      <c r="K165" s="357"/>
      <c r="L165" s="357"/>
      <c r="M165" s="357"/>
      <c r="N165" s="357"/>
      <c r="O165" s="357"/>
      <c r="P165" s="357"/>
      <c r="Q165" s="357"/>
      <c r="R165" s="357"/>
      <c r="S165" s="393"/>
      <c r="T165" s="368"/>
      <c r="U165" s="357"/>
      <c r="V165" s="357"/>
      <c r="W165" s="357"/>
      <c r="X165" s="357"/>
      <c r="Y165" s="357"/>
      <c r="Z165" s="357"/>
      <c r="AA165" s="357"/>
      <c r="AB165" s="357"/>
      <c r="AC165" s="357"/>
      <c r="AD165" s="357"/>
      <c r="AE165" s="357"/>
      <c r="AF165" s="357"/>
      <c r="AG165" s="357"/>
      <c r="AH165" s="357"/>
      <c r="AI165" s="357"/>
      <c r="AJ165" s="357"/>
      <c r="AK165" s="357"/>
      <c r="AL165" s="393"/>
      <c r="AM165" s="368"/>
      <c r="AN165" s="357"/>
      <c r="AO165" s="357"/>
      <c r="AP165" s="357"/>
      <c r="AQ165" s="357"/>
      <c r="AR165" s="357"/>
      <c r="AS165" s="357"/>
      <c r="AT165" s="357"/>
      <c r="AU165" s="357"/>
      <c r="AV165" s="357"/>
      <c r="AW165" s="357"/>
      <c r="AX165" s="357"/>
      <c r="AY165" s="357"/>
      <c r="AZ165" s="357"/>
      <c r="BA165" s="357"/>
      <c r="BB165" s="357"/>
      <c r="BC165" s="357"/>
      <c r="BD165" s="357"/>
      <c r="BE165" s="393"/>
      <c r="BF165" s="368"/>
      <c r="BG165" s="357"/>
      <c r="BH165" s="357"/>
      <c r="BI165" s="357"/>
      <c r="BJ165" s="357"/>
      <c r="BK165" s="357"/>
      <c r="BL165" s="357"/>
      <c r="BM165" s="357"/>
      <c r="BN165" s="357"/>
      <c r="BO165" s="357"/>
      <c r="BP165" s="357"/>
      <c r="BQ165" s="357"/>
      <c r="BR165" s="357"/>
      <c r="BS165" s="357"/>
      <c r="BT165" s="357"/>
      <c r="BU165" s="357"/>
      <c r="BV165" s="357"/>
      <c r="BW165" s="357"/>
      <c r="BX165" s="393"/>
    </row>
    <row r="166" spans="1:76" x14ac:dyDescent="0.2">
      <c r="A166" s="368"/>
      <c r="B166" s="357"/>
      <c r="C166" s="357"/>
      <c r="D166" s="357"/>
      <c r="E166" s="357"/>
      <c r="F166" s="357"/>
      <c r="G166" s="357"/>
      <c r="H166" s="357"/>
      <c r="I166" s="357"/>
      <c r="J166" s="357"/>
      <c r="K166" s="357"/>
      <c r="L166" s="357"/>
      <c r="M166" s="357"/>
      <c r="N166" s="357"/>
      <c r="O166" s="357"/>
      <c r="P166" s="357"/>
      <c r="Q166" s="357"/>
      <c r="R166" s="357"/>
      <c r="S166" s="393"/>
      <c r="T166" s="368"/>
      <c r="U166" s="357"/>
      <c r="V166" s="357"/>
      <c r="W166" s="357"/>
      <c r="X166" s="357"/>
      <c r="Y166" s="357"/>
      <c r="Z166" s="357"/>
      <c r="AA166" s="357"/>
      <c r="AB166" s="357"/>
      <c r="AC166" s="357"/>
      <c r="AD166" s="357"/>
      <c r="AE166" s="357"/>
      <c r="AF166" s="357"/>
      <c r="AG166" s="357"/>
      <c r="AH166" s="357"/>
      <c r="AI166" s="357"/>
      <c r="AJ166" s="357"/>
      <c r="AK166" s="357"/>
      <c r="AL166" s="393"/>
      <c r="AM166" s="368"/>
      <c r="AN166" s="357"/>
      <c r="AO166" s="357"/>
      <c r="AP166" s="357"/>
      <c r="AQ166" s="357"/>
      <c r="AR166" s="357"/>
      <c r="AS166" s="357"/>
      <c r="AT166" s="357"/>
      <c r="AU166" s="357"/>
      <c r="AV166" s="357"/>
      <c r="AW166" s="357"/>
      <c r="AX166" s="357"/>
      <c r="AY166" s="357"/>
      <c r="AZ166" s="357"/>
      <c r="BA166" s="357"/>
      <c r="BB166" s="357"/>
      <c r="BC166" s="357"/>
      <c r="BD166" s="357"/>
      <c r="BE166" s="393"/>
      <c r="BF166" s="368"/>
      <c r="BG166" s="357"/>
      <c r="BH166" s="357"/>
      <c r="BI166" s="357"/>
      <c r="BJ166" s="357"/>
      <c r="BK166" s="357"/>
      <c r="BL166" s="357"/>
      <c r="BM166" s="357"/>
      <c r="BN166" s="357"/>
      <c r="BO166" s="357"/>
      <c r="BP166" s="357"/>
      <c r="BQ166" s="357"/>
      <c r="BR166" s="357"/>
      <c r="BS166" s="357"/>
      <c r="BT166" s="357"/>
      <c r="BU166" s="357"/>
      <c r="BV166" s="357"/>
      <c r="BW166" s="357"/>
      <c r="BX166" s="393"/>
    </row>
    <row r="167" spans="1:76" x14ac:dyDescent="0.2">
      <c r="A167" s="368"/>
      <c r="B167" s="357"/>
      <c r="C167" s="357"/>
      <c r="D167" s="357"/>
      <c r="E167" s="357"/>
      <c r="F167" s="357"/>
      <c r="G167" s="357"/>
      <c r="H167" s="357"/>
      <c r="I167" s="357"/>
      <c r="J167" s="357"/>
      <c r="K167" s="357"/>
      <c r="L167" s="357"/>
      <c r="M167" s="357"/>
      <c r="N167" s="357"/>
      <c r="O167" s="357"/>
      <c r="P167" s="357"/>
      <c r="Q167" s="357"/>
      <c r="R167" s="357"/>
      <c r="S167" s="393"/>
      <c r="T167" s="368"/>
      <c r="U167" s="357"/>
      <c r="V167" s="357"/>
      <c r="W167" s="357"/>
      <c r="X167" s="357"/>
      <c r="Y167" s="357"/>
      <c r="Z167" s="357"/>
      <c r="AA167" s="357"/>
      <c r="AB167" s="357"/>
      <c r="AC167" s="357"/>
      <c r="AD167" s="357"/>
      <c r="AE167" s="357"/>
      <c r="AF167" s="357"/>
      <c r="AG167" s="357"/>
      <c r="AH167" s="357"/>
      <c r="AI167" s="357"/>
      <c r="AJ167" s="357"/>
      <c r="AK167" s="357"/>
      <c r="AL167" s="393"/>
      <c r="AM167" s="368"/>
      <c r="AN167" s="357"/>
      <c r="AO167" s="357"/>
      <c r="AP167" s="357"/>
      <c r="AQ167" s="357"/>
      <c r="AR167" s="357"/>
      <c r="AS167" s="357"/>
      <c r="AT167" s="357"/>
      <c r="AU167" s="357"/>
      <c r="AV167" s="357"/>
      <c r="AW167" s="357"/>
      <c r="AX167" s="357"/>
      <c r="AY167" s="357"/>
      <c r="AZ167" s="357"/>
      <c r="BA167" s="357"/>
      <c r="BB167" s="357"/>
      <c r="BC167" s="357"/>
      <c r="BD167" s="357"/>
      <c r="BE167" s="393"/>
      <c r="BF167" s="368"/>
      <c r="BG167" s="357"/>
      <c r="BH167" s="357"/>
      <c r="BI167" s="357"/>
      <c r="BJ167" s="357"/>
      <c r="BK167" s="357"/>
      <c r="BL167" s="357"/>
      <c r="BM167" s="357"/>
      <c r="BN167" s="357"/>
      <c r="BO167" s="357"/>
      <c r="BP167" s="357"/>
      <c r="BQ167" s="357"/>
      <c r="BR167" s="357"/>
      <c r="BS167" s="357"/>
      <c r="BT167" s="357"/>
      <c r="BU167" s="357"/>
      <c r="BV167" s="357"/>
      <c r="BW167" s="357"/>
      <c r="BX167" s="393"/>
    </row>
    <row r="168" spans="1:76" x14ac:dyDescent="0.2">
      <c r="A168" s="368"/>
      <c r="B168" s="357"/>
      <c r="C168" s="357"/>
      <c r="D168" s="357"/>
      <c r="E168" s="357"/>
      <c r="F168" s="357"/>
      <c r="G168" s="357"/>
      <c r="H168" s="357"/>
      <c r="I168" s="357"/>
      <c r="J168" s="357"/>
      <c r="K168" s="357"/>
      <c r="L168" s="357"/>
      <c r="M168" s="357"/>
      <c r="N168" s="357"/>
      <c r="O168" s="357"/>
      <c r="P168" s="357"/>
      <c r="Q168" s="357"/>
      <c r="R168" s="357"/>
      <c r="S168" s="393"/>
      <c r="T168" s="368"/>
      <c r="U168" s="357"/>
      <c r="V168" s="357"/>
      <c r="W168" s="357"/>
      <c r="X168" s="357"/>
      <c r="Y168" s="357"/>
      <c r="Z168" s="357"/>
      <c r="AA168" s="357"/>
      <c r="AB168" s="357"/>
      <c r="AC168" s="357"/>
      <c r="AD168" s="357"/>
      <c r="AE168" s="357"/>
      <c r="AF168" s="357"/>
      <c r="AG168" s="357"/>
      <c r="AH168" s="357"/>
      <c r="AI168" s="357"/>
      <c r="AJ168" s="357"/>
      <c r="AK168" s="357"/>
      <c r="AL168" s="393"/>
      <c r="AM168" s="368"/>
      <c r="AN168" s="357"/>
      <c r="AO168" s="357"/>
      <c r="AP168" s="357"/>
      <c r="AQ168" s="357"/>
      <c r="AR168" s="357"/>
      <c r="AS168" s="357"/>
      <c r="AT168" s="357"/>
      <c r="AU168" s="357"/>
      <c r="AV168" s="357"/>
      <c r="AW168" s="357"/>
      <c r="AX168" s="357"/>
      <c r="AY168" s="357"/>
      <c r="AZ168" s="357"/>
      <c r="BA168" s="357"/>
      <c r="BB168" s="357"/>
      <c r="BC168" s="357"/>
      <c r="BD168" s="357"/>
      <c r="BE168" s="393"/>
      <c r="BF168" s="368"/>
      <c r="BG168" s="357"/>
      <c r="BH168" s="357"/>
      <c r="BI168" s="357"/>
      <c r="BJ168" s="357"/>
      <c r="BK168" s="357"/>
      <c r="BL168" s="357"/>
      <c r="BM168" s="357"/>
      <c r="BN168" s="357"/>
      <c r="BO168" s="357"/>
      <c r="BP168" s="357"/>
      <c r="BQ168" s="357"/>
      <c r="BR168" s="357"/>
      <c r="BS168" s="357"/>
      <c r="BT168" s="357"/>
      <c r="BU168" s="357"/>
      <c r="BV168" s="357"/>
      <c r="BW168" s="357"/>
      <c r="BX168" s="393"/>
    </row>
    <row r="169" spans="1:76" x14ac:dyDescent="0.2">
      <c r="A169" s="368"/>
      <c r="B169" s="357"/>
      <c r="C169" s="357"/>
      <c r="D169" s="357"/>
      <c r="E169" s="357"/>
      <c r="F169" s="357"/>
      <c r="G169" s="357"/>
      <c r="H169" s="357"/>
      <c r="I169" s="357"/>
      <c r="J169" s="357"/>
      <c r="K169" s="357"/>
      <c r="L169" s="357"/>
      <c r="M169" s="357"/>
      <c r="N169" s="357"/>
      <c r="O169" s="357"/>
      <c r="P169" s="357"/>
      <c r="Q169" s="357"/>
      <c r="R169" s="357"/>
      <c r="S169" s="393"/>
      <c r="T169" s="368"/>
      <c r="U169" s="357"/>
      <c r="V169" s="357"/>
      <c r="W169" s="357"/>
      <c r="X169" s="357"/>
      <c r="Y169" s="357"/>
      <c r="Z169" s="357"/>
      <c r="AA169" s="357"/>
      <c r="AB169" s="357"/>
      <c r="AC169" s="357"/>
      <c r="AD169" s="357"/>
      <c r="AE169" s="357"/>
      <c r="AF169" s="357"/>
      <c r="AG169" s="357"/>
      <c r="AH169" s="357"/>
      <c r="AI169" s="357"/>
      <c r="AJ169" s="357"/>
      <c r="AK169" s="357"/>
      <c r="AL169" s="393"/>
      <c r="AM169" s="368"/>
      <c r="AN169" s="357"/>
      <c r="AO169" s="357"/>
      <c r="AP169" s="357"/>
      <c r="AQ169" s="357"/>
      <c r="AR169" s="357"/>
      <c r="AS169" s="357"/>
      <c r="AT169" s="357"/>
      <c r="AU169" s="357"/>
      <c r="AV169" s="357"/>
      <c r="AW169" s="357"/>
      <c r="AX169" s="357"/>
      <c r="AY169" s="357"/>
      <c r="AZ169" s="357"/>
      <c r="BA169" s="357"/>
      <c r="BB169" s="357"/>
      <c r="BC169" s="357"/>
      <c r="BD169" s="357"/>
      <c r="BE169" s="393"/>
      <c r="BF169" s="368"/>
      <c r="BG169" s="357"/>
      <c r="BH169" s="357"/>
      <c r="BI169" s="357"/>
      <c r="BJ169" s="357"/>
      <c r="BK169" s="357"/>
      <c r="BL169" s="357"/>
      <c r="BM169" s="357"/>
      <c r="BN169" s="357"/>
      <c r="BO169" s="357"/>
      <c r="BP169" s="357"/>
      <c r="BQ169" s="357"/>
      <c r="BR169" s="357"/>
      <c r="BS169" s="357"/>
      <c r="BT169" s="357"/>
      <c r="BU169" s="357"/>
      <c r="BV169" s="357"/>
      <c r="BW169" s="357"/>
      <c r="BX169" s="393"/>
    </row>
    <row r="170" spans="1:76" x14ac:dyDescent="0.2">
      <c r="A170" s="368"/>
      <c r="B170" s="357"/>
      <c r="C170" s="357"/>
      <c r="D170" s="357"/>
      <c r="E170" s="357"/>
      <c r="F170" s="357"/>
      <c r="G170" s="357"/>
      <c r="H170" s="357"/>
      <c r="I170" s="357"/>
      <c r="J170" s="357"/>
      <c r="K170" s="357"/>
      <c r="L170" s="357"/>
      <c r="M170" s="357"/>
      <c r="N170" s="357"/>
      <c r="O170" s="357"/>
      <c r="P170" s="357"/>
      <c r="Q170" s="357"/>
      <c r="R170" s="357"/>
      <c r="S170" s="393"/>
      <c r="T170" s="368"/>
      <c r="U170" s="357"/>
      <c r="V170" s="357"/>
      <c r="W170" s="357"/>
      <c r="X170" s="357"/>
      <c r="Y170" s="357"/>
      <c r="Z170" s="357"/>
      <c r="AA170" s="357"/>
      <c r="AB170" s="357"/>
      <c r="AC170" s="357"/>
      <c r="AD170" s="357"/>
      <c r="AE170" s="357"/>
      <c r="AF170" s="357"/>
      <c r="AG170" s="357"/>
      <c r="AH170" s="357"/>
      <c r="AI170" s="357"/>
      <c r="AJ170" s="357"/>
      <c r="AK170" s="357"/>
      <c r="AL170" s="393"/>
      <c r="AM170" s="368"/>
      <c r="AN170" s="357"/>
      <c r="AO170" s="357"/>
      <c r="AP170" s="357"/>
      <c r="AQ170" s="357"/>
      <c r="AR170" s="357"/>
      <c r="AS170" s="357"/>
      <c r="AT170" s="357"/>
      <c r="AU170" s="357"/>
      <c r="AV170" s="357"/>
      <c r="AW170" s="357"/>
      <c r="AX170" s="357"/>
      <c r="AY170" s="357"/>
      <c r="AZ170" s="357"/>
      <c r="BA170" s="357"/>
      <c r="BB170" s="357"/>
      <c r="BC170" s="357"/>
      <c r="BD170" s="357"/>
      <c r="BE170" s="393"/>
      <c r="BF170" s="368"/>
      <c r="BG170" s="357"/>
      <c r="BH170" s="357"/>
      <c r="BI170" s="357"/>
      <c r="BJ170" s="357"/>
      <c r="BK170" s="357"/>
      <c r="BL170" s="357"/>
      <c r="BM170" s="357"/>
      <c r="BN170" s="357"/>
      <c r="BO170" s="357"/>
      <c r="BP170" s="357"/>
      <c r="BQ170" s="357"/>
      <c r="BR170" s="357"/>
      <c r="BS170" s="357"/>
      <c r="BT170" s="357"/>
      <c r="BU170" s="357"/>
      <c r="BV170" s="357"/>
      <c r="BW170" s="357"/>
      <c r="BX170" s="393"/>
    </row>
    <row r="171" spans="1:76" x14ac:dyDescent="0.2">
      <c r="A171" s="368"/>
      <c r="B171" s="357"/>
      <c r="C171" s="357"/>
      <c r="D171" s="357"/>
      <c r="E171" s="357"/>
      <c r="F171" s="357"/>
      <c r="G171" s="357"/>
      <c r="H171" s="357"/>
      <c r="I171" s="357"/>
      <c r="J171" s="357"/>
      <c r="K171" s="357"/>
      <c r="L171" s="357"/>
      <c r="M171" s="357"/>
      <c r="N171" s="357"/>
      <c r="O171" s="357"/>
      <c r="P171" s="357"/>
      <c r="Q171" s="357"/>
      <c r="R171" s="357"/>
      <c r="S171" s="393"/>
      <c r="T171" s="368"/>
      <c r="U171" s="357"/>
      <c r="V171" s="357"/>
      <c r="W171" s="357"/>
      <c r="X171" s="357"/>
      <c r="Y171" s="357"/>
      <c r="Z171" s="357"/>
      <c r="AA171" s="357"/>
      <c r="AB171" s="357"/>
      <c r="AC171" s="357"/>
      <c r="AD171" s="357"/>
      <c r="AE171" s="357"/>
      <c r="AF171" s="357"/>
      <c r="AG171" s="357"/>
      <c r="AH171" s="357"/>
      <c r="AI171" s="357"/>
      <c r="AJ171" s="357"/>
      <c r="AK171" s="357"/>
      <c r="AL171" s="393"/>
      <c r="AM171" s="368"/>
      <c r="AN171" s="357"/>
      <c r="AO171" s="357"/>
      <c r="AP171" s="357"/>
      <c r="AQ171" s="357"/>
      <c r="AR171" s="357"/>
      <c r="AS171" s="357"/>
      <c r="AT171" s="357"/>
      <c r="AU171" s="357"/>
      <c r="AV171" s="357"/>
      <c r="AW171" s="357"/>
      <c r="AX171" s="357"/>
      <c r="AY171" s="357"/>
      <c r="AZ171" s="357"/>
      <c r="BA171" s="357"/>
      <c r="BB171" s="357"/>
      <c r="BC171" s="357"/>
      <c r="BD171" s="357"/>
      <c r="BE171" s="393"/>
      <c r="BF171" s="368"/>
      <c r="BG171" s="357"/>
      <c r="BH171" s="357"/>
      <c r="BI171" s="357"/>
      <c r="BJ171" s="357"/>
      <c r="BK171" s="357"/>
      <c r="BL171" s="357"/>
      <c r="BM171" s="357"/>
      <c r="BN171" s="357"/>
      <c r="BO171" s="357"/>
      <c r="BP171" s="357"/>
      <c r="BQ171" s="357"/>
      <c r="BR171" s="357"/>
      <c r="BS171" s="357"/>
      <c r="BT171" s="357"/>
      <c r="BU171" s="357"/>
      <c r="BV171" s="357"/>
      <c r="BW171" s="357"/>
      <c r="BX171" s="393"/>
    </row>
    <row r="172" spans="1:76" x14ac:dyDescent="0.2">
      <c r="A172" s="368"/>
      <c r="B172" s="357"/>
      <c r="C172" s="357"/>
      <c r="D172" s="357"/>
      <c r="E172" s="357"/>
      <c r="F172" s="357"/>
      <c r="G172" s="357"/>
      <c r="H172" s="357"/>
      <c r="I172" s="357"/>
      <c r="J172" s="357"/>
      <c r="K172" s="357"/>
      <c r="L172" s="357"/>
      <c r="M172" s="357"/>
      <c r="N172" s="357"/>
      <c r="O172" s="357"/>
      <c r="P172" s="357"/>
      <c r="Q172" s="357"/>
      <c r="R172" s="357"/>
      <c r="S172" s="393"/>
      <c r="T172" s="368"/>
      <c r="U172" s="357"/>
      <c r="V172" s="357"/>
      <c r="W172" s="357"/>
      <c r="X172" s="357"/>
      <c r="Y172" s="357"/>
      <c r="Z172" s="357"/>
      <c r="AA172" s="357"/>
      <c r="AB172" s="357"/>
      <c r="AC172" s="357"/>
      <c r="AD172" s="357"/>
      <c r="AE172" s="357"/>
      <c r="AF172" s="357"/>
      <c r="AG172" s="357"/>
      <c r="AH172" s="357"/>
      <c r="AI172" s="357"/>
      <c r="AJ172" s="357"/>
      <c r="AK172" s="357"/>
      <c r="AL172" s="393"/>
      <c r="AM172" s="368"/>
      <c r="AN172" s="357"/>
      <c r="AO172" s="357"/>
      <c r="AP172" s="357"/>
      <c r="AQ172" s="357"/>
      <c r="AR172" s="357"/>
      <c r="AS172" s="357"/>
      <c r="AT172" s="357"/>
      <c r="AU172" s="357"/>
      <c r="AV172" s="357"/>
      <c r="AW172" s="357"/>
      <c r="AX172" s="357"/>
      <c r="AY172" s="357"/>
      <c r="AZ172" s="357"/>
      <c r="BA172" s="357"/>
      <c r="BB172" s="357"/>
      <c r="BC172" s="357"/>
      <c r="BD172" s="357"/>
      <c r="BE172" s="393"/>
      <c r="BF172" s="368"/>
      <c r="BG172" s="357"/>
      <c r="BH172" s="357"/>
      <c r="BI172" s="357"/>
      <c r="BJ172" s="357"/>
      <c r="BK172" s="357"/>
      <c r="BL172" s="357"/>
      <c r="BM172" s="357"/>
      <c r="BN172" s="357"/>
      <c r="BO172" s="357"/>
      <c r="BP172" s="357"/>
      <c r="BQ172" s="357"/>
      <c r="BR172" s="357"/>
      <c r="BS172" s="357"/>
      <c r="BT172" s="357"/>
      <c r="BU172" s="357"/>
      <c r="BV172" s="357"/>
      <c r="BW172" s="357"/>
      <c r="BX172" s="393"/>
    </row>
    <row r="173" spans="1:76" x14ac:dyDescent="0.2">
      <c r="A173" s="368"/>
      <c r="B173" s="357"/>
      <c r="C173" s="357"/>
      <c r="D173" s="357"/>
      <c r="E173" s="357"/>
      <c r="F173" s="357"/>
      <c r="G173" s="357"/>
      <c r="H173" s="357"/>
      <c r="I173" s="357"/>
      <c r="J173" s="357"/>
      <c r="K173" s="357"/>
      <c r="L173" s="357"/>
      <c r="M173" s="357"/>
      <c r="N173" s="357"/>
      <c r="O173" s="357"/>
      <c r="P173" s="357"/>
      <c r="Q173" s="357"/>
      <c r="R173" s="357"/>
      <c r="S173" s="393"/>
      <c r="T173" s="368"/>
      <c r="U173" s="357"/>
      <c r="V173" s="357"/>
      <c r="W173" s="357"/>
      <c r="X173" s="357"/>
      <c r="Y173" s="357"/>
      <c r="Z173" s="357"/>
      <c r="AA173" s="357"/>
      <c r="AB173" s="357"/>
      <c r="AC173" s="357"/>
      <c r="AD173" s="357"/>
      <c r="AE173" s="357"/>
      <c r="AF173" s="357"/>
      <c r="AG173" s="357"/>
      <c r="AH173" s="357"/>
      <c r="AI173" s="357"/>
      <c r="AJ173" s="357"/>
      <c r="AK173" s="357"/>
      <c r="AL173" s="393"/>
      <c r="AM173" s="368"/>
      <c r="AN173" s="357"/>
      <c r="AO173" s="357"/>
      <c r="AP173" s="357"/>
      <c r="AQ173" s="357"/>
      <c r="AR173" s="357"/>
      <c r="AS173" s="357"/>
      <c r="AT173" s="357"/>
      <c r="AU173" s="357"/>
      <c r="AV173" s="357"/>
      <c r="AW173" s="357"/>
      <c r="AX173" s="357"/>
      <c r="AY173" s="357"/>
      <c r="AZ173" s="357"/>
      <c r="BA173" s="357"/>
      <c r="BB173" s="357"/>
      <c r="BC173" s="357"/>
      <c r="BD173" s="357"/>
      <c r="BE173" s="393"/>
      <c r="BF173" s="368"/>
      <c r="BG173" s="357"/>
      <c r="BH173" s="357"/>
      <c r="BI173" s="357"/>
      <c r="BJ173" s="357"/>
      <c r="BK173" s="357"/>
      <c r="BL173" s="357"/>
      <c r="BM173" s="357"/>
      <c r="BN173" s="357"/>
      <c r="BO173" s="357"/>
      <c r="BP173" s="357"/>
      <c r="BQ173" s="357"/>
      <c r="BR173" s="357"/>
      <c r="BS173" s="357"/>
      <c r="BT173" s="357"/>
      <c r="BU173" s="357"/>
      <c r="BV173" s="357"/>
      <c r="BW173" s="357"/>
      <c r="BX173" s="393"/>
    </row>
    <row r="174" spans="1:76" x14ac:dyDescent="0.2">
      <c r="A174" s="368"/>
      <c r="B174" s="357"/>
      <c r="C174" s="357"/>
      <c r="D174" s="357"/>
      <c r="E174" s="357"/>
      <c r="F174" s="357"/>
      <c r="G174" s="357"/>
      <c r="H174" s="357"/>
      <c r="I174" s="357"/>
      <c r="J174" s="357"/>
      <c r="K174" s="357"/>
      <c r="L174" s="357"/>
      <c r="M174" s="357"/>
      <c r="N174" s="357"/>
      <c r="O174" s="357"/>
      <c r="P174" s="357"/>
      <c r="Q174" s="357"/>
      <c r="R174" s="357"/>
      <c r="S174" s="393"/>
      <c r="T174" s="368"/>
      <c r="U174" s="357"/>
      <c r="V174" s="357"/>
      <c r="W174" s="357"/>
      <c r="X174" s="357"/>
      <c r="Y174" s="357"/>
      <c r="Z174" s="357"/>
      <c r="AA174" s="357"/>
      <c r="AB174" s="357"/>
      <c r="AC174" s="357"/>
      <c r="AD174" s="357"/>
      <c r="AE174" s="357"/>
      <c r="AF174" s="357"/>
      <c r="AG174" s="357"/>
      <c r="AH174" s="357"/>
      <c r="AI174" s="357"/>
      <c r="AJ174" s="357"/>
      <c r="AK174" s="357"/>
      <c r="AL174" s="393"/>
      <c r="AM174" s="368"/>
      <c r="AN174" s="357"/>
      <c r="AO174" s="357"/>
      <c r="AP174" s="357"/>
      <c r="AQ174" s="357"/>
      <c r="AR174" s="357"/>
      <c r="AS174" s="357"/>
      <c r="AT174" s="357"/>
      <c r="AU174" s="357"/>
      <c r="AV174" s="357"/>
      <c r="AW174" s="357"/>
      <c r="AX174" s="357"/>
      <c r="AY174" s="357"/>
      <c r="AZ174" s="357"/>
      <c r="BA174" s="357"/>
      <c r="BB174" s="357"/>
      <c r="BC174" s="357"/>
      <c r="BD174" s="357"/>
      <c r="BE174" s="393"/>
      <c r="BF174" s="368"/>
      <c r="BG174" s="357"/>
      <c r="BH174" s="357"/>
      <c r="BI174" s="357"/>
      <c r="BJ174" s="357"/>
      <c r="BK174" s="357"/>
      <c r="BL174" s="357"/>
      <c r="BM174" s="357"/>
      <c r="BN174" s="357"/>
      <c r="BO174" s="357"/>
      <c r="BP174" s="357"/>
      <c r="BQ174" s="357"/>
      <c r="BR174" s="357"/>
      <c r="BS174" s="357"/>
      <c r="BT174" s="357"/>
      <c r="BU174" s="357"/>
      <c r="BV174" s="357"/>
      <c r="BW174" s="357"/>
      <c r="BX174" s="393"/>
    </row>
    <row r="175" spans="1:76" x14ac:dyDescent="0.2">
      <c r="A175" s="368"/>
      <c r="B175" s="357"/>
      <c r="C175" s="357"/>
      <c r="D175" s="357"/>
      <c r="E175" s="357"/>
      <c r="F175" s="357"/>
      <c r="G175" s="357"/>
      <c r="H175" s="357"/>
      <c r="I175" s="357"/>
      <c r="J175" s="357"/>
      <c r="K175" s="357"/>
      <c r="L175" s="357"/>
      <c r="M175" s="357"/>
      <c r="N175" s="357"/>
      <c r="O175" s="357"/>
      <c r="P175" s="357"/>
      <c r="Q175" s="357"/>
      <c r="R175" s="357"/>
      <c r="S175" s="393"/>
      <c r="T175" s="368"/>
      <c r="U175" s="357"/>
      <c r="V175" s="357"/>
      <c r="W175" s="357"/>
      <c r="X175" s="357"/>
      <c r="Y175" s="357"/>
      <c r="Z175" s="357"/>
      <c r="AA175" s="357"/>
      <c r="AB175" s="357"/>
      <c r="AC175" s="357"/>
      <c r="AD175" s="357"/>
      <c r="AE175" s="357"/>
      <c r="AF175" s="357"/>
      <c r="AG175" s="357"/>
      <c r="AH175" s="357"/>
      <c r="AI175" s="357"/>
      <c r="AJ175" s="357"/>
      <c r="AK175" s="357"/>
      <c r="AL175" s="393"/>
      <c r="AM175" s="368"/>
      <c r="AN175" s="357"/>
      <c r="AO175" s="357"/>
      <c r="AP175" s="357"/>
      <c r="AQ175" s="357"/>
      <c r="AR175" s="357"/>
      <c r="AS175" s="357"/>
      <c r="AT175" s="357"/>
      <c r="AU175" s="357"/>
      <c r="AV175" s="357"/>
      <c r="AW175" s="357"/>
      <c r="AX175" s="357"/>
      <c r="AY175" s="357"/>
      <c r="AZ175" s="357"/>
      <c r="BA175" s="357"/>
      <c r="BB175" s="357"/>
      <c r="BC175" s="357"/>
      <c r="BD175" s="357"/>
      <c r="BE175" s="393"/>
      <c r="BF175" s="368"/>
      <c r="BG175" s="357"/>
      <c r="BH175" s="357"/>
      <c r="BI175" s="357"/>
      <c r="BJ175" s="357"/>
      <c r="BK175" s="357"/>
      <c r="BL175" s="357"/>
      <c r="BM175" s="357"/>
      <c r="BN175" s="357"/>
      <c r="BO175" s="357"/>
      <c r="BP175" s="357"/>
      <c r="BQ175" s="357"/>
      <c r="BR175" s="357"/>
      <c r="BS175" s="357"/>
      <c r="BT175" s="357"/>
      <c r="BU175" s="357"/>
      <c r="BV175" s="357"/>
      <c r="BW175" s="357"/>
      <c r="BX175" s="393"/>
    </row>
    <row r="176" spans="1:76" x14ac:dyDescent="0.2">
      <c r="A176" s="368"/>
      <c r="B176" s="357"/>
      <c r="C176" s="357"/>
      <c r="D176" s="357"/>
      <c r="E176" s="357"/>
      <c r="F176" s="357"/>
      <c r="G176" s="357"/>
      <c r="H176" s="357"/>
      <c r="I176" s="357"/>
      <c r="J176" s="357"/>
      <c r="K176" s="357"/>
      <c r="L176" s="357"/>
      <c r="M176" s="357"/>
      <c r="N176" s="357"/>
      <c r="O176" s="357"/>
      <c r="P176" s="357"/>
      <c r="Q176" s="357"/>
      <c r="R176" s="357"/>
      <c r="S176" s="393"/>
      <c r="T176" s="368"/>
      <c r="U176" s="357"/>
      <c r="V176" s="357"/>
      <c r="W176" s="357"/>
      <c r="X176" s="357"/>
      <c r="Y176" s="357"/>
      <c r="Z176" s="357"/>
      <c r="AA176" s="357"/>
      <c r="AB176" s="357"/>
      <c r="AC176" s="357"/>
      <c r="AD176" s="357"/>
      <c r="AE176" s="357"/>
      <c r="AF176" s="357"/>
      <c r="AG176" s="357"/>
      <c r="AH176" s="357"/>
      <c r="AI176" s="357"/>
      <c r="AJ176" s="357"/>
      <c r="AK176" s="357"/>
      <c r="AL176" s="393"/>
      <c r="AM176" s="368"/>
      <c r="AN176" s="357"/>
      <c r="AO176" s="357"/>
      <c r="AP176" s="357"/>
      <c r="AQ176" s="357"/>
      <c r="AR176" s="357"/>
      <c r="AS176" s="357"/>
      <c r="AT176" s="357"/>
      <c r="AU176" s="357"/>
      <c r="AV176" s="357"/>
      <c r="AW176" s="357"/>
      <c r="AX176" s="357"/>
      <c r="AY176" s="357"/>
      <c r="AZ176" s="357"/>
      <c r="BA176" s="357"/>
      <c r="BB176" s="357"/>
      <c r="BC176" s="357"/>
      <c r="BD176" s="357"/>
      <c r="BE176" s="393"/>
      <c r="BF176" s="368"/>
      <c r="BG176" s="357"/>
      <c r="BH176" s="357"/>
      <c r="BI176" s="357"/>
      <c r="BJ176" s="357"/>
      <c r="BK176" s="357"/>
      <c r="BL176" s="357"/>
      <c r="BM176" s="357"/>
      <c r="BN176" s="357"/>
      <c r="BO176" s="357"/>
      <c r="BP176" s="357"/>
      <c r="BQ176" s="357"/>
      <c r="BR176" s="357"/>
      <c r="BS176" s="357"/>
      <c r="BT176" s="357"/>
      <c r="BU176" s="357"/>
      <c r="BV176" s="357"/>
      <c r="BW176" s="357"/>
      <c r="BX176" s="393"/>
    </row>
    <row r="177" spans="1:76" x14ac:dyDescent="0.2">
      <c r="A177" s="368"/>
      <c r="B177" s="357"/>
      <c r="C177" s="357"/>
      <c r="D177" s="357"/>
      <c r="E177" s="357"/>
      <c r="F177" s="357"/>
      <c r="G177" s="357"/>
      <c r="H177" s="357"/>
      <c r="I177" s="357"/>
      <c r="J177" s="357"/>
      <c r="K177" s="357"/>
      <c r="L177" s="357"/>
      <c r="M177" s="357"/>
      <c r="N177" s="357"/>
      <c r="O177" s="357"/>
      <c r="P177" s="357"/>
      <c r="Q177" s="357"/>
      <c r="R177" s="357"/>
      <c r="S177" s="393"/>
      <c r="T177" s="368"/>
      <c r="U177" s="357"/>
      <c r="V177" s="357"/>
      <c r="W177" s="357"/>
      <c r="X177" s="357"/>
      <c r="Y177" s="357"/>
      <c r="Z177" s="357"/>
      <c r="AA177" s="357"/>
      <c r="AB177" s="357"/>
      <c r="AC177" s="357"/>
      <c r="AD177" s="357"/>
      <c r="AE177" s="357"/>
      <c r="AF177" s="357"/>
      <c r="AG177" s="357"/>
      <c r="AH177" s="357"/>
      <c r="AI177" s="357"/>
      <c r="AJ177" s="357"/>
      <c r="AK177" s="357"/>
      <c r="AL177" s="393"/>
      <c r="AM177" s="368"/>
      <c r="AN177" s="357"/>
      <c r="AO177" s="357"/>
      <c r="AP177" s="357"/>
      <c r="AQ177" s="357"/>
      <c r="AR177" s="357"/>
      <c r="AS177" s="357"/>
      <c r="AT177" s="357"/>
      <c r="AU177" s="357"/>
      <c r="AV177" s="357"/>
      <c r="AW177" s="357"/>
      <c r="AX177" s="357"/>
      <c r="AY177" s="357"/>
      <c r="AZ177" s="357"/>
      <c r="BA177" s="357"/>
      <c r="BB177" s="357"/>
      <c r="BC177" s="357"/>
      <c r="BD177" s="357"/>
      <c r="BE177" s="393"/>
      <c r="BF177" s="368"/>
      <c r="BG177" s="357"/>
      <c r="BH177" s="357"/>
      <c r="BI177" s="357"/>
      <c r="BJ177" s="357"/>
      <c r="BK177" s="357"/>
      <c r="BL177" s="357"/>
      <c r="BM177" s="357"/>
      <c r="BN177" s="357"/>
      <c r="BO177" s="357"/>
      <c r="BP177" s="357"/>
      <c r="BQ177" s="357"/>
      <c r="BR177" s="357"/>
      <c r="BS177" s="357"/>
      <c r="BT177" s="357"/>
      <c r="BU177" s="357"/>
      <c r="BV177" s="357"/>
      <c r="BW177" s="357"/>
      <c r="BX177" s="393"/>
    </row>
    <row r="178" spans="1:76" x14ac:dyDescent="0.2">
      <c r="A178" s="368"/>
      <c r="B178" s="357"/>
      <c r="C178" s="357"/>
      <c r="D178" s="357"/>
      <c r="E178" s="357"/>
      <c r="F178" s="357"/>
      <c r="G178" s="357"/>
      <c r="H178" s="357"/>
      <c r="I178" s="357"/>
      <c r="J178" s="357"/>
      <c r="K178" s="357"/>
      <c r="L178" s="357"/>
      <c r="M178" s="357"/>
      <c r="N178" s="357"/>
      <c r="O178" s="357"/>
      <c r="P178" s="357"/>
      <c r="Q178" s="357"/>
      <c r="R178" s="357"/>
      <c r="S178" s="393"/>
      <c r="T178" s="368"/>
      <c r="U178" s="357"/>
      <c r="V178" s="357"/>
      <c r="W178" s="357"/>
      <c r="X178" s="357"/>
      <c r="Y178" s="357"/>
      <c r="Z178" s="357"/>
      <c r="AA178" s="357"/>
      <c r="AB178" s="357"/>
      <c r="AC178" s="357"/>
      <c r="AD178" s="357"/>
      <c r="AE178" s="357"/>
      <c r="AF178" s="357"/>
      <c r="AG178" s="357"/>
      <c r="AH178" s="357"/>
      <c r="AI178" s="357"/>
      <c r="AJ178" s="357"/>
      <c r="AK178" s="357"/>
      <c r="AL178" s="393"/>
      <c r="AM178" s="368"/>
      <c r="AN178" s="357"/>
      <c r="AO178" s="357"/>
      <c r="AP178" s="357"/>
      <c r="AQ178" s="357"/>
      <c r="AR178" s="357"/>
      <c r="AS178" s="357"/>
      <c r="AT178" s="357"/>
      <c r="AU178" s="357"/>
      <c r="AV178" s="357"/>
      <c r="AW178" s="357"/>
      <c r="AX178" s="357"/>
      <c r="AY178" s="357"/>
      <c r="AZ178" s="357"/>
      <c r="BA178" s="357"/>
      <c r="BB178" s="357"/>
      <c r="BC178" s="357"/>
      <c r="BD178" s="357"/>
      <c r="BE178" s="393"/>
      <c r="BF178" s="368"/>
      <c r="BG178" s="357"/>
      <c r="BH178" s="357"/>
      <c r="BI178" s="357"/>
      <c r="BJ178" s="357"/>
      <c r="BK178" s="357"/>
      <c r="BL178" s="357"/>
      <c r="BM178" s="357"/>
      <c r="BN178" s="357"/>
      <c r="BO178" s="357"/>
      <c r="BP178" s="357"/>
      <c r="BQ178" s="357"/>
      <c r="BR178" s="357"/>
      <c r="BS178" s="357"/>
      <c r="BT178" s="357"/>
      <c r="BU178" s="357"/>
      <c r="BV178" s="357"/>
      <c r="BW178" s="357"/>
      <c r="BX178" s="393"/>
    </row>
    <row r="179" spans="1:76" x14ac:dyDescent="0.2">
      <c r="A179" s="368"/>
      <c r="B179" s="357"/>
      <c r="C179" s="357"/>
      <c r="D179" s="357"/>
      <c r="E179" s="357"/>
      <c r="F179" s="357"/>
      <c r="G179" s="357"/>
      <c r="H179" s="357"/>
      <c r="I179" s="357"/>
      <c r="J179" s="357"/>
      <c r="K179" s="357"/>
      <c r="L179" s="357"/>
      <c r="M179" s="357"/>
      <c r="N179" s="357"/>
      <c r="O179" s="357"/>
      <c r="P179" s="357"/>
      <c r="Q179" s="357"/>
      <c r="R179" s="357"/>
      <c r="S179" s="393"/>
      <c r="T179" s="368"/>
      <c r="U179" s="357"/>
      <c r="V179" s="357"/>
      <c r="W179" s="357"/>
      <c r="X179" s="357"/>
      <c r="Y179" s="357"/>
      <c r="Z179" s="357"/>
      <c r="AA179" s="357"/>
      <c r="AB179" s="357"/>
      <c r="AC179" s="357"/>
      <c r="AD179" s="357"/>
      <c r="AE179" s="357"/>
      <c r="AF179" s="357"/>
      <c r="AG179" s="357"/>
      <c r="AH179" s="357"/>
      <c r="AI179" s="357"/>
      <c r="AJ179" s="357"/>
      <c r="AK179" s="357"/>
      <c r="AL179" s="393"/>
      <c r="AM179" s="368"/>
      <c r="AN179" s="357"/>
      <c r="AO179" s="357"/>
      <c r="AP179" s="357"/>
      <c r="AQ179" s="357"/>
      <c r="AR179" s="357"/>
      <c r="AS179" s="357"/>
      <c r="AT179" s="357"/>
      <c r="AU179" s="357"/>
      <c r="AV179" s="357"/>
      <c r="AW179" s="357"/>
      <c r="AX179" s="357"/>
      <c r="AY179" s="357"/>
      <c r="AZ179" s="357"/>
      <c r="BA179" s="357"/>
      <c r="BB179" s="357"/>
      <c r="BC179" s="357"/>
      <c r="BD179" s="357"/>
      <c r="BE179" s="393"/>
      <c r="BF179" s="368"/>
      <c r="BG179" s="357"/>
      <c r="BH179" s="357"/>
      <c r="BI179" s="357"/>
      <c r="BJ179" s="357"/>
      <c r="BK179" s="357"/>
      <c r="BL179" s="357"/>
      <c r="BM179" s="357"/>
      <c r="BN179" s="357"/>
      <c r="BO179" s="357"/>
      <c r="BP179" s="357"/>
      <c r="BQ179" s="357"/>
      <c r="BR179" s="357"/>
      <c r="BS179" s="357"/>
      <c r="BT179" s="357"/>
      <c r="BU179" s="357"/>
      <c r="BV179" s="357"/>
      <c r="BW179" s="357"/>
      <c r="BX179" s="393"/>
    </row>
    <row r="180" spans="1:76" x14ac:dyDescent="0.2">
      <c r="A180" s="369"/>
      <c r="B180" s="361"/>
      <c r="C180" s="361"/>
      <c r="D180" s="361"/>
      <c r="E180" s="361"/>
      <c r="F180" s="361"/>
      <c r="G180" s="361"/>
      <c r="H180" s="361"/>
      <c r="I180" s="361"/>
      <c r="J180" s="361"/>
      <c r="K180" s="361"/>
      <c r="L180" s="361"/>
      <c r="M180" s="361"/>
      <c r="N180" s="361"/>
      <c r="O180" s="361"/>
      <c r="P180" s="361"/>
      <c r="Q180" s="361"/>
      <c r="R180" s="361"/>
      <c r="S180" s="394"/>
      <c r="T180" s="369"/>
      <c r="U180" s="361"/>
      <c r="V180" s="361"/>
      <c r="W180" s="361"/>
      <c r="X180" s="361"/>
      <c r="Y180" s="361"/>
      <c r="Z180" s="361"/>
      <c r="AA180" s="361"/>
      <c r="AB180" s="361"/>
      <c r="AC180" s="361"/>
      <c r="AD180" s="361"/>
      <c r="AE180" s="361"/>
      <c r="AF180" s="361"/>
      <c r="AG180" s="361"/>
      <c r="AH180" s="361"/>
      <c r="AI180" s="361"/>
      <c r="AJ180" s="361"/>
      <c r="AK180" s="361"/>
      <c r="AL180" s="394"/>
      <c r="AM180" s="369"/>
      <c r="AN180" s="361"/>
      <c r="AO180" s="361"/>
      <c r="AP180" s="361"/>
      <c r="AQ180" s="361"/>
      <c r="AR180" s="361"/>
      <c r="AS180" s="361"/>
      <c r="AT180" s="361"/>
      <c r="AU180" s="361"/>
      <c r="AV180" s="361"/>
      <c r="AW180" s="361"/>
      <c r="AX180" s="361"/>
      <c r="AY180" s="361"/>
      <c r="AZ180" s="361"/>
      <c r="BA180" s="361"/>
      <c r="BB180" s="361"/>
      <c r="BC180" s="361"/>
      <c r="BD180" s="361"/>
      <c r="BE180" s="394"/>
      <c r="BF180" s="369"/>
      <c r="BG180" s="361"/>
      <c r="BH180" s="361"/>
      <c r="BI180" s="361"/>
      <c r="BJ180" s="361"/>
      <c r="BK180" s="361"/>
      <c r="BL180" s="361"/>
      <c r="BM180" s="361"/>
      <c r="BN180" s="361"/>
      <c r="BO180" s="361"/>
      <c r="BP180" s="361"/>
      <c r="BQ180" s="361"/>
      <c r="BR180" s="361"/>
      <c r="BS180" s="361"/>
      <c r="BT180" s="361"/>
      <c r="BU180" s="361"/>
      <c r="BV180" s="361"/>
      <c r="BW180" s="361"/>
      <c r="BX180" s="394"/>
    </row>
  </sheetData>
  <sheetProtection password="E10F" sheet="1"/>
  <mergeCells count="36">
    <mergeCell ref="B51:C51"/>
    <mergeCell ref="D51:E51"/>
    <mergeCell ref="A1:S1"/>
    <mergeCell ref="D3:J3"/>
    <mergeCell ref="O3:S3"/>
    <mergeCell ref="A48:C48"/>
    <mergeCell ref="D48:E48"/>
    <mergeCell ref="A53:C53"/>
    <mergeCell ref="D53:E53"/>
    <mergeCell ref="BF1:BX1"/>
    <mergeCell ref="BI3:BO3"/>
    <mergeCell ref="BT3:BX3"/>
    <mergeCell ref="BF48:BH48"/>
    <mergeCell ref="BI48:BJ48"/>
    <mergeCell ref="BG51:BH51"/>
    <mergeCell ref="BI51:BJ51"/>
    <mergeCell ref="BF53:BH53"/>
    <mergeCell ref="BI53:BJ53"/>
    <mergeCell ref="AM1:BE1"/>
    <mergeCell ref="AP3:AV3"/>
    <mergeCell ref="BA3:BE3"/>
    <mergeCell ref="AM48:AO48"/>
    <mergeCell ref="AP48:AQ48"/>
    <mergeCell ref="AN51:AO51"/>
    <mergeCell ref="AP51:AQ51"/>
    <mergeCell ref="AM53:AO53"/>
    <mergeCell ref="AP53:AQ53"/>
    <mergeCell ref="T53:V53"/>
    <mergeCell ref="W53:X53"/>
    <mergeCell ref="U51:V51"/>
    <mergeCell ref="W51:X51"/>
    <mergeCell ref="T1:AL1"/>
    <mergeCell ref="W3:AC3"/>
    <mergeCell ref="AH3:AL3"/>
    <mergeCell ref="T48:V48"/>
    <mergeCell ref="W48:X48"/>
  </mergeCells>
  <phoneticPr fontId="0" type="noConversion"/>
  <pageMargins left="0.39370078740157483" right="0.39370078740157483" top="0.39370078740157483" bottom="0.39370078740157483" header="0.51181102362204722" footer="0.51181102362204722"/>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5">
    <pageSetUpPr fitToPage="1"/>
  </sheetPr>
  <dimension ref="B1:N186"/>
  <sheetViews>
    <sheetView showGridLines="0" zoomScaleNormal="100" zoomScaleSheetLayoutView="100" workbookViewId="0">
      <selection activeCell="B1" sqref="B1"/>
    </sheetView>
  </sheetViews>
  <sheetFormatPr baseColWidth="10" defaultColWidth="9.140625" defaultRowHeight="12.75" x14ac:dyDescent="0.2"/>
  <cols>
    <col min="1" max="1" width="3.42578125" style="56" customWidth="1"/>
    <col min="2" max="2" width="45.7109375" style="56" customWidth="1"/>
    <col min="3" max="3" width="16.7109375" style="56" bestFit="1" customWidth="1"/>
    <col min="4" max="4" width="15.42578125" style="56" bestFit="1" customWidth="1"/>
    <col min="5" max="5" width="17.28515625" style="56" bestFit="1" customWidth="1"/>
    <col min="6" max="6" width="15.42578125" style="56" bestFit="1" customWidth="1"/>
    <col min="7" max="7" width="17.28515625" style="56" bestFit="1" customWidth="1"/>
    <col min="8" max="8" width="15.42578125" style="56" bestFit="1" customWidth="1"/>
    <col min="9" max="9" width="17.28515625" style="56" bestFit="1" customWidth="1"/>
    <col min="10" max="10" width="15.42578125" style="56" bestFit="1" customWidth="1"/>
    <col min="11" max="16384" width="9.140625" style="56"/>
  </cols>
  <sheetData>
    <row r="1" spans="2:14" ht="15.75" x14ac:dyDescent="0.25">
      <c r="B1" s="55" t="s">
        <v>447</v>
      </c>
    </row>
    <row r="2" spans="2:14" x14ac:dyDescent="0.2">
      <c r="L2" s="298" t="s">
        <v>565</v>
      </c>
      <c r="M2" s="298"/>
      <c r="N2" s="298"/>
    </row>
    <row r="3" spans="2:14" x14ac:dyDescent="0.2">
      <c r="B3" s="57" t="s">
        <v>18</v>
      </c>
      <c r="C3" s="57" t="s">
        <v>448</v>
      </c>
      <c r="D3" s="57" t="s">
        <v>449</v>
      </c>
      <c r="E3" s="57" t="s">
        <v>452</v>
      </c>
      <c r="F3" s="57" t="s">
        <v>453</v>
      </c>
      <c r="G3" s="57" t="s">
        <v>451</v>
      </c>
      <c r="H3" s="57" t="s">
        <v>450</v>
      </c>
      <c r="I3" s="57" t="s">
        <v>454</v>
      </c>
      <c r="J3" s="57" t="s">
        <v>455</v>
      </c>
    </row>
    <row r="4" spans="2:14" x14ac:dyDescent="0.2">
      <c r="B4" s="58" t="s">
        <v>30</v>
      </c>
      <c r="C4" s="44" t="s">
        <v>7</v>
      </c>
      <c r="D4" s="294" t="s">
        <v>97</v>
      </c>
      <c r="E4" s="44" t="s">
        <v>7</v>
      </c>
      <c r="F4" s="294" t="s">
        <v>97</v>
      </c>
      <c r="G4" s="44" t="s">
        <v>7</v>
      </c>
      <c r="H4" s="294" t="s">
        <v>97</v>
      </c>
      <c r="I4" s="44" t="s">
        <v>7</v>
      </c>
      <c r="J4" s="294" t="s">
        <v>97</v>
      </c>
    </row>
    <row r="5" spans="2:14" x14ac:dyDescent="0.2">
      <c r="B5" s="59" t="s">
        <v>19</v>
      </c>
      <c r="C5" s="46" t="str">
        <f>HLOOKUP(C4,MaterialData!$C$3:$O$4,2,FALSE)</f>
        <v>Steel</v>
      </c>
      <c r="D5" s="395" t="s">
        <v>449</v>
      </c>
      <c r="E5" s="46" t="str">
        <f>HLOOKUP(E4,MaterialData!$C$3:$O$4,2,FALSE)</f>
        <v>Steel</v>
      </c>
      <c r="F5" s="395" t="s">
        <v>475</v>
      </c>
      <c r="G5" s="46" t="str">
        <f>HLOOKUP(G4,MaterialData!$C$3:$O$4,2,FALSE)</f>
        <v>Steel</v>
      </c>
      <c r="H5" s="395" t="s">
        <v>476</v>
      </c>
      <c r="I5" s="46" t="str">
        <f>HLOOKUP(I4,MaterialData!$C$3:$O$4,2,FALSE)</f>
        <v>Steel</v>
      </c>
      <c r="J5" s="395" t="s">
        <v>455</v>
      </c>
    </row>
    <row r="6" spans="2:14" x14ac:dyDescent="0.2">
      <c r="B6" s="58" t="s">
        <v>20</v>
      </c>
      <c r="C6" s="46">
        <f>INDEX(Innertable,MATCH($B6,MaterialData!$B$5:$B$10,0),MATCH(C$5,MaterialData!$C$4:$O$4,0))</f>
        <v>200000000000</v>
      </c>
      <c r="D6" s="115">
        <f>'EV6.5.6 Alt Matl - 3pt Bending'!C59*1000000000</f>
        <v>0</v>
      </c>
      <c r="E6" s="46">
        <f>INDEX(Innertable,MATCH($B6,MaterialData!$B$5:$B$10,0),MATCH(E$5,MaterialData!$C$4:$O$4,0))</f>
        <v>200000000000</v>
      </c>
      <c r="F6" s="115">
        <f>'EV6.5.6 Alt Matl - 3pt Bending'!V59*1000000000</f>
        <v>0</v>
      </c>
      <c r="G6" s="46">
        <f>INDEX(Innertable,MATCH($B6,MaterialData!$B$5:$B$10,0),MATCH(G$5,MaterialData!$C$4:$O$4,0))</f>
        <v>200000000000</v>
      </c>
      <c r="H6" s="115">
        <f>'EV6.5.6 Alt Matl - 3pt Bending'!AO59*1000000000</f>
        <v>0</v>
      </c>
      <c r="I6" s="46">
        <f>INDEX(Innertable,MATCH($B6,MaterialData!$B$5:$B$10,0),MATCH(I$5,MaterialData!$C$4:$O$4,0))</f>
        <v>200000000000</v>
      </c>
      <c r="J6" s="115">
        <f>'EV6.5.6 Alt Matl - 3pt Bending'!BH59*1000000000</f>
        <v>0</v>
      </c>
    </row>
    <row r="7" spans="2:14" x14ac:dyDescent="0.2">
      <c r="B7" s="59" t="s">
        <v>10</v>
      </c>
      <c r="C7" s="46">
        <f>INDEX(Innertable,MATCH($B7,MaterialData!$B$5:$B$10,0),MATCH(C$5,MaterialData!$C$4:$O$4,0))</f>
        <v>305000000</v>
      </c>
      <c r="D7" s="115">
        <f>D8</f>
        <v>0</v>
      </c>
      <c r="E7" s="46">
        <f>INDEX(Innertable,MATCH($B7,MaterialData!$B$5:$B$10,0),MATCH(E$5,MaterialData!$C$4:$O$4,0))</f>
        <v>305000000</v>
      </c>
      <c r="F7" s="115">
        <f>F8</f>
        <v>0</v>
      </c>
      <c r="G7" s="46">
        <f>INDEX(Innertable,MATCH($B7,MaterialData!$B$5:$B$10,0),MATCH(G$5,MaterialData!$C$4:$O$4,0))</f>
        <v>305000000</v>
      </c>
      <c r="H7" s="115">
        <f>H8</f>
        <v>0</v>
      </c>
      <c r="I7" s="46">
        <f>INDEX(Innertable,MATCH($B7,MaterialData!$B$5:$B$10,0),MATCH(I$5,MaterialData!$C$4:$O$4,0))</f>
        <v>305000000</v>
      </c>
      <c r="J7" s="115">
        <f>J8</f>
        <v>0</v>
      </c>
    </row>
    <row r="8" spans="2:14" x14ac:dyDescent="0.2">
      <c r="B8" s="59" t="s">
        <v>11</v>
      </c>
      <c r="C8" s="46">
        <f>INDEX(Innertable,MATCH($B8,MaterialData!$B$5:$B$10,0),MATCH(C$5,MaterialData!$C$4:$O$4,0))</f>
        <v>365000000</v>
      </c>
      <c r="D8" s="115">
        <f>'EV6.5.6 Alt Matl - 3pt Bending'!C60*1000000</f>
        <v>0</v>
      </c>
      <c r="E8" s="46">
        <f>INDEX(Innertable,MATCH($B8,MaterialData!$B$5:$B$10,0),MATCH(E$5,MaterialData!$C$4:$O$4,0))</f>
        <v>365000000</v>
      </c>
      <c r="F8" s="115">
        <f>'EV6.5.6 Alt Matl - 3pt Bending'!V60*1000000</f>
        <v>0</v>
      </c>
      <c r="G8" s="46">
        <f>INDEX(Innertable,MATCH($B8,MaterialData!$B$5:$B$10,0),MATCH(G$5,MaterialData!$C$4:$O$4,0))</f>
        <v>365000000</v>
      </c>
      <c r="H8" s="115">
        <f>'EV6.5.6 Alt Matl - 3pt Bending'!AO60*1000000</f>
        <v>0</v>
      </c>
      <c r="I8" s="46">
        <f>INDEX(Innertable,MATCH($B8,MaterialData!$B$5:$B$10,0),MATCH(I$5,MaterialData!$C$4:$O$4,0))</f>
        <v>365000000</v>
      </c>
      <c r="J8" s="115">
        <f>'EV6.5.6 Alt Matl - 3pt Bending'!BH60*1000000</f>
        <v>0</v>
      </c>
    </row>
    <row r="9" spans="2:14" x14ac:dyDescent="0.2">
      <c r="B9" s="59" t="s">
        <v>9</v>
      </c>
      <c r="C9" s="46">
        <f>INDEX(Innertable,MATCH($B9,MaterialData!$B$5:$B$10,0),MATCH(C$5,MaterialData!$C$4:$O$4,0))</f>
        <v>180000000</v>
      </c>
      <c r="D9" s="396" t="s">
        <v>153</v>
      </c>
      <c r="E9" s="46">
        <f>INDEX(Innertable,MATCH($B9,MaterialData!$B$5:$B$10,0),MATCH(E$5,MaterialData!$C$4:$O$4,0))</f>
        <v>180000000</v>
      </c>
      <c r="F9" s="396" t="s">
        <v>153</v>
      </c>
      <c r="G9" s="46">
        <f>INDEX(Innertable,MATCH($B9,MaterialData!$B$5:$B$10,0),MATCH(G$5,MaterialData!$C$4:$O$4,0))</f>
        <v>180000000</v>
      </c>
      <c r="H9" s="396" t="s">
        <v>153</v>
      </c>
      <c r="I9" s="46">
        <f>INDEX(Innertable,MATCH($B9,MaterialData!$B$5:$B$10,0),MATCH(I$5,MaterialData!$C$4:$O$4,0))</f>
        <v>180000000</v>
      </c>
      <c r="J9" s="396" t="s">
        <v>153</v>
      </c>
    </row>
    <row r="10" spans="2:14" x14ac:dyDescent="0.2">
      <c r="B10" s="59" t="s">
        <v>8</v>
      </c>
      <c r="C10" s="46">
        <f>INDEX(Innertable,MATCH($B10,MaterialData!$B$5:$B$10,0),MATCH(C$5,MaterialData!$C$4:$O$4,0))</f>
        <v>300000000</v>
      </c>
      <c r="D10" s="396" t="s">
        <v>153</v>
      </c>
      <c r="E10" s="46">
        <f>INDEX(Innertable,MATCH($B10,MaterialData!$B$5:$B$10,0),MATCH(E$5,MaterialData!$C$4:$O$4,0))</f>
        <v>300000000</v>
      </c>
      <c r="F10" s="396" t="s">
        <v>153</v>
      </c>
      <c r="G10" s="46">
        <f>INDEX(Innertable,MATCH($B10,MaterialData!$B$5:$B$10,0),MATCH(G$5,MaterialData!$C$4:$O$4,0))</f>
        <v>300000000</v>
      </c>
      <c r="H10" s="396" t="s">
        <v>153</v>
      </c>
      <c r="I10" s="46">
        <f>INDEX(Innertable,MATCH($B10,MaterialData!$B$5:$B$10,0),MATCH(I$5,MaterialData!$C$4:$O$4,0))</f>
        <v>300000000</v>
      </c>
      <c r="J10" s="396" t="s">
        <v>153</v>
      </c>
    </row>
    <row r="11" spans="2:14" x14ac:dyDescent="0.2">
      <c r="B11" s="99" t="s">
        <v>201</v>
      </c>
      <c r="C11" s="46">
        <f>INDEX(Innertable,MATCH($B11,MaterialData!$B$5:$B$10,0),MATCH(C$5,MaterialData!$C$4:$O$4,0))</f>
        <v>219000000</v>
      </c>
      <c r="D11" s="115">
        <f>'EV6.5.6 Alt Matl - Shear'!D53*1000000</f>
        <v>0</v>
      </c>
      <c r="E11" s="46">
        <f>INDEX(Innertable,MATCH($B11,MaterialData!$B$5:$B$10,0),MATCH(E$5,MaterialData!$C$4:$O$4,0))</f>
        <v>219000000</v>
      </c>
      <c r="F11" s="115">
        <f>'EV6.5.6 Alt Matl - Shear'!W53*1000000</f>
        <v>0</v>
      </c>
      <c r="G11" s="46">
        <f>INDEX(Innertable,MATCH($B11,MaterialData!$B$5:$B$10,0),MATCH(G$5,MaterialData!$C$4:$O$4,0))</f>
        <v>219000000</v>
      </c>
      <c r="H11" s="115">
        <f>'EV6.5.6 Alt Matl - Shear'!AP53*1000000</f>
        <v>0</v>
      </c>
      <c r="I11" s="46">
        <f>INDEX(Innertable,MATCH($B11,MaterialData!$B$5:$B$10,0),MATCH(I$5,MaterialData!$C$4:$O$4,0))</f>
        <v>219000000</v>
      </c>
      <c r="J11" s="115">
        <f>'EV6.5.6 Alt Matl - Shear'!BI53*1000000</f>
        <v>0</v>
      </c>
    </row>
    <row r="12" spans="2:14" x14ac:dyDescent="0.2">
      <c r="B12" s="99" t="s">
        <v>24</v>
      </c>
      <c r="C12" s="343">
        <v>1.25</v>
      </c>
      <c r="D12" s="420">
        <f>SUM('EV6.5.6 Alt Matl - 3pt Bending'!C55:C57)</f>
        <v>12</v>
      </c>
      <c r="E12" s="343">
        <v>0.9</v>
      </c>
      <c r="F12" s="420">
        <f>SUM('EV6.5.6 Alt Matl - 3pt Bending'!V55:V57)</f>
        <v>12</v>
      </c>
      <c r="G12" s="343">
        <v>0.9</v>
      </c>
      <c r="H12" s="420">
        <f>SUM('EV6.5.6 Alt Matl - 3pt Bending'!AO55:AO57)</f>
        <v>12</v>
      </c>
      <c r="I12" s="343">
        <v>0.9</v>
      </c>
      <c r="J12" s="420">
        <f>SUM('EV6.5.6 Alt Matl - 3pt Bending'!BH55:BH57)</f>
        <v>12</v>
      </c>
    </row>
    <row r="13" spans="2:14" x14ac:dyDescent="0.2">
      <c r="B13" s="99" t="s">
        <v>287</v>
      </c>
      <c r="C13" s="343" t="s">
        <v>153</v>
      </c>
      <c r="D13" s="420">
        <f>'EV6.5.6 Alt Matl - 3pt Bending'!C56</f>
        <v>1</v>
      </c>
      <c r="E13" s="343" t="s">
        <v>153</v>
      </c>
      <c r="F13" s="420">
        <f>'EV6.5.6 Alt Matl - 3pt Bending'!V56</f>
        <v>1</v>
      </c>
      <c r="G13" s="343" t="s">
        <v>153</v>
      </c>
      <c r="H13" s="420">
        <f>'EV6.5.6 Alt Matl - 3pt Bending'!AO56</f>
        <v>1</v>
      </c>
      <c r="I13" s="343" t="s">
        <v>153</v>
      </c>
      <c r="J13" s="420">
        <f>'EV6.5.6 Alt Matl - 3pt Bending'!BH56</f>
        <v>1</v>
      </c>
    </row>
    <row r="14" spans="2:14" x14ac:dyDescent="0.2">
      <c r="B14" s="99" t="s">
        <v>286</v>
      </c>
      <c r="C14" s="343" t="s">
        <v>153</v>
      </c>
      <c r="D14" s="420">
        <f>'EV6.5.6 Alt Matl - 3pt Bending'!C57</f>
        <v>1</v>
      </c>
      <c r="E14" s="343" t="s">
        <v>153</v>
      </c>
      <c r="F14" s="420">
        <f>'EV6.5.6 Alt Matl - 3pt Bending'!V57</f>
        <v>1</v>
      </c>
      <c r="G14" s="343" t="s">
        <v>153</v>
      </c>
      <c r="H14" s="420">
        <f>'EV6.5.6 Alt Matl - 3pt Bending'!AO57</f>
        <v>1</v>
      </c>
      <c r="I14" s="343" t="s">
        <v>153</v>
      </c>
      <c r="J14" s="420">
        <f>'EV6.5.6 Alt Matl - 3pt Bending'!BH57</f>
        <v>1</v>
      </c>
    </row>
    <row r="15" spans="2:14" x14ac:dyDescent="0.2">
      <c r="B15" s="264" t="s">
        <v>456</v>
      </c>
      <c r="C15" s="287">
        <f>D15</f>
        <v>150</v>
      </c>
      <c r="D15" s="287">
        <f>'EV6.5.5&amp;6 Accumulator Container'!H9</f>
        <v>150</v>
      </c>
      <c r="E15" s="287">
        <f>F15</f>
        <v>300</v>
      </c>
      <c r="F15" s="287">
        <f>'EV6.5.5&amp;6 Accumulator Container'!H12</f>
        <v>300</v>
      </c>
      <c r="G15" s="287">
        <f>H15</f>
        <v>250</v>
      </c>
      <c r="H15" s="287">
        <f>'EV6.5.5&amp;6 Accumulator Container'!H15</f>
        <v>250</v>
      </c>
      <c r="I15" s="287">
        <f>J15</f>
        <v>150</v>
      </c>
      <c r="J15" s="287">
        <f>'EV6.5.5&amp;6 Accumulator Container'!H18</f>
        <v>150</v>
      </c>
    </row>
    <row r="16" spans="2:14" x14ac:dyDescent="0.2">
      <c r="B16" s="264" t="s">
        <v>3</v>
      </c>
      <c r="C16" s="288">
        <f>0.001*C15*(0.001*C12)^3/12</f>
        <v>2.4414062500000002E-11</v>
      </c>
      <c r="D16" s="343">
        <f>(D15/'EV6.5.6 Alt Matl - 3pt Bending'!C54)*'EV6.5.6 Alt Matl - 3pt Bending'!C58*0.000000000001</f>
        <v>9.0999999999999988E-9</v>
      </c>
      <c r="E16" s="288">
        <f>E15*E12^3/12000000000000</f>
        <v>1.8225E-11</v>
      </c>
      <c r="F16" s="397">
        <f>(F15/'EV6.5.6 Alt Matl - 3pt Bending'!V54)*'EV6.5.6 Alt Matl - 3pt Bending'!V58*0.000000000001</f>
        <v>1.8199999999999998E-8</v>
      </c>
      <c r="G16" s="288">
        <f>G15*G12^3/12000000000000</f>
        <v>1.5187500000000002E-11</v>
      </c>
      <c r="H16" s="397">
        <f>(H15/'EV6.5.6 Alt Matl - 3pt Bending'!AO54)*'EV6.5.6 Alt Matl - 3pt Bending'!AO58*0.000000000001</f>
        <v>1.5166666666666664E-8</v>
      </c>
      <c r="I16" s="288">
        <f>I15*I12^3/12000000000000</f>
        <v>9.1125000000000002E-12</v>
      </c>
      <c r="J16" s="397">
        <f>(J15/'EV6.5.6 Alt Matl - 3pt Bending'!BH54)*'EV6.5.6 Alt Matl - 3pt Bending'!BH58*0.000000000001</f>
        <v>9.0999999999999988E-9</v>
      </c>
    </row>
    <row r="17" spans="2:10" x14ac:dyDescent="0.2">
      <c r="B17" s="59" t="s">
        <v>0</v>
      </c>
      <c r="C17" s="266">
        <f t="shared" ref="C17:J17" si="0">C16*C6</f>
        <v>4.8828125</v>
      </c>
      <c r="D17" s="266">
        <f t="shared" si="0"/>
        <v>0</v>
      </c>
      <c r="E17" s="266">
        <f t="shared" si="0"/>
        <v>3.645</v>
      </c>
      <c r="F17" s="266">
        <f t="shared" si="0"/>
        <v>0</v>
      </c>
      <c r="G17" s="266">
        <f t="shared" si="0"/>
        <v>3.0375000000000005</v>
      </c>
      <c r="H17" s="266">
        <f t="shared" si="0"/>
        <v>0</v>
      </c>
      <c r="I17" s="266">
        <f t="shared" si="0"/>
        <v>1.8225</v>
      </c>
      <c r="J17" s="266">
        <f t="shared" si="0"/>
        <v>0</v>
      </c>
    </row>
    <row r="18" spans="2:10" x14ac:dyDescent="0.2">
      <c r="B18" s="59" t="s">
        <v>160</v>
      </c>
      <c r="C18" s="287">
        <f>C15*C12</f>
        <v>187.5</v>
      </c>
      <c r="D18" s="287">
        <f>('EV6.5.6 Alt Matl - 3pt Bending'!C56+'EV6.5.6 Alt Matl - 3pt Bending'!C57)*'EV6.5.6 Alt. Matls Summary'!D15</f>
        <v>300</v>
      </c>
      <c r="E18" s="287">
        <f>E15*E12</f>
        <v>270</v>
      </c>
      <c r="F18" s="287">
        <f>('EV6.5.6 Alt Matl - 3pt Bending'!V56+'EV6.5.6 Alt Matl - 3pt Bending'!V57)*'EV6.5.6 Alt. Matls Summary'!F15</f>
        <v>600</v>
      </c>
      <c r="G18" s="287">
        <f>G15*G12</f>
        <v>225</v>
      </c>
      <c r="H18" s="287">
        <f>('EV6.5.6 Alt Matl - 3pt Bending'!AO56+'EV6.5.6 Alt Matl - 3pt Bending'!AO57)*'EV6.5.6 Alt. Matls Summary'!H15</f>
        <v>500</v>
      </c>
      <c r="I18" s="287">
        <f>I15*I12</f>
        <v>135</v>
      </c>
      <c r="J18" s="287">
        <f>('EV6.5.6 Alt Matl - 3pt Bending'!BH56+'EV6.5.6 Alt Matl - 3pt Bending'!BH57)*'EV6.5.6 Alt. Matls Summary'!J15</f>
        <v>300</v>
      </c>
    </row>
    <row r="19" spans="2:10" x14ac:dyDescent="0.2">
      <c r="B19" s="59" t="s">
        <v>5</v>
      </c>
      <c r="C19" s="266">
        <f t="shared" ref="C19:J19" si="1">C18*C8*0.000001</f>
        <v>68437.5</v>
      </c>
      <c r="D19" s="266">
        <f t="shared" si="1"/>
        <v>0</v>
      </c>
      <c r="E19" s="266">
        <f t="shared" si="1"/>
        <v>98550</v>
      </c>
      <c r="F19" s="266">
        <f t="shared" si="1"/>
        <v>0</v>
      </c>
      <c r="G19" s="266">
        <f t="shared" si="1"/>
        <v>82125</v>
      </c>
      <c r="H19" s="266">
        <f t="shared" si="1"/>
        <v>0</v>
      </c>
      <c r="I19" s="266">
        <f t="shared" si="1"/>
        <v>49275</v>
      </c>
      <c r="J19" s="266">
        <f t="shared" si="1"/>
        <v>0</v>
      </c>
    </row>
    <row r="20" spans="2:10" x14ac:dyDescent="0.2">
      <c r="B20" s="105"/>
      <c r="C20" s="105"/>
      <c r="D20" s="105"/>
      <c r="E20" s="105"/>
      <c r="F20" s="105"/>
      <c r="G20" s="105"/>
      <c r="H20" s="105"/>
      <c r="I20" s="105"/>
      <c r="J20" s="105"/>
    </row>
    <row r="21" spans="2:10" x14ac:dyDescent="0.2">
      <c r="B21" s="127" t="s">
        <v>457</v>
      </c>
    </row>
    <row r="22" spans="2:10" x14ac:dyDescent="0.2">
      <c r="B22" s="58" t="s">
        <v>527</v>
      </c>
      <c r="C22" s="58"/>
      <c r="D22" s="342">
        <f>D19/C19</f>
        <v>0</v>
      </c>
      <c r="E22" s="58"/>
      <c r="F22" s="342">
        <f>F19/E19</f>
        <v>0</v>
      </c>
      <c r="G22" s="58"/>
      <c r="H22" s="342">
        <f>H19/G19</f>
        <v>0</v>
      </c>
      <c r="I22" s="58"/>
      <c r="J22" s="342">
        <f>J19/I19</f>
        <v>0</v>
      </c>
    </row>
    <row r="23" spans="2:10" x14ac:dyDescent="0.2">
      <c r="B23" s="58" t="s">
        <v>526</v>
      </c>
      <c r="C23" s="58"/>
      <c r="D23" s="342">
        <f>D17/C17</f>
        <v>0</v>
      </c>
      <c r="E23" s="58"/>
      <c r="F23" s="342">
        <f>F17/E17</f>
        <v>0</v>
      </c>
      <c r="G23" s="58"/>
      <c r="H23" s="342">
        <f>H17/G17</f>
        <v>0</v>
      </c>
      <c r="I23" s="58"/>
      <c r="J23" s="342">
        <f>J17/I17</f>
        <v>0</v>
      </c>
    </row>
    <row r="24" spans="2:10" x14ac:dyDescent="0.2">
      <c r="B24" s="264" t="s">
        <v>458</v>
      </c>
      <c r="C24" s="264"/>
      <c r="D24" s="342">
        <f>((D13+D14)*D11)/(C11*C12)</f>
        <v>0</v>
      </c>
      <c r="E24" s="264"/>
      <c r="F24" s="342">
        <f>((F13+F14)*F11)/(E11*E12)</f>
        <v>0</v>
      </c>
      <c r="G24" s="264"/>
      <c r="H24" s="342">
        <f>((H13+H14)*H11)/(G11*G12)</f>
        <v>0</v>
      </c>
      <c r="I24" s="264"/>
      <c r="J24" s="342">
        <f>((J13+J14)*J11)/(I11*I12)</f>
        <v>0</v>
      </c>
    </row>
    <row r="25" spans="2:10" x14ac:dyDescent="0.2">
      <c r="B25" s="101"/>
      <c r="C25" s="101"/>
      <c r="D25" s="269" t="str">
        <f>IF(OR(D22&lt;1,D23&lt;1,D24&lt;1,),"FAIL","PASS")</f>
        <v>FAIL</v>
      </c>
      <c r="E25" s="101"/>
      <c r="F25" s="269" t="str">
        <f>IF(OR(F22&lt;1,F23&lt;1,F24&lt;1,),"FAIL","PASS")</f>
        <v>FAIL</v>
      </c>
      <c r="G25" s="101"/>
      <c r="H25" s="269" t="str">
        <f>IF(OR(H22&lt;1,H23&lt;1,H24&lt;1,),"FAIL","PASS")</f>
        <v>FAIL</v>
      </c>
      <c r="I25" s="101"/>
      <c r="J25" s="269" t="str">
        <f>IF(OR(J22&lt;1,J23&lt;1,J24&lt;1,),"FAIL","PASS")</f>
        <v>FAIL</v>
      </c>
    </row>
    <row r="27" spans="2:10" x14ac:dyDescent="0.2">
      <c r="B27" s="127" t="s">
        <v>460</v>
      </c>
      <c r="D27" s="105"/>
      <c r="E27" s="60"/>
    </row>
    <row r="28" spans="2:10" x14ac:dyDescent="0.2">
      <c r="B28" s="24"/>
      <c r="C28" s="25"/>
      <c r="D28" s="25"/>
      <c r="E28" s="25"/>
      <c r="F28" s="25"/>
      <c r="G28" s="25"/>
      <c r="H28" s="25"/>
      <c r="I28" s="25"/>
      <c r="J28" s="26"/>
    </row>
    <row r="29" spans="2:10" x14ac:dyDescent="0.2">
      <c r="B29" s="30"/>
      <c r="C29" s="31"/>
      <c r="D29" s="31"/>
      <c r="E29" s="31"/>
      <c r="F29" s="31"/>
      <c r="G29" s="31"/>
      <c r="H29" s="31"/>
      <c r="I29" s="31"/>
      <c r="J29" s="32"/>
    </row>
    <row r="30" spans="2:10" x14ac:dyDescent="0.2">
      <c r="B30" s="30"/>
      <c r="C30" s="31"/>
      <c r="D30" s="31"/>
      <c r="E30" s="31"/>
      <c r="F30" s="31"/>
      <c r="G30" s="31"/>
      <c r="H30" s="31"/>
      <c r="I30" s="31"/>
      <c r="J30" s="32"/>
    </row>
    <row r="31" spans="2:10" x14ac:dyDescent="0.2">
      <c r="B31" s="30"/>
      <c r="C31" s="31"/>
      <c r="D31" s="31"/>
      <c r="E31" s="31"/>
      <c r="F31" s="31"/>
      <c r="G31" s="31"/>
      <c r="H31" s="31"/>
      <c r="I31" s="31"/>
      <c r="J31" s="32"/>
    </row>
    <row r="32" spans="2:10" x14ac:dyDescent="0.2">
      <c r="B32" s="30"/>
      <c r="C32" s="31"/>
      <c r="D32" s="31"/>
      <c r="E32" s="31"/>
      <c r="F32" s="31"/>
      <c r="G32" s="31"/>
      <c r="H32" s="31"/>
      <c r="I32" s="31"/>
      <c r="J32" s="32"/>
    </row>
    <row r="33" spans="2:10" x14ac:dyDescent="0.2">
      <c r="B33" s="30"/>
      <c r="C33" s="31"/>
      <c r="D33" s="31"/>
      <c r="E33" s="31"/>
      <c r="F33" s="31"/>
      <c r="G33" s="31"/>
      <c r="H33" s="31"/>
      <c r="I33" s="31"/>
      <c r="J33" s="32"/>
    </row>
    <row r="34" spans="2:10" x14ac:dyDescent="0.2">
      <c r="B34" s="30"/>
      <c r="C34" s="31"/>
      <c r="D34" s="31"/>
      <c r="E34" s="31"/>
      <c r="F34" s="31"/>
      <c r="G34" s="31"/>
      <c r="H34" s="31"/>
      <c r="I34" s="31"/>
      <c r="J34" s="32"/>
    </row>
    <row r="35" spans="2:10" x14ac:dyDescent="0.2">
      <c r="B35" s="30"/>
      <c r="C35" s="31"/>
      <c r="D35" s="31"/>
      <c r="E35" s="31"/>
      <c r="F35" s="31"/>
      <c r="G35" s="31"/>
      <c r="H35" s="31"/>
      <c r="I35" s="31"/>
      <c r="J35" s="32"/>
    </row>
    <row r="36" spans="2:10" x14ac:dyDescent="0.2">
      <c r="B36" s="30"/>
      <c r="C36" s="31"/>
      <c r="D36" s="31"/>
      <c r="E36" s="31"/>
      <c r="F36" s="31"/>
      <c r="G36" s="31"/>
      <c r="H36" s="31"/>
      <c r="I36" s="31"/>
      <c r="J36" s="32"/>
    </row>
    <row r="37" spans="2:10" x14ac:dyDescent="0.2">
      <c r="B37" s="30"/>
      <c r="C37" s="31"/>
      <c r="D37" s="31"/>
      <c r="E37" s="31"/>
      <c r="F37" s="31"/>
      <c r="G37" s="31"/>
      <c r="H37" s="31"/>
      <c r="I37" s="31"/>
      <c r="J37" s="32"/>
    </row>
    <row r="38" spans="2:10" x14ac:dyDescent="0.2">
      <c r="B38" s="30"/>
      <c r="C38" s="31"/>
      <c r="D38" s="31"/>
      <c r="E38" s="31"/>
      <c r="F38" s="31"/>
      <c r="G38" s="31"/>
      <c r="H38" s="31"/>
      <c r="I38" s="31"/>
      <c r="J38" s="32"/>
    </row>
    <row r="39" spans="2:10" x14ac:dyDescent="0.2">
      <c r="B39" s="30"/>
      <c r="C39" s="31"/>
      <c r="D39" s="31"/>
      <c r="E39" s="31"/>
      <c r="F39" s="31"/>
      <c r="G39" s="31"/>
      <c r="H39" s="31"/>
      <c r="I39" s="31"/>
      <c r="J39" s="32"/>
    </row>
    <row r="40" spans="2:10" x14ac:dyDescent="0.2">
      <c r="B40" s="30"/>
      <c r="C40" s="31"/>
      <c r="D40" s="31"/>
      <c r="E40" s="31"/>
      <c r="F40" s="31"/>
      <c r="G40" s="31"/>
      <c r="H40" s="31"/>
      <c r="I40" s="31"/>
      <c r="J40" s="32"/>
    </row>
    <row r="41" spans="2:10" x14ac:dyDescent="0.2">
      <c r="B41" s="30"/>
      <c r="C41" s="31"/>
      <c r="D41" s="31"/>
      <c r="E41" s="31"/>
      <c r="F41" s="31"/>
      <c r="G41" s="31"/>
      <c r="H41" s="31"/>
      <c r="I41" s="31"/>
      <c r="J41" s="32"/>
    </row>
    <row r="42" spans="2:10" x14ac:dyDescent="0.2">
      <c r="B42" s="30"/>
      <c r="C42" s="31"/>
      <c r="D42" s="31"/>
      <c r="E42" s="31"/>
      <c r="F42" s="31"/>
      <c r="G42" s="31"/>
      <c r="H42" s="31"/>
      <c r="I42" s="31"/>
      <c r="J42" s="32"/>
    </row>
    <row r="43" spans="2:10" x14ac:dyDescent="0.2">
      <c r="B43" s="30"/>
      <c r="C43" s="31"/>
      <c r="D43" s="31"/>
      <c r="E43" s="31"/>
      <c r="F43" s="31"/>
      <c r="G43" s="31"/>
      <c r="H43" s="31"/>
      <c r="I43" s="31"/>
      <c r="J43" s="32"/>
    </row>
    <row r="44" spans="2:10" x14ac:dyDescent="0.2">
      <c r="B44" s="30"/>
      <c r="C44" s="31"/>
      <c r="D44" s="31"/>
      <c r="E44" s="31"/>
      <c r="F44" s="31"/>
      <c r="G44" s="31"/>
      <c r="H44" s="31"/>
      <c r="I44" s="31"/>
      <c r="J44" s="32"/>
    </row>
    <row r="45" spans="2:10" x14ac:dyDescent="0.2">
      <c r="B45" s="30"/>
      <c r="C45" s="31"/>
      <c r="D45" s="31"/>
      <c r="E45" s="31"/>
      <c r="F45" s="31"/>
      <c r="G45" s="31"/>
      <c r="H45" s="31"/>
      <c r="I45" s="31"/>
      <c r="J45" s="32"/>
    </row>
    <row r="46" spans="2:10" x14ac:dyDescent="0.2">
      <c r="B46" s="30"/>
      <c r="C46" s="31"/>
      <c r="D46" s="31"/>
      <c r="E46" s="31"/>
      <c r="F46" s="31"/>
      <c r="G46" s="31"/>
      <c r="H46" s="31"/>
      <c r="I46" s="31"/>
      <c r="J46" s="32"/>
    </row>
    <row r="47" spans="2:10" x14ac:dyDescent="0.2">
      <c r="B47" s="30"/>
      <c r="C47" s="31"/>
      <c r="D47" s="31"/>
      <c r="E47" s="31"/>
      <c r="F47" s="31"/>
      <c r="G47" s="31"/>
      <c r="H47" s="31"/>
      <c r="I47" s="31"/>
      <c r="J47" s="32"/>
    </row>
    <row r="48" spans="2:10" x14ac:dyDescent="0.2">
      <c r="B48" s="30"/>
      <c r="C48" s="31"/>
      <c r="D48" s="31"/>
      <c r="E48" s="31"/>
      <c r="F48" s="31"/>
      <c r="G48" s="31"/>
      <c r="H48" s="31"/>
      <c r="I48" s="31"/>
      <c r="J48" s="32"/>
    </row>
    <row r="49" spans="2:10" x14ac:dyDescent="0.2">
      <c r="B49" s="30"/>
      <c r="C49" s="31"/>
      <c r="D49" s="31"/>
      <c r="E49" s="31"/>
      <c r="F49" s="31"/>
      <c r="G49" s="31"/>
      <c r="H49" s="31"/>
      <c r="I49" s="31"/>
      <c r="J49" s="32"/>
    </row>
    <row r="50" spans="2:10" x14ac:dyDescent="0.2">
      <c r="B50" s="30"/>
      <c r="C50" s="31"/>
      <c r="D50" s="31"/>
      <c r="E50" s="31"/>
      <c r="F50" s="31"/>
      <c r="G50" s="31"/>
      <c r="H50" s="31"/>
      <c r="I50" s="31"/>
      <c r="J50" s="32"/>
    </row>
    <row r="51" spans="2:10" x14ac:dyDescent="0.2">
      <c r="B51" s="30"/>
      <c r="C51" s="31"/>
      <c r="D51" s="31"/>
      <c r="E51" s="31"/>
      <c r="F51" s="31"/>
      <c r="G51" s="31"/>
      <c r="H51" s="31"/>
      <c r="I51" s="31"/>
      <c r="J51" s="32"/>
    </row>
    <row r="52" spans="2:10" x14ac:dyDescent="0.2">
      <c r="B52" s="30"/>
      <c r="C52" s="31"/>
      <c r="D52" s="31"/>
      <c r="E52" s="31"/>
      <c r="F52" s="31"/>
      <c r="G52" s="31"/>
      <c r="H52" s="31"/>
      <c r="I52" s="31"/>
      <c r="J52" s="32"/>
    </row>
    <row r="53" spans="2:10" x14ac:dyDescent="0.2">
      <c r="B53" s="30"/>
      <c r="C53" s="31"/>
      <c r="D53" s="31"/>
      <c r="E53" s="31"/>
      <c r="F53" s="31"/>
      <c r="G53" s="31"/>
      <c r="H53" s="31"/>
      <c r="I53" s="31"/>
      <c r="J53" s="32"/>
    </row>
    <row r="54" spans="2:10" x14ac:dyDescent="0.2">
      <c r="B54" s="30"/>
      <c r="C54" s="31"/>
      <c r="D54" s="31"/>
      <c r="E54" s="31"/>
      <c r="F54" s="31"/>
      <c r="G54" s="31"/>
      <c r="H54" s="31"/>
      <c r="I54" s="31"/>
      <c r="J54" s="32"/>
    </row>
    <row r="55" spans="2:10" x14ac:dyDescent="0.2">
      <c r="B55" s="30"/>
      <c r="C55" s="31"/>
      <c r="D55" s="31"/>
      <c r="E55" s="31"/>
      <c r="F55" s="31"/>
      <c r="G55" s="31"/>
      <c r="H55" s="31"/>
      <c r="I55" s="31"/>
      <c r="J55" s="32"/>
    </row>
    <row r="56" spans="2:10" x14ac:dyDescent="0.2">
      <c r="B56" s="30"/>
      <c r="C56" s="31"/>
      <c r="D56" s="31"/>
      <c r="E56" s="31"/>
      <c r="F56" s="31"/>
      <c r="G56" s="31"/>
      <c r="H56" s="31"/>
      <c r="I56" s="31"/>
      <c r="J56" s="32"/>
    </row>
    <row r="57" spans="2:10" x14ac:dyDescent="0.2">
      <c r="B57" s="30"/>
      <c r="C57" s="31"/>
      <c r="D57" s="31"/>
      <c r="E57" s="31"/>
      <c r="F57" s="31"/>
      <c r="G57" s="31"/>
      <c r="H57" s="31"/>
      <c r="I57" s="31"/>
      <c r="J57" s="32"/>
    </row>
    <row r="58" spans="2:10" x14ac:dyDescent="0.2">
      <c r="B58" s="30"/>
      <c r="C58" s="31"/>
      <c r="D58" s="31"/>
      <c r="E58" s="31"/>
      <c r="F58" s="31"/>
      <c r="G58" s="31"/>
      <c r="H58" s="31"/>
      <c r="I58" s="31"/>
      <c r="J58" s="32"/>
    </row>
    <row r="59" spans="2:10" x14ac:dyDescent="0.2">
      <c r="B59" s="30"/>
      <c r="C59" s="31"/>
      <c r="D59" s="31"/>
      <c r="E59" s="31"/>
      <c r="F59" s="31"/>
      <c r="G59" s="31"/>
      <c r="H59" s="31"/>
      <c r="I59" s="31"/>
      <c r="J59" s="32"/>
    </row>
    <row r="60" spans="2:10" x14ac:dyDescent="0.2">
      <c r="B60" s="30"/>
      <c r="C60" s="31"/>
      <c r="D60" s="31"/>
      <c r="E60" s="31"/>
      <c r="F60" s="31"/>
      <c r="G60" s="31"/>
      <c r="H60" s="31"/>
      <c r="I60" s="31"/>
      <c r="J60" s="32"/>
    </row>
    <row r="61" spans="2:10" x14ac:dyDescent="0.2">
      <c r="B61" s="30"/>
      <c r="C61" s="31"/>
      <c r="D61" s="31"/>
      <c r="E61" s="31"/>
      <c r="F61" s="31"/>
      <c r="G61" s="31"/>
      <c r="H61" s="31"/>
      <c r="I61" s="31"/>
      <c r="J61" s="32"/>
    </row>
    <row r="62" spans="2:10" x14ac:dyDescent="0.2">
      <c r="B62" s="30"/>
      <c r="C62" s="31"/>
      <c r="D62" s="31"/>
      <c r="E62" s="31"/>
      <c r="F62" s="31"/>
      <c r="G62" s="31"/>
      <c r="H62" s="31"/>
      <c r="I62" s="31"/>
      <c r="J62" s="32"/>
    </row>
    <row r="63" spans="2:10" x14ac:dyDescent="0.2">
      <c r="B63" s="30"/>
      <c r="C63" s="31"/>
      <c r="D63" s="31"/>
      <c r="E63" s="31"/>
      <c r="F63" s="31"/>
      <c r="G63" s="31"/>
      <c r="H63" s="31"/>
      <c r="I63" s="31"/>
      <c r="J63" s="32"/>
    </row>
    <row r="64" spans="2:10" x14ac:dyDescent="0.2">
      <c r="B64" s="30"/>
      <c r="C64" s="31"/>
      <c r="D64" s="31"/>
      <c r="E64" s="31"/>
      <c r="F64" s="31"/>
      <c r="G64" s="31"/>
      <c r="H64" s="31"/>
      <c r="I64" s="31"/>
      <c r="J64" s="32"/>
    </row>
    <row r="65" spans="2:10" x14ac:dyDescent="0.2">
      <c r="B65" s="30"/>
      <c r="C65" s="31"/>
      <c r="D65" s="31"/>
      <c r="E65" s="31"/>
      <c r="F65" s="31"/>
      <c r="G65" s="31"/>
      <c r="H65" s="31"/>
      <c r="I65" s="31"/>
      <c r="J65" s="32"/>
    </row>
    <row r="66" spans="2:10" x14ac:dyDescent="0.2">
      <c r="B66" s="30"/>
      <c r="C66" s="31"/>
      <c r="D66" s="31"/>
      <c r="E66" s="31"/>
      <c r="F66" s="31"/>
      <c r="G66" s="31"/>
      <c r="H66" s="31"/>
      <c r="I66" s="31"/>
      <c r="J66" s="32"/>
    </row>
    <row r="67" spans="2:10" x14ac:dyDescent="0.2">
      <c r="B67" s="30"/>
      <c r="C67" s="31"/>
      <c r="D67" s="31"/>
      <c r="E67" s="31"/>
      <c r="F67" s="31"/>
      <c r="G67" s="31"/>
      <c r="H67" s="31"/>
      <c r="I67" s="31"/>
      <c r="J67" s="32"/>
    </row>
    <row r="68" spans="2:10" x14ac:dyDescent="0.2">
      <c r="B68" s="30"/>
      <c r="C68" s="31"/>
      <c r="D68" s="31"/>
      <c r="E68" s="31"/>
      <c r="F68" s="31"/>
      <c r="G68" s="31"/>
      <c r="H68" s="31"/>
      <c r="I68" s="31"/>
      <c r="J68" s="32"/>
    </row>
    <row r="69" spans="2:10" x14ac:dyDescent="0.2">
      <c r="B69" s="30"/>
      <c r="C69" s="31"/>
      <c r="D69" s="31"/>
      <c r="E69" s="31"/>
      <c r="F69" s="31"/>
      <c r="G69" s="31"/>
      <c r="H69" s="31"/>
      <c r="I69" s="31"/>
      <c r="J69" s="32"/>
    </row>
    <row r="70" spans="2:10" x14ac:dyDescent="0.2">
      <c r="B70" s="30"/>
      <c r="C70" s="31"/>
      <c r="D70" s="31"/>
      <c r="E70" s="31"/>
      <c r="F70" s="31"/>
      <c r="G70" s="31"/>
      <c r="H70" s="31"/>
      <c r="I70" s="31"/>
      <c r="J70" s="32"/>
    </row>
    <row r="71" spans="2:10" x14ac:dyDescent="0.2">
      <c r="B71" s="30"/>
      <c r="C71" s="31"/>
      <c r="D71" s="31"/>
      <c r="E71" s="31"/>
      <c r="F71" s="31"/>
      <c r="G71" s="31"/>
      <c r="H71" s="31"/>
      <c r="I71" s="31"/>
      <c r="J71" s="32"/>
    </row>
    <row r="72" spans="2:10" x14ac:dyDescent="0.2">
      <c r="B72" s="30"/>
      <c r="C72" s="31"/>
      <c r="D72" s="31"/>
      <c r="E72" s="31"/>
      <c r="F72" s="31"/>
      <c r="G72" s="31"/>
      <c r="H72" s="31"/>
      <c r="I72" s="31"/>
      <c r="J72" s="32"/>
    </row>
    <row r="73" spans="2:10" x14ac:dyDescent="0.2">
      <c r="B73" s="30"/>
      <c r="C73" s="31"/>
      <c r="D73" s="31"/>
      <c r="E73" s="31"/>
      <c r="F73" s="31"/>
      <c r="G73" s="31"/>
      <c r="H73" s="31"/>
      <c r="I73" s="31"/>
      <c r="J73" s="32"/>
    </row>
    <row r="74" spans="2:10" x14ac:dyDescent="0.2">
      <c r="B74" s="30"/>
      <c r="C74" s="31"/>
      <c r="D74" s="31"/>
      <c r="E74" s="31"/>
      <c r="F74" s="31"/>
      <c r="G74" s="31"/>
      <c r="H74" s="31"/>
      <c r="I74" s="31"/>
      <c r="J74" s="32"/>
    </row>
    <row r="75" spans="2:10" x14ac:dyDescent="0.2">
      <c r="B75" s="30"/>
      <c r="C75" s="31"/>
      <c r="D75" s="31"/>
      <c r="E75" s="31"/>
      <c r="F75" s="31"/>
      <c r="G75" s="31"/>
      <c r="H75" s="31"/>
      <c r="I75" s="31"/>
      <c r="J75" s="32"/>
    </row>
    <row r="76" spans="2:10" x14ac:dyDescent="0.2">
      <c r="B76" s="30"/>
      <c r="C76" s="31"/>
      <c r="D76" s="31"/>
      <c r="E76" s="31"/>
      <c r="F76" s="31"/>
      <c r="G76" s="31"/>
      <c r="H76" s="31"/>
      <c r="I76" s="31"/>
      <c r="J76" s="32"/>
    </row>
    <row r="77" spans="2:10" x14ac:dyDescent="0.2">
      <c r="B77" s="30"/>
      <c r="C77" s="31"/>
      <c r="D77" s="31"/>
      <c r="E77" s="31"/>
      <c r="F77" s="31"/>
      <c r="G77" s="31"/>
      <c r="H77" s="31"/>
      <c r="I77" s="31"/>
      <c r="J77" s="32"/>
    </row>
    <row r="78" spans="2:10" x14ac:dyDescent="0.2">
      <c r="B78" s="30"/>
      <c r="C78" s="31"/>
      <c r="D78" s="31"/>
      <c r="E78" s="31"/>
      <c r="F78" s="31"/>
      <c r="G78" s="31"/>
      <c r="H78" s="31"/>
      <c r="I78" s="31"/>
      <c r="J78" s="32"/>
    </row>
    <row r="79" spans="2:10" x14ac:dyDescent="0.2">
      <c r="B79" s="30"/>
      <c r="C79" s="31"/>
      <c r="D79" s="31"/>
      <c r="E79" s="31"/>
      <c r="F79" s="31"/>
      <c r="G79" s="31"/>
      <c r="H79" s="31"/>
      <c r="I79" s="31"/>
      <c r="J79" s="32"/>
    </row>
    <row r="80" spans="2:10" x14ac:dyDescent="0.2">
      <c r="B80" s="30"/>
      <c r="C80" s="31"/>
      <c r="D80" s="31"/>
      <c r="E80" s="31"/>
      <c r="F80" s="31"/>
      <c r="G80" s="31"/>
      <c r="H80" s="31"/>
      <c r="I80" s="31"/>
      <c r="J80" s="32"/>
    </row>
    <row r="81" spans="2:10" x14ac:dyDescent="0.2">
      <c r="B81" s="30"/>
      <c r="C81" s="31"/>
      <c r="D81" s="31"/>
      <c r="E81" s="31"/>
      <c r="F81" s="31"/>
      <c r="G81" s="31"/>
      <c r="H81" s="31"/>
      <c r="I81" s="31"/>
      <c r="J81" s="32"/>
    </row>
    <row r="82" spans="2:10" x14ac:dyDescent="0.2">
      <c r="B82" s="30"/>
      <c r="C82" s="31"/>
      <c r="D82" s="31"/>
      <c r="E82" s="31"/>
      <c r="F82" s="31"/>
      <c r="G82" s="31"/>
      <c r="H82" s="31"/>
      <c r="I82" s="31"/>
      <c r="J82" s="32"/>
    </row>
    <row r="83" spans="2:10" x14ac:dyDescent="0.2">
      <c r="B83" s="30"/>
      <c r="C83" s="31"/>
      <c r="D83" s="31"/>
      <c r="E83" s="31"/>
      <c r="F83" s="31"/>
      <c r="G83" s="31"/>
      <c r="H83" s="31"/>
      <c r="I83" s="31"/>
      <c r="J83" s="32"/>
    </row>
    <row r="84" spans="2:10" x14ac:dyDescent="0.2">
      <c r="B84" s="30"/>
      <c r="C84" s="31"/>
      <c r="D84" s="31"/>
      <c r="E84" s="31"/>
      <c r="F84" s="31"/>
      <c r="G84" s="31"/>
      <c r="H84" s="31"/>
      <c r="I84" s="31"/>
      <c r="J84" s="32"/>
    </row>
    <row r="85" spans="2:10" x14ac:dyDescent="0.2">
      <c r="B85" s="30"/>
      <c r="C85" s="31"/>
      <c r="D85" s="31"/>
      <c r="E85" s="31"/>
      <c r="F85" s="31"/>
      <c r="G85" s="31"/>
      <c r="H85" s="31"/>
      <c r="I85" s="31"/>
      <c r="J85" s="32"/>
    </row>
    <row r="86" spans="2:10" x14ac:dyDescent="0.2">
      <c r="B86" s="30"/>
      <c r="C86" s="31"/>
      <c r="D86" s="31"/>
      <c r="E86" s="31"/>
      <c r="F86" s="31"/>
      <c r="G86" s="31"/>
      <c r="H86" s="31"/>
      <c r="I86" s="31"/>
      <c r="J86" s="32"/>
    </row>
    <row r="87" spans="2:10" x14ac:dyDescent="0.2">
      <c r="B87" s="30"/>
      <c r="C87" s="31"/>
      <c r="D87" s="31"/>
      <c r="E87" s="31"/>
      <c r="F87" s="31"/>
      <c r="G87" s="31"/>
      <c r="H87" s="31"/>
      <c r="I87" s="31"/>
      <c r="J87" s="32"/>
    </row>
    <row r="88" spans="2:10" x14ac:dyDescent="0.2">
      <c r="B88" s="30"/>
      <c r="C88" s="31"/>
      <c r="D88" s="31"/>
      <c r="E88" s="31"/>
      <c r="F88" s="31"/>
      <c r="G88" s="31"/>
      <c r="H88" s="31"/>
      <c r="I88" s="31"/>
      <c r="J88" s="32"/>
    </row>
    <row r="89" spans="2:10" x14ac:dyDescent="0.2">
      <c r="B89" s="30"/>
      <c r="C89" s="31"/>
      <c r="D89" s="31"/>
      <c r="E89" s="31"/>
      <c r="F89" s="31"/>
      <c r="G89" s="31"/>
      <c r="H89" s="31"/>
      <c r="I89" s="31"/>
      <c r="J89" s="32"/>
    </row>
    <row r="90" spans="2:10" x14ac:dyDescent="0.2">
      <c r="B90" s="30"/>
      <c r="C90" s="31"/>
      <c r="D90" s="31"/>
      <c r="E90" s="31"/>
      <c r="F90" s="31"/>
      <c r="G90" s="31"/>
      <c r="H90" s="31"/>
      <c r="I90" s="31"/>
      <c r="J90" s="32"/>
    </row>
    <row r="91" spans="2:10" x14ac:dyDescent="0.2">
      <c r="B91" s="30"/>
      <c r="C91" s="31"/>
      <c r="D91" s="31"/>
      <c r="E91" s="31"/>
      <c r="F91" s="31"/>
      <c r="G91" s="31"/>
      <c r="H91" s="31"/>
      <c r="I91" s="31"/>
      <c r="J91" s="32"/>
    </row>
    <row r="92" spans="2:10" x14ac:dyDescent="0.2">
      <c r="B92" s="30"/>
      <c r="C92" s="31"/>
      <c r="D92" s="31"/>
      <c r="E92" s="31"/>
      <c r="F92" s="31"/>
      <c r="G92" s="31"/>
      <c r="H92" s="31"/>
      <c r="I92" s="31"/>
      <c r="J92" s="32"/>
    </row>
    <row r="93" spans="2:10" x14ac:dyDescent="0.2">
      <c r="B93" s="30"/>
      <c r="C93" s="31"/>
      <c r="D93" s="31"/>
      <c r="E93" s="31"/>
      <c r="F93" s="31"/>
      <c r="G93" s="31"/>
      <c r="H93" s="31"/>
      <c r="I93" s="31"/>
      <c r="J93" s="32"/>
    </row>
    <row r="94" spans="2:10" x14ac:dyDescent="0.2">
      <c r="B94" s="30"/>
      <c r="C94" s="31"/>
      <c r="D94" s="31"/>
      <c r="E94" s="31"/>
      <c r="F94" s="31"/>
      <c r="G94" s="31"/>
      <c r="H94" s="31"/>
      <c r="I94" s="31"/>
      <c r="J94" s="32"/>
    </row>
    <row r="95" spans="2:10" x14ac:dyDescent="0.2">
      <c r="B95" s="30"/>
      <c r="C95" s="31"/>
      <c r="D95" s="31"/>
      <c r="E95" s="31"/>
      <c r="F95" s="31"/>
      <c r="G95" s="31"/>
      <c r="H95" s="31"/>
      <c r="I95" s="31"/>
      <c r="J95" s="32"/>
    </row>
    <row r="96" spans="2:10" x14ac:dyDescent="0.2">
      <c r="B96" s="30"/>
      <c r="C96" s="31"/>
      <c r="D96" s="31"/>
      <c r="E96" s="31"/>
      <c r="F96" s="31"/>
      <c r="G96" s="31"/>
      <c r="H96" s="31"/>
      <c r="I96" s="31"/>
      <c r="J96" s="32"/>
    </row>
    <row r="97" spans="2:10" x14ac:dyDescent="0.2">
      <c r="B97" s="30"/>
      <c r="C97" s="31"/>
      <c r="D97" s="31"/>
      <c r="E97" s="31"/>
      <c r="F97" s="31"/>
      <c r="G97" s="31"/>
      <c r="H97" s="31"/>
      <c r="I97" s="31"/>
      <c r="J97" s="32"/>
    </row>
    <row r="98" spans="2:10" x14ac:dyDescent="0.2">
      <c r="B98" s="30"/>
      <c r="C98" s="31"/>
      <c r="D98" s="31"/>
      <c r="E98" s="31"/>
      <c r="F98" s="31"/>
      <c r="G98" s="31"/>
      <c r="H98" s="31"/>
      <c r="I98" s="31"/>
      <c r="J98" s="32"/>
    </row>
    <row r="99" spans="2:10" x14ac:dyDescent="0.2">
      <c r="B99" s="30"/>
      <c r="C99" s="31"/>
      <c r="D99" s="31"/>
      <c r="E99" s="31"/>
      <c r="F99" s="31"/>
      <c r="G99" s="31"/>
      <c r="H99" s="31"/>
      <c r="I99" s="31"/>
      <c r="J99" s="32"/>
    </row>
    <row r="100" spans="2:10" x14ac:dyDescent="0.2">
      <c r="B100" s="30"/>
      <c r="C100" s="31"/>
      <c r="D100" s="31"/>
      <c r="E100" s="31"/>
      <c r="F100" s="31"/>
      <c r="G100" s="31"/>
      <c r="H100" s="31"/>
      <c r="I100" s="31"/>
      <c r="J100" s="32"/>
    </row>
    <row r="101" spans="2:10" x14ac:dyDescent="0.2">
      <c r="B101" s="30"/>
      <c r="C101" s="31"/>
      <c r="D101" s="31"/>
      <c r="E101" s="31"/>
      <c r="F101" s="31"/>
      <c r="G101" s="31"/>
      <c r="H101" s="31"/>
      <c r="I101" s="31"/>
      <c r="J101" s="32"/>
    </row>
    <row r="102" spans="2:10" x14ac:dyDescent="0.2">
      <c r="B102" s="30"/>
      <c r="C102" s="31"/>
      <c r="D102" s="31"/>
      <c r="E102" s="31"/>
      <c r="F102" s="31"/>
      <c r="G102" s="31"/>
      <c r="H102" s="31"/>
      <c r="I102" s="31"/>
      <c r="J102" s="32"/>
    </row>
    <row r="103" spans="2:10" x14ac:dyDescent="0.2">
      <c r="B103" s="30"/>
      <c r="C103" s="31"/>
      <c r="D103" s="31"/>
      <c r="E103" s="31"/>
      <c r="F103" s="31"/>
      <c r="G103" s="31"/>
      <c r="H103" s="31"/>
      <c r="I103" s="31"/>
      <c r="J103" s="32"/>
    </row>
    <row r="104" spans="2:10" x14ac:dyDescent="0.2">
      <c r="B104" s="30"/>
      <c r="C104" s="31"/>
      <c r="D104" s="31"/>
      <c r="E104" s="31"/>
      <c r="F104" s="31"/>
      <c r="G104" s="31"/>
      <c r="H104" s="31"/>
      <c r="I104" s="31"/>
      <c r="J104" s="32"/>
    </row>
    <row r="105" spans="2:10" x14ac:dyDescent="0.2">
      <c r="B105" s="30"/>
      <c r="C105" s="31"/>
      <c r="D105" s="31"/>
      <c r="E105" s="31"/>
      <c r="F105" s="31"/>
      <c r="G105" s="31"/>
      <c r="H105" s="31"/>
      <c r="I105" s="31"/>
      <c r="J105" s="32"/>
    </row>
    <row r="106" spans="2:10" x14ac:dyDescent="0.2">
      <c r="B106" s="30"/>
      <c r="C106" s="31"/>
      <c r="D106" s="31"/>
      <c r="E106" s="31"/>
      <c r="F106" s="31"/>
      <c r="G106" s="31"/>
      <c r="H106" s="31"/>
      <c r="I106" s="31"/>
      <c r="J106" s="32"/>
    </row>
    <row r="107" spans="2:10" x14ac:dyDescent="0.2">
      <c r="B107" s="30"/>
      <c r="C107" s="31"/>
      <c r="D107" s="31"/>
      <c r="E107" s="31"/>
      <c r="F107" s="31"/>
      <c r="G107" s="31"/>
      <c r="H107" s="31"/>
      <c r="I107" s="31"/>
      <c r="J107" s="32"/>
    </row>
    <row r="108" spans="2:10" x14ac:dyDescent="0.2">
      <c r="B108" s="30"/>
      <c r="C108" s="31"/>
      <c r="D108" s="31"/>
      <c r="E108" s="31"/>
      <c r="F108" s="31"/>
      <c r="G108" s="31"/>
      <c r="H108" s="31"/>
      <c r="I108" s="31"/>
      <c r="J108" s="32"/>
    </row>
    <row r="109" spans="2:10" x14ac:dyDescent="0.2">
      <c r="B109" s="30"/>
      <c r="C109" s="31"/>
      <c r="D109" s="31"/>
      <c r="E109" s="31"/>
      <c r="F109" s="31"/>
      <c r="G109" s="31"/>
      <c r="H109" s="31"/>
      <c r="I109" s="31"/>
      <c r="J109" s="32"/>
    </row>
    <row r="110" spans="2:10" x14ac:dyDescent="0.2">
      <c r="B110" s="30"/>
      <c r="C110" s="31"/>
      <c r="D110" s="31"/>
      <c r="E110" s="31"/>
      <c r="F110" s="31"/>
      <c r="G110" s="31"/>
      <c r="H110" s="31"/>
      <c r="I110" s="31"/>
      <c r="J110" s="32"/>
    </row>
    <row r="111" spans="2:10" x14ac:dyDescent="0.2">
      <c r="B111" s="30"/>
      <c r="C111" s="31"/>
      <c r="D111" s="31"/>
      <c r="E111" s="31"/>
      <c r="F111" s="31"/>
      <c r="G111" s="31"/>
      <c r="H111" s="31"/>
      <c r="I111" s="31"/>
      <c r="J111" s="32"/>
    </row>
    <row r="112" spans="2:10" x14ac:dyDescent="0.2">
      <c r="B112" s="30"/>
      <c r="C112" s="31"/>
      <c r="D112" s="31"/>
      <c r="E112" s="31"/>
      <c r="F112" s="31"/>
      <c r="G112" s="31"/>
      <c r="H112" s="31"/>
      <c r="I112" s="31"/>
      <c r="J112" s="32"/>
    </row>
    <row r="113" spans="2:10" x14ac:dyDescent="0.2">
      <c r="B113" s="30"/>
      <c r="C113" s="31"/>
      <c r="D113" s="31"/>
      <c r="E113" s="31"/>
      <c r="F113" s="31"/>
      <c r="G113" s="31"/>
      <c r="H113" s="31"/>
      <c r="I113" s="31"/>
      <c r="J113" s="32"/>
    </row>
    <row r="114" spans="2:10" x14ac:dyDescent="0.2">
      <c r="B114" s="30"/>
      <c r="C114" s="31"/>
      <c r="D114" s="31"/>
      <c r="E114" s="31"/>
      <c r="F114" s="31"/>
      <c r="G114" s="31"/>
      <c r="H114" s="31"/>
      <c r="I114" s="31"/>
      <c r="J114" s="32"/>
    </row>
    <row r="115" spans="2:10" x14ac:dyDescent="0.2">
      <c r="B115" s="30"/>
      <c r="C115" s="31"/>
      <c r="D115" s="31"/>
      <c r="E115" s="31"/>
      <c r="F115" s="31"/>
      <c r="G115" s="31"/>
      <c r="H115" s="31"/>
      <c r="I115" s="31"/>
      <c r="J115" s="32"/>
    </row>
    <row r="116" spans="2:10" x14ac:dyDescent="0.2">
      <c r="B116" s="30"/>
      <c r="C116" s="31"/>
      <c r="D116" s="31"/>
      <c r="E116" s="31"/>
      <c r="F116" s="31"/>
      <c r="G116" s="31"/>
      <c r="H116" s="31"/>
      <c r="I116" s="31"/>
      <c r="J116" s="32"/>
    </row>
    <row r="117" spans="2:10" x14ac:dyDescent="0.2">
      <c r="B117" s="30"/>
      <c r="C117" s="31"/>
      <c r="D117" s="31"/>
      <c r="E117" s="31"/>
      <c r="F117" s="31"/>
      <c r="G117" s="31"/>
      <c r="H117" s="31"/>
      <c r="I117" s="31"/>
      <c r="J117" s="32"/>
    </row>
    <row r="118" spans="2:10" x14ac:dyDescent="0.2">
      <c r="B118" s="30"/>
      <c r="C118" s="31"/>
      <c r="D118" s="31"/>
      <c r="E118" s="31"/>
      <c r="F118" s="31"/>
      <c r="G118" s="31"/>
      <c r="H118" s="31"/>
      <c r="I118" s="31"/>
      <c r="J118" s="32"/>
    </row>
    <row r="119" spans="2:10" x14ac:dyDescent="0.2">
      <c r="B119" s="30"/>
      <c r="C119" s="31"/>
      <c r="D119" s="31"/>
      <c r="E119" s="31"/>
      <c r="F119" s="31"/>
      <c r="G119" s="31"/>
      <c r="H119" s="31"/>
      <c r="I119" s="31"/>
      <c r="J119" s="32"/>
    </row>
    <row r="120" spans="2:10" x14ac:dyDescent="0.2">
      <c r="B120" s="30"/>
      <c r="C120" s="31"/>
      <c r="D120" s="31"/>
      <c r="E120" s="31"/>
      <c r="F120" s="31"/>
      <c r="G120" s="31"/>
      <c r="H120" s="31"/>
      <c r="I120" s="31"/>
      <c r="J120" s="32"/>
    </row>
    <row r="121" spans="2:10" x14ac:dyDescent="0.2">
      <c r="B121" s="30"/>
      <c r="C121" s="31"/>
      <c r="D121" s="31"/>
      <c r="E121" s="31"/>
      <c r="F121" s="31"/>
      <c r="G121" s="31"/>
      <c r="H121" s="31"/>
      <c r="I121" s="31"/>
      <c r="J121" s="32"/>
    </row>
    <row r="122" spans="2:10" x14ac:dyDescent="0.2">
      <c r="B122" s="30"/>
      <c r="C122" s="31"/>
      <c r="D122" s="31"/>
      <c r="E122" s="31"/>
      <c r="F122" s="31"/>
      <c r="G122" s="31"/>
      <c r="H122" s="31"/>
      <c r="I122" s="31"/>
      <c r="J122" s="32"/>
    </row>
    <row r="123" spans="2:10" x14ac:dyDescent="0.2">
      <c r="B123" s="30"/>
      <c r="C123" s="31"/>
      <c r="D123" s="31"/>
      <c r="E123" s="31"/>
      <c r="F123" s="31"/>
      <c r="G123" s="31"/>
      <c r="H123" s="31"/>
      <c r="I123" s="31"/>
      <c r="J123" s="32"/>
    </row>
    <row r="124" spans="2:10" x14ac:dyDescent="0.2">
      <c r="B124" s="30"/>
      <c r="C124" s="31"/>
      <c r="D124" s="31"/>
      <c r="E124" s="31"/>
      <c r="F124" s="31"/>
      <c r="G124" s="31"/>
      <c r="H124" s="31"/>
      <c r="I124" s="31"/>
      <c r="J124" s="32"/>
    </row>
    <row r="125" spans="2:10" x14ac:dyDescent="0.2">
      <c r="B125" s="30"/>
      <c r="C125" s="31"/>
      <c r="D125" s="31"/>
      <c r="E125" s="31"/>
      <c r="F125" s="31"/>
      <c r="G125" s="31"/>
      <c r="H125" s="31"/>
      <c r="I125" s="31"/>
      <c r="J125" s="32"/>
    </row>
    <row r="126" spans="2:10" x14ac:dyDescent="0.2">
      <c r="B126" s="30"/>
      <c r="C126" s="31"/>
      <c r="D126" s="31"/>
      <c r="E126" s="31"/>
      <c r="F126" s="31"/>
      <c r="G126" s="31"/>
      <c r="H126" s="31"/>
      <c r="I126" s="31"/>
      <c r="J126" s="32"/>
    </row>
    <row r="127" spans="2:10" x14ac:dyDescent="0.2">
      <c r="B127" s="30"/>
      <c r="C127" s="31"/>
      <c r="D127" s="31"/>
      <c r="E127" s="31"/>
      <c r="F127" s="31"/>
      <c r="G127" s="31"/>
      <c r="H127" s="31"/>
      <c r="I127" s="31"/>
      <c r="J127" s="32"/>
    </row>
    <row r="128" spans="2:10" x14ac:dyDescent="0.2">
      <c r="B128" s="30"/>
      <c r="C128" s="31"/>
      <c r="D128" s="31"/>
      <c r="E128" s="31"/>
      <c r="F128" s="31"/>
      <c r="G128" s="31"/>
      <c r="H128" s="31"/>
      <c r="I128" s="31"/>
      <c r="J128" s="32"/>
    </row>
    <row r="129" spans="2:10" x14ac:dyDescent="0.2">
      <c r="B129" s="30"/>
      <c r="C129" s="31"/>
      <c r="D129" s="31"/>
      <c r="E129" s="31"/>
      <c r="F129" s="31"/>
      <c r="G129" s="31"/>
      <c r="H129" s="31"/>
      <c r="I129" s="31"/>
      <c r="J129" s="32"/>
    </row>
    <row r="130" spans="2:10" x14ac:dyDescent="0.2">
      <c r="B130" s="30"/>
      <c r="C130" s="31"/>
      <c r="D130" s="31"/>
      <c r="E130" s="31"/>
      <c r="F130" s="31"/>
      <c r="G130" s="31"/>
      <c r="H130" s="31"/>
      <c r="I130" s="31"/>
      <c r="J130" s="32"/>
    </row>
    <row r="131" spans="2:10" x14ac:dyDescent="0.2">
      <c r="B131" s="30"/>
      <c r="C131" s="31"/>
      <c r="D131" s="31"/>
      <c r="E131" s="31"/>
      <c r="F131" s="31"/>
      <c r="G131" s="31"/>
      <c r="H131" s="31"/>
      <c r="I131" s="31"/>
      <c r="J131" s="32"/>
    </row>
    <row r="132" spans="2:10" x14ac:dyDescent="0.2">
      <c r="B132" s="30"/>
      <c r="C132" s="31"/>
      <c r="D132" s="31"/>
      <c r="E132" s="31"/>
      <c r="F132" s="31"/>
      <c r="G132" s="31"/>
      <c r="H132" s="31"/>
      <c r="I132" s="31"/>
      <c r="J132" s="32"/>
    </row>
    <row r="133" spans="2:10" x14ac:dyDescent="0.2">
      <c r="B133" s="30"/>
      <c r="C133" s="31"/>
      <c r="D133" s="31"/>
      <c r="E133" s="31"/>
      <c r="F133" s="31"/>
      <c r="G133" s="31"/>
      <c r="H133" s="31"/>
      <c r="I133" s="31"/>
      <c r="J133" s="32"/>
    </row>
    <row r="134" spans="2:10" x14ac:dyDescent="0.2">
      <c r="B134" s="30"/>
      <c r="C134" s="31"/>
      <c r="D134" s="31"/>
      <c r="E134" s="31"/>
      <c r="F134" s="31"/>
      <c r="G134" s="31"/>
      <c r="H134" s="31"/>
      <c r="I134" s="31"/>
      <c r="J134" s="32"/>
    </row>
    <row r="135" spans="2:10" x14ac:dyDescent="0.2">
      <c r="B135" s="30"/>
      <c r="C135" s="31"/>
      <c r="D135" s="31"/>
      <c r="E135" s="31"/>
      <c r="F135" s="31"/>
      <c r="G135" s="31"/>
      <c r="H135" s="31"/>
      <c r="I135" s="31"/>
      <c r="J135" s="32"/>
    </row>
    <row r="136" spans="2:10" x14ac:dyDescent="0.2">
      <c r="B136" s="30"/>
      <c r="C136" s="31"/>
      <c r="D136" s="31"/>
      <c r="E136" s="31"/>
      <c r="F136" s="31"/>
      <c r="G136" s="31"/>
      <c r="H136" s="31"/>
      <c r="I136" s="31"/>
      <c r="J136" s="32"/>
    </row>
    <row r="137" spans="2:10" x14ac:dyDescent="0.2">
      <c r="B137" s="30"/>
      <c r="C137" s="31"/>
      <c r="D137" s="31"/>
      <c r="E137" s="31"/>
      <c r="F137" s="31"/>
      <c r="G137" s="31"/>
      <c r="H137" s="31"/>
      <c r="I137" s="31"/>
      <c r="J137" s="32"/>
    </row>
    <row r="138" spans="2:10" x14ac:dyDescent="0.2">
      <c r="B138" s="30"/>
      <c r="C138" s="31"/>
      <c r="D138" s="31"/>
      <c r="E138" s="31"/>
      <c r="F138" s="31"/>
      <c r="G138" s="31"/>
      <c r="H138" s="31"/>
      <c r="I138" s="31"/>
      <c r="J138" s="32"/>
    </row>
    <row r="139" spans="2:10" x14ac:dyDescent="0.2">
      <c r="B139" s="30"/>
      <c r="C139" s="31"/>
      <c r="D139" s="31"/>
      <c r="E139" s="31"/>
      <c r="F139" s="31"/>
      <c r="G139" s="31"/>
      <c r="H139" s="31"/>
      <c r="I139" s="31"/>
      <c r="J139" s="32"/>
    </row>
    <row r="140" spans="2:10" x14ac:dyDescent="0.2">
      <c r="B140" s="30"/>
      <c r="C140" s="31"/>
      <c r="D140" s="31"/>
      <c r="E140" s="31"/>
      <c r="F140" s="31"/>
      <c r="G140" s="31"/>
      <c r="H140" s="31"/>
      <c r="I140" s="31"/>
      <c r="J140" s="32"/>
    </row>
    <row r="141" spans="2:10" x14ac:dyDescent="0.2">
      <c r="B141" s="30"/>
      <c r="C141" s="31"/>
      <c r="D141" s="31"/>
      <c r="E141" s="31"/>
      <c r="F141" s="31"/>
      <c r="G141" s="31"/>
      <c r="H141" s="31"/>
      <c r="I141" s="31"/>
      <c r="J141" s="32"/>
    </row>
    <row r="142" spans="2:10" x14ac:dyDescent="0.2">
      <c r="B142" s="30"/>
      <c r="C142" s="31"/>
      <c r="D142" s="31"/>
      <c r="E142" s="31"/>
      <c r="F142" s="31"/>
      <c r="G142" s="31"/>
      <c r="H142" s="31"/>
      <c r="I142" s="31"/>
      <c r="J142" s="32"/>
    </row>
    <row r="143" spans="2:10" x14ac:dyDescent="0.2">
      <c r="B143" s="30"/>
      <c r="C143" s="31"/>
      <c r="D143" s="31"/>
      <c r="E143" s="31"/>
      <c r="F143" s="31"/>
      <c r="G143" s="31"/>
      <c r="H143" s="31"/>
      <c r="I143" s="31"/>
      <c r="J143" s="32"/>
    </row>
    <row r="144" spans="2:10" x14ac:dyDescent="0.2">
      <c r="B144" s="30"/>
      <c r="C144" s="31"/>
      <c r="D144" s="31"/>
      <c r="E144" s="31"/>
      <c r="F144" s="31"/>
      <c r="G144" s="31"/>
      <c r="H144" s="31"/>
      <c r="I144" s="31"/>
      <c r="J144" s="32"/>
    </row>
    <row r="145" spans="2:10" x14ac:dyDescent="0.2">
      <c r="B145" s="30"/>
      <c r="C145" s="31"/>
      <c r="D145" s="31"/>
      <c r="E145" s="31"/>
      <c r="F145" s="31"/>
      <c r="G145" s="31"/>
      <c r="H145" s="31"/>
      <c r="I145" s="31"/>
      <c r="J145" s="32"/>
    </row>
    <row r="146" spans="2:10" x14ac:dyDescent="0.2">
      <c r="B146" s="30"/>
      <c r="C146" s="31"/>
      <c r="D146" s="31"/>
      <c r="E146" s="31"/>
      <c r="F146" s="31"/>
      <c r="G146" s="31"/>
      <c r="H146" s="31"/>
      <c r="I146" s="31"/>
      <c r="J146" s="32"/>
    </row>
    <row r="147" spans="2:10" x14ac:dyDescent="0.2">
      <c r="B147" s="30"/>
      <c r="C147" s="31"/>
      <c r="D147" s="31"/>
      <c r="E147" s="31"/>
      <c r="F147" s="31"/>
      <c r="G147" s="31"/>
      <c r="H147" s="31"/>
      <c r="I147" s="31"/>
      <c r="J147" s="32"/>
    </row>
    <row r="148" spans="2:10" x14ac:dyDescent="0.2">
      <c r="B148" s="30"/>
      <c r="C148" s="31"/>
      <c r="D148" s="31"/>
      <c r="E148" s="31"/>
      <c r="F148" s="31"/>
      <c r="G148" s="31"/>
      <c r="H148" s="31"/>
      <c r="I148" s="31"/>
      <c r="J148" s="32"/>
    </row>
    <row r="149" spans="2:10" x14ac:dyDescent="0.2">
      <c r="B149" s="30"/>
      <c r="C149" s="31"/>
      <c r="D149" s="31"/>
      <c r="E149" s="31"/>
      <c r="F149" s="31"/>
      <c r="G149" s="31"/>
      <c r="H149" s="31"/>
      <c r="I149" s="31"/>
      <c r="J149" s="32"/>
    </row>
    <row r="150" spans="2:10" x14ac:dyDescent="0.2">
      <c r="B150" s="30"/>
      <c r="C150" s="31"/>
      <c r="D150" s="31"/>
      <c r="E150" s="31"/>
      <c r="F150" s="31"/>
      <c r="G150" s="31"/>
      <c r="H150" s="31"/>
      <c r="I150" s="31"/>
      <c r="J150" s="32"/>
    </row>
    <row r="151" spans="2:10" x14ac:dyDescent="0.2">
      <c r="B151" s="30"/>
      <c r="C151" s="31"/>
      <c r="D151" s="31"/>
      <c r="E151" s="31"/>
      <c r="F151" s="31"/>
      <c r="G151" s="31"/>
      <c r="H151" s="31"/>
      <c r="I151" s="31"/>
      <c r="J151" s="32"/>
    </row>
    <row r="152" spans="2:10" x14ac:dyDescent="0.2">
      <c r="B152" s="30"/>
      <c r="C152" s="31"/>
      <c r="D152" s="31"/>
      <c r="E152" s="31"/>
      <c r="F152" s="31"/>
      <c r="G152" s="31"/>
      <c r="H152" s="31"/>
      <c r="I152" s="31"/>
      <c r="J152" s="32"/>
    </row>
    <row r="153" spans="2:10" x14ac:dyDescent="0.2">
      <c r="B153" s="30"/>
      <c r="C153" s="31"/>
      <c r="D153" s="31"/>
      <c r="E153" s="31"/>
      <c r="F153" s="31"/>
      <c r="G153" s="31"/>
      <c r="H153" s="31"/>
      <c r="I153" s="31"/>
      <c r="J153" s="32"/>
    </row>
    <row r="154" spans="2:10" x14ac:dyDescent="0.2">
      <c r="B154" s="30"/>
      <c r="C154" s="31"/>
      <c r="D154" s="31"/>
      <c r="E154" s="31"/>
      <c r="F154" s="31"/>
      <c r="G154" s="31"/>
      <c r="H154" s="31"/>
      <c r="I154" s="31"/>
      <c r="J154" s="32"/>
    </row>
    <row r="155" spans="2:10" x14ac:dyDescent="0.2">
      <c r="B155" s="30"/>
      <c r="C155" s="31"/>
      <c r="D155" s="31"/>
      <c r="E155" s="31"/>
      <c r="F155" s="31"/>
      <c r="G155" s="31"/>
      <c r="H155" s="31"/>
      <c r="I155" s="31"/>
      <c r="J155" s="32"/>
    </row>
    <row r="156" spans="2:10" x14ac:dyDescent="0.2">
      <c r="B156" s="30"/>
      <c r="C156" s="31"/>
      <c r="D156" s="31"/>
      <c r="E156" s="31"/>
      <c r="F156" s="31"/>
      <c r="G156" s="31"/>
      <c r="H156" s="31"/>
      <c r="I156" s="31"/>
      <c r="J156" s="32"/>
    </row>
    <row r="157" spans="2:10" x14ac:dyDescent="0.2">
      <c r="B157" s="30"/>
      <c r="C157" s="31"/>
      <c r="D157" s="31"/>
      <c r="E157" s="31"/>
      <c r="F157" s="31"/>
      <c r="G157" s="31"/>
      <c r="H157" s="31"/>
      <c r="I157" s="31"/>
      <c r="J157" s="32"/>
    </row>
    <row r="158" spans="2:10" x14ac:dyDescent="0.2">
      <c r="B158" s="30"/>
      <c r="C158" s="31"/>
      <c r="D158" s="31"/>
      <c r="E158" s="31"/>
      <c r="F158" s="31"/>
      <c r="G158" s="31"/>
      <c r="H158" s="31"/>
      <c r="I158" s="31"/>
      <c r="J158" s="32"/>
    </row>
    <row r="159" spans="2:10" x14ac:dyDescent="0.2">
      <c r="B159" s="30"/>
      <c r="C159" s="31"/>
      <c r="D159" s="31"/>
      <c r="E159" s="31"/>
      <c r="F159" s="31"/>
      <c r="G159" s="31"/>
      <c r="H159" s="31"/>
      <c r="I159" s="31"/>
      <c r="J159" s="32"/>
    </row>
    <row r="160" spans="2:10" x14ac:dyDescent="0.2">
      <c r="B160" s="30"/>
      <c r="C160" s="31"/>
      <c r="D160" s="31"/>
      <c r="E160" s="31"/>
      <c r="F160" s="31"/>
      <c r="G160" s="31"/>
      <c r="H160" s="31"/>
      <c r="I160" s="31"/>
      <c r="J160" s="32"/>
    </row>
    <row r="161" spans="2:10" x14ac:dyDescent="0.2">
      <c r="B161" s="30"/>
      <c r="C161" s="31"/>
      <c r="D161" s="31"/>
      <c r="E161" s="31"/>
      <c r="F161" s="31"/>
      <c r="G161" s="31"/>
      <c r="H161" s="31"/>
      <c r="I161" s="31"/>
      <c r="J161" s="32"/>
    </row>
    <row r="162" spans="2:10" x14ac:dyDescent="0.2">
      <c r="B162" s="30"/>
      <c r="C162" s="31"/>
      <c r="D162" s="31"/>
      <c r="E162" s="31"/>
      <c r="F162" s="31"/>
      <c r="G162" s="31"/>
      <c r="H162" s="31"/>
      <c r="I162" s="31"/>
      <c r="J162" s="32"/>
    </row>
    <row r="163" spans="2:10" x14ac:dyDescent="0.2">
      <c r="B163" s="30"/>
      <c r="C163" s="31"/>
      <c r="D163" s="31"/>
      <c r="E163" s="31"/>
      <c r="F163" s="31"/>
      <c r="G163" s="31"/>
      <c r="H163" s="31"/>
      <c r="I163" s="31"/>
      <c r="J163" s="32"/>
    </row>
    <row r="164" spans="2:10" x14ac:dyDescent="0.2">
      <c r="B164" s="30"/>
      <c r="C164" s="31"/>
      <c r="D164" s="31"/>
      <c r="E164" s="31"/>
      <c r="F164" s="31"/>
      <c r="G164" s="31"/>
      <c r="H164" s="31"/>
      <c r="I164" s="31"/>
      <c r="J164" s="32"/>
    </row>
    <row r="165" spans="2:10" x14ac:dyDescent="0.2">
      <c r="B165" s="30"/>
      <c r="C165" s="31"/>
      <c r="D165" s="31"/>
      <c r="E165" s="31"/>
      <c r="F165" s="31"/>
      <c r="G165" s="31"/>
      <c r="H165" s="31"/>
      <c r="I165" s="31"/>
      <c r="J165" s="32"/>
    </row>
    <row r="166" spans="2:10" x14ac:dyDescent="0.2">
      <c r="B166" s="30"/>
      <c r="C166" s="31"/>
      <c r="D166" s="31"/>
      <c r="E166" s="31"/>
      <c r="F166" s="31"/>
      <c r="G166" s="31"/>
      <c r="H166" s="31"/>
      <c r="I166" s="31"/>
      <c r="J166" s="32"/>
    </row>
    <row r="167" spans="2:10" x14ac:dyDescent="0.2">
      <c r="B167" s="30"/>
      <c r="C167" s="31"/>
      <c r="D167" s="31"/>
      <c r="E167" s="31"/>
      <c r="F167" s="31"/>
      <c r="G167" s="31"/>
      <c r="H167" s="31"/>
      <c r="I167" s="31"/>
      <c r="J167" s="32"/>
    </row>
    <row r="168" spans="2:10" x14ac:dyDescent="0.2">
      <c r="B168" s="30"/>
      <c r="C168" s="31"/>
      <c r="D168" s="31"/>
      <c r="E168" s="31"/>
      <c r="F168" s="31"/>
      <c r="G168" s="31"/>
      <c r="H168" s="31"/>
      <c r="I168" s="31"/>
      <c r="J168" s="32"/>
    </row>
    <row r="169" spans="2:10" x14ac:dyDescent="0.2">
      <c r="B169" s="30"/>
      <c r="C169" s="31"/>
      <c r="D169" s="31"/>
      <c r="E169" s="31"/>
      <c r="F169" s="31"/>
      <c r="G169" s="31"/>
      <c r="H169" s="31"/>
      <c r="I169" s="31"/>
      <c r="J169" s="32"/>
    </row>
    <row r="170" spans="2:10" x14ac:dyDescent="0.2">
      <c r="B170" s="30"/>
      <c r="C170" s="31"/>
      <c r="D170" s="31"/>
      <c r="E170" s="31"/>
      <c r="F170" s="31"/>
      <c r="G170" s="31"/>
      <c r="H170" s="31"/>
      <c r="I170" s="31"/>
      <c r="J170" s="32"/>
    </row>
    <row r="171" spans="2:10" x14ac:dyDescent="0.2">
      <c r="B171" s="30"/>
      <c r="C171" s="31"/>
      <c r="D171" s="31"/>
      <c r="E171" s="31"/>
      <c r="F171" s="31"/>
      <c r="G171" s="31"/>
      <c r="H171" s="31"/>
      <c r="I171" s="31"/>
      <c r="J171" s="32"/>
    </row>
    <row r="172" spans="2:10" x14ac:dyDescent="0.2">
      <c r="B172" s="30"/>
      <c r="C172" s="31"/>
      <c r="D172" s="31"/>
      <c r="E172" s="31"/>
      <c r="F172" s="31"/>
      <c r="G172" s="31"/>
      <c r="H172" s="31"/>
      <c r="I172" s="31"/>
      <c r="J172" s="32"/>
    </row>
    <row r="173" spans="2:10" x14ac:dyDescent="0.2">
      <c r="B173" s="30"/>
      <c r="C173" s="31"/>
      <c r="D173" s="31"/>
      <c r="E173" s="31"/>
      <c r="F173" s="31"/>
      <c r="G173" s="31"/>
      <c r="H173" s="31"/>
      <c r="I173" s="31"/>
      <c r="J173" s="32"/>
    </row>
    <row r="174" spans="2:10" x14ac:dyDescent="0.2">
      <c r="B174" s="30"/>
      <c r="C174" s="31"/>
      <c r="D174" s="31"/>
      <c r="E174" s="31"/>
      <c r="F174" s="31"/>
      <c r="G174" s="31"/>
      <c r="H174" s="31"/>
      <c r="I174" s="31"/>
      <c r="J174" s="32"/>
    </row>
    <row r="175" spans="2:10" x14ac:dyDescent="0.2">
      <c r="B175" s="30"/>
      <c r="C175" s="31"/>
      <c r="D175" s="31"/>
      <c r="E175" s="31"/>
      <c r="F175" s="31"/>
      <c r="G175" s="31"/>
      <c r="H175" s="31"/>
      <c r="I175" s="31"/>
      <c r="J175" s="32"/>
    </row>
    <row r="176" spans="2:10" x14ac:dyDescent="0.2">
      <c r="B176" s="30"/>
      <c r="C176" s="31"/>
      <c r="D176" s="31"/>
      <c r="E176" s="31"/>
      <c r="F176" s="31"/>
      <c r="G176" s="31"/>
      <c r="H176" s="31"/>
      <c r="I176" s="31"/>
      <c r="J176" s="32"/>
    </row>
    <row r="177" spans="2:10" x14ac:dyDescent="0.2">
      <c r="B177" s="30"/>
      <c r="C177" s="31"/>
      <c r="D177" s="31"/>
      <c r="E177" s="31"/>
      <c r="F177" s="31"/>
      <c r="G177" s="31"/>
      <c r="H177" s="31"/>
      <c r="I177" s="31"/>
      <c r="J177" s="32"/>
    </row>
    <row r="178" spans="2:10" x14ac:dyDescent="0.2">
      <c r="B178" s="30"/>
      <c r="C178" s="31"/>
      <c r="D178" s="31"/>
      <c r="E178" s="31"/>
      <c r="F178" s="31"/>
      <c r="G178" s="31"/>
      <c r="H178" s="31"/>
      <c r="I178" s="31"/>
      <c r="J178" s="32"/>
    </row>
    <row r="179" spans="2:10" x14ac:dyDescent="0.2">
      <c r="B179" s="30"/>
      <c r="C179" s="31"/>
      <c r="D179" s="31"/>
      <c r="E179" s="31"/>
      <c r="F179" s="31"/>
      <c r="G179" s="31"/>
      <c r="H179" s="31"/>
      <c r="I179" s="31"/>
      <c r="J179" s="32"/>
    </row>
    <row r="180" spans="2:10" x14ac:dyDescent="0.2">
      <c r="B180" s="30"/>
      <c r="C180" s="31"/>
      <c r="D180" s="31"/>
      <c r="E180" s="31"/>
      <c r="F180" s="31"/>
      <c r="G180" s="31"/>
      <c r="H180" s="31"/>
      <c r="I180" s="31"/>
      <c r="J180" s="32"/>
    </row>
    <row r="181" spans="2:10" x14ac:dyDescent="0.2">
      <c r="B181" s="30"/>
      <c r="C181" s="31"/>
      <c r="D181" s="31"/>
      <c r="E181" s="31"/>
      <c r="F181" s="31"/>
      <c r="G181" s="31"/>
      <c r="H181" s="31"/>
      <c r="I181" s="31"/>
      <c r="J181" s="32"/>
    </row>
    <row r="182" spans="2:10" x14ac:dyDescent="0.2">
      <c r="B182" s="30"/>
      <c r="C182" s="31"/>
      <c r="D182" s="31"/>
      <c r="E182" s="31"/>
      <c r="F182" s="31"/>
      <c r="G182" s="31"/>
      <c r="H182" s="31"/>
      <c r="I182" s="31"/>
      <c r="J182" s="32"/>
    </row>
    <row r="183" spans="2:10" x14ac:dyDescent="0.2">
      <c r="B183" s="30"/>
      <c r="C183" s="31"/>
      <c r="D183" s="31"/>
      <c r="E183" s="31"/>
      <c r="F183" s="31"/>
      <c r="G183" s="31"/>
      <c r="H183" s="31"/>
      <c r="I183" s="31"/>
      <c r="J183" s="32"/>
    </row>
    <row r="184" spans="2:10" x14ac:dyDescent="0.2">
      <c r="B184" s="30"/>
      <c r="C184" s="31"/>
      <c r="D184" s="31"/>
      <c r="E184" s="31"/>
      <c r="F184" s="31"/>
      <c r="G184" s="31"/>
      <c r="H184" s="31"/>
      <c r="I184" s="31"/>
      <c r="J184" s="32"/>
    </row>
    <row r="185" spans="2:10" x14ac:dyDescent="0.2">
      <c r="B185" s="30"/>
      <c r="C185" s="31"/>
      <c r="D185" s="31"/>
      <c r="E185" s="31"/>
      <c r="F185" s="31"/>
      <c r="G185" s="31"/>
      <c r="H185" s="31"/>
      <c r="I185" s="31"/>
      <c r="J185" s="32"/>
    </row>
    <row r="186" spans="2:10" x14ac:dyDescent="0.2">
      <c r="B186" s="38"/>
      <c r="C186" s="36"/>
      <c r="D186" s="36"/>
      <c r="E186" s="36"/>
      <c r="F186" s="36"/>
      <c r="G186" s="36"/>
      <c r="H186" s="36"/>
      <c r="I186" s="36"/>
      <c r="J186" s="39"/>
    </row>
  </sheetData>
  <sheetProtection password="E10F" sheet="1"/>
  <phoneticPr fontId="0" type="noConversion"/>
  <conditionalFormatting sqref="D23">
    <cfRule type="cellIs" dxfId="82" priority="117" stopIfTrue="1" operator="lessThan">
      <formula>1</formula>
    </cfRule>
    <cfRule type="cellIs" dxfId="81" priority="118" stopIfTrue="1" operator="greaterThanOrEqual">
      <formula>1</formula>
    </cfRule>
  </conditionalFormatting>
  <conditionalFormatting sqref="D24">
    <cfRule type="cellIs" dxfId="80" priority="115" stopIfTrue="1" operator="lessThan">
      <formula>1</formula>
    </cfRule>
    <cfRule type="cellIs" dxfId="79" priority="116" stopIfTrue="1" operator="greaterThanOrEqual">
      <formula>1</formula>
    </cfRule>
  </conditionalFormatting>
  <conditionalFormatting sqref="D25">
    <cfRule type="cellIs" dxfId="78" priority="110" stopIfTrue="1" operator="equal">
      <formula>"N/A"</formula>
    </cfRule>
    <cfRule type="cellIs" dxfId="77" priority="111" stopIfTrue="1" operator="equal">
      <formula>"FAIL"</formula>
    </cfRule>
    <cfRule type="cellIs" dxfId="76" priority="112" stopIfTrue="1" operator="equal">
      <formula>"PASS"</formula>
    </cfRule>
  </conditionalFormatting>
  <conditionalFormatting sqref="D22">
    <cfRule type="cellIs" dxfId="75" priority="75" stopIfTrue="1" operator="lessThan">
      <formula>1</formula>
    </cfRule>
    <cfRule type="cellIs" dxfId="74" priority="76" stopIfTrue="1" operator="greaterThanOrEqual">
      <formula>1</formula>
    </cfRule>
  </conditionalFormatting>
  <conditionalFormatting sqref="F25">
    <cfRule type="cellIs" dxfId="73" priority="28" stopIfTrue="1" operator="equal">
      <formula>"N/A"</formula>
    </cfRule>
    <cfRule type="cellIs" dxfId="72" priority="29" stopIfTrue="1" operator="equal">
      <formula>"FAIL"</formula>
    </cfRule>
    <cfRule type="cellIs" dxfId="71" priority="30" stopIfTrue="1" operator="equal">
      <formula>"PASS"</formula>
    </cfRule>
  </conditionalFormatting>
  <conditionalFormatting sqref="H25">
    <cfRule type="cellIs" dxfId="70" priority="25" stopIfTrue="1" operator="equal">
      <formula>"N/A"</formula>
    </cfRule>
    <cfRule type="cellIs" dxfId="69" priority="26" stopIfTrue="1" operator="equal">
      <formula>"FAIL"</formula>
    </cfRule>
    <cfRule type="cellIs" dxfId="68" priority="27" stopIfTrue="1" operator="equal">
      <formula>"PASS"</formula>
    </cfRule>
  </conditionalFormatting>
  <conditionalFormatting sqref="J25">
    <cfRule type="cellIs" dxfId="67" priority="19" stopIfTrue="1" operator="equal">
      <formula>"N/A"</formula>
    </cfRule>
    <cfRule type="cellIs" dxfId="66" priority="20" stopIfTrue="1" operator="equal">
      <formula>"FAIL"</formula>
    </cfRule>
    <cfRule type="cellIs" dxfId="65" priority="21" stopIfTrue="1" operator="equal">
      <formula>"PASS"</formula>
    </cfRule>
  </conditionalFormatting>
  <conditionalFormatting sqref="F22">
    <cfRule type="cellIs" dxfId="64" priority="17" stopIfTrue="1" operator="lessThan">
      <formula>1</formula>
    </cfRule>
    <cfRule type="cellIs" dxfId="63" priority="18" stopIfTrue="1" operator="greaterThanOrEqual">
      <formula>1</formula>
    </cfRule>
  </conditionalFormatting>
  <conditionalFormatting sqref="H22">
    <cfRule type="cellIs" dxfId="62" priority="15" stopIfTrue="1" operator="lessThan">
      <formula>1</formula>
    </cfRule>
    <cfRule type="cellIs" dxfId="61" priority="16" stopIfTrue="1" operator="greaterThanOrEqual">
      <formula>1</formula>
    </cfRule>
  </conditionalFormatting>
  <conditionalFormatting sqref="J22">
    <cfRule type="cellIs" dxfId="60" priority="13" stopIfTrue="1" operator="lessThan">
      <formula>1</formula>
    </cfRule>
    <cfRule type="cellIs" dxfId="59" priority="14" stopIfTrue="1" operator="greaterThanOrEqual">
      <formula>1</formula>
    </cfRule>
  </conditionalFormatting>
  <conditionalFormatting sqref="F24">
    <cfRule type="cellIs" dxfId="58" priority="11" stopIfTrue="1" operator="lessThan">
      <formula>1</formula>
    </cfRule>
    <cfRule type="cellIs" dxfId="57" priority="12" stopIfTrue="1" operator="greaterThanOrEqual">
      <formula>1</formula>
    </cfRule>
  </conditionalFormatting>
  <conditionalFormatting sqref="H24">
    <cfRule type="cellIs" dxfId="56" priority="9" stopIfTrue="1" operator="lessThan">
      <formula>1</formula>
    </cfRule>
    <cfRule type="cellIs" dxfId="55" priority="10" stopIfTrue="1" operator="greaterThanOrEqual">
      <formula>1</formula>
    </cfRule>
  </conditionalFormatting>
  <conditionalFormatting sqref="J24">
    <cfRule type="cellIs" dxfId="54" priority="7" stopIfTrue="1" operator="lessThan">
      <formula>1</formula>
    </cfRule>
    <cfRule type="cellIs" dxfId="53" priority="8" stopIfTrue="1" operator="greaterThanOrEqual">
      <formula>1</formula>
    </cfRule>
  </conditionalFormatting>
  <conditionalFormatting sqref="F23">
    <cfRule type="cellIs" dxfId="52" priority="5" stopIfTrue="1" operator="lessThan">
      <formula>1</formula>
    </cfRule>
    <cfRule type="cellIs" dxfId="51" priority="6" stopIfTrue="1" operator="greaterThanOrEqual">
      <formula>1</formula>
    </cfRule>
  </conditionalFormatting>
  <conditionalFormatting sqref="H23">
    <cfRule type="cellIs" dxfId="50" priority="3" stopIfTrue="1" operator="lessThan">
      <formula>1</formula>
    </cfRule>
    <cfRule type="cellIs" dxfId="49" priority="4" stopIfTrue="1" operator="greaterThanOrEqual">
      <formula>1</formula>
    </cfRule>
  </conditionalFormatting>
  <conditionalFormatting sqref="J23">
    <cfRule type="cellIs" dxfId="48" priority="1" stopIfTrue="1" operator="lessThan">
      <formula>1</formula>
    </cfRule>
    <cfRule type="cellIs" dxfId="47" priority="2" stopIfTrue="1" operator="greaterThanOrEqual">
      <formula>1</formula>
    </cfRule>
  </conditionalFormatting>
  <dataValidations count="2">
    <dataValidation allowBlank="1" showInputMessage="1" showErrorMessage="1" promptTitle="Select Material" sqref="D4 F4 H4 J4" xr:uid="{00000000-0002-0000-1F00-000000000000}"/>
    <dataValidation type="list" allowBlank="1" showInputMessage="1" showErrorMessage="1" promptTitle="Select Material" sqref="C4 E4 G4 I4" xr:uid="{00000000-0002-0000-1F00-000001000000}">
      <formula1>Materials</formula1>
    </dataValidation>
  </dataValidations>
  <hyperlinks>
    <hyperlink ref="L2" location="'Cover Sheet'!A1" display="BACK to COVER SHEET" xr:uid="{00000000-0004-0000-1F00-000000000000}"/>
    <hyperlink ref="L2:N2" location="'Cover Sheet'!A1" display="BACK to COVER SHEET" xr:uid="{00000000-0004-0000-1F00-000001000000}"/>
  </hyperlinks>
  <pageMargins left="0.75" right="0.75" top="1" bottom="1" header="0.5" footer="0.5"/>
  <pageSetup paperSize="9" scale="49" fitToHeight="2"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9"/>
  <dimension ref="B1:V20093"/>
  <sheetViews>
    <sheetView showGridLines="0" workbookViewId="0">
      <selection activeCell="B1" sqref="B1"/>
    </sheetView>
  </sheetViews>
  <sheetFormatPr baseColWidth="10" defaultColWidth="9.140625" defaultRowHeight="12.75" x14ac:dyDescent="0.2"/>
  <cols>
    <col min="1" max="1" width="4.28515625" customWidth="1"/>
    <col min="2" max="2" width="36" customWidth="1"/>
    <col min="3" max="22" width="7.7109375" customWidth="1"/>
  </cols>
  <sheetData>
    <row r="1" spans="2:22" ht="15.75" x14ac:dyDescent="0.25">
      <c r="B1" s="2" t="s">
        <v>461</v>
      </c>
    </row>
    <row r="2" spans="2:22" x14ac:dyDescent="0.2">
      <c r="B2" s="73"/>
      <c r="C2" s="77"/>
      <c r="D2" s="77"/>
      <c r="E2" s="56"/>
      <c r="F2" s="56"/>
    </row>
    <row r="3" spans="2:22" x14ac:dyDescent="0.2">
      <c r="B3" s="345" t="s">
        <v>246</v>
      </c>
      <c r="C3" s="344">
        <v>0</v>
      </c>
      <c r="D3" s="75"/>
      <c r="E3" s="56"/>
      <c r="F3" s="56"/>
      <c r="T3" s="298" t="s">
        <v>565</v>
      </c>
      <c r="U3" s="298"/>
      <c r="V3" s="298"/>
    </row>
    <row r="4" spans="2:22" s="96" customFormat="1" x14ac:dyDescent="0.2">
      <c r="B4" s="345" t="s">
        <v>462</v>
      </c>
      <c r="C4" s="286">
        <f>IF(C3&lt;20,4,IF(C3&lt;30,6,IF(C3&lt;40,8,10)))</f>
        <v>4</v>
      </c>
      <c r="D4" s="75"/>
      <c r="E4" s="97"/>
      <c r="F4" s="97"/>
    </row>
    <row r="6" spans="2:22" x14ac:dyDescent="0.2">
      <c r="B6" s="5" t="s">
        <v>464</v>
      </c>
    </row>
    <row r="7" spans="2:22" x14ac:dyDescent="0.2">
      <c r="B7" s="5"/>
    </row>
    <row r="8" spans="2:22" x14ac:dyDescent="0.2">
      <c r="B8" s="5" t="s">
        <v>463</v>
      </c>
      <c r="C8" s="6" t="s">
        <v>466</v>
      </c>
    </row>
    <row r="9" spans="2:22" x14ac:dyDescent="0.2">
      <c r="B9" s="5"/>
      <c r="C9" s="6" t="s">
        <v>465</v>
      </c>
    </row>
    <row r="10" spans="2:22" x14ac:dyDescent="0.2">
      <c r="B10" s="5"/>
      <c r="C10" s="6" t="s">
        <v>467</v>
      </c>
    </row>
    <row r="11" spans="2:22" x14ac:dyDescent="0.2">
      <c r="B11" s="5"/>
      <c r="C11" s="6" t="s">
        <v>581</v>
      </c>
    </row>
    <row r="12" spans="2:22" x14ac:dyDescent="0.2">
      <c r="B12" s="5"/>
    </row>
    <row r="13" spans="2:22" s="166" customFormat="1" x14ac:dyDescent="0.2">
      <c r="B13" s="24"/>
      <c r="C13" s="25"/>
      <c r="D13" s="25"/>
      <c r="E13" s="25"/>
      <c r="F13" s="25"/>
      <c r="G13" s="25"/>
      <c r="H13" s="25"/>
      <c r="I13" s="25"/>
      <c r="J13" s="25"/>
      <c r="K13" s="25"/>
      <c r="L13" s="25"/>
      <c r="M13" s="25"/>
      <c r="N13" s="25"/>
      <c r="O13" s="25"/>
      <c r="P13" s="25"/>
      <c r="Q13" s="25"/>
      <c r="R13" s="25"/>
      <c r="S13" s="25"/>
      <c r="T13" s="25"/>
      <c r="U13" s="25"/>
      <c r="V13" s="26"/>
    </row>
    <row r="14" spans="2:22" s="166" customFormat="1" x14ac:dyDescent="0.2">
      <c r="B14" s="262"/>
      <c r="C14" s="31"/>
      <c r="D14" s="31"/>
      <c r="E14" s="31"/>
      <c r="F14" s="31"/>
      <c r="G14" s="31"/>
      <c r="H14" s="31"/>
      <c r="I14" s="31"/>
      <c r="J14" s="31"/>
      <c r="K14" s="31"/>
      <c r="L14" s="31"/>
      <c r="M14" s="31"/>
      <c r="N14" s="31"/>
      <c r="O14" s="31"/>
      <c r="P14" s="31"/>
      <c r="Q14" s="31"/>
      <c r="R14" s="31"/>
      <c r="S14" s="31"/>
      <c r="T14" s="31"/>
      <c r="U14" s="31"/>
      <c r="V14" s="32"/>
    </row>
    <row r="15" spans="2:22" s="166" customFormat="1" x14ac:dyDescent="0.2">
      <c r="B15" s="30"/>
      <c r="C15" s="31"/>
      <c r="D15" s="31"/>
      <c r="E15" s="31"/>
      <c r="F15" s="31"/>
      <c r="G15" s="31"/>
      <c r="H15" s="31"/>
      <c r="I15" s="31"/>
      <c r="J15" s="31"/>
      <c r="K15" s="31"/>
      <c r="L15" s="31"/>
      <c r="M15" s="31"/>
      <c r="N15" s="31"/>
      <c r="O15" s="31"/>
      <c r="P15" s="31"/>
      <c r="Q15" s="31"/>
      <c r="R15" s="31"/>
      <c r="S15" s="31"/>
      <c r="T15" s="31"/>
      <c r="U15" s="31"/>
      <c r="V15" s="32"/>
    </row>
    <row r="16" spans="2:22" s="166" customFormat="1" x14ac:dyDescent="0.2">
      <c r="B16" s="262"/>
      <c r="C16" s="31"/>
      <c r="D16" s="31"/>
      <c r="E16" s="31"/>
      <c r="F16" s="31"/>
      <c r="G16" s="31"/>
      <c r="H16" s="31"/>
      <c r="I16" s="31"/>
      <c r="J16" s="31"/>
      <c r="K16" s="31"/>
      <c r="L16" s="31"/>
      <c r="M16" s="31"/>
      <c r="N16" s="31"/>
      <c r="O16" s="31"/>
      <c r="P16" s="31"/>
      <c r="Q16" s="31"/>
      <c r="R16" s="31"/>
      <c r="S16" s="31"/>
      <c r="T16" s="31"/>
      <c r="U16" s="31"/>
      <c r="V16" s="32"/>
    </row>
    <row r="17" spans="2:22" s="166" customFormat="1" x14ac:dyDescent="0.2">
      <c r="B17" s="30"/>
      <c r="C17" s="31"/>
      <c r="D17" s="31"/>
      <c r="E17" s="31"/>
      <c r="F17" s="31"/>
      <c r="G17" s="31"/>
      <c r="H17" s="31"/>
      <c r="I17" s="31"/>
      <c r="J17" s="31"/>
      <c r="K17" s="31"/>
      <c r="L17" s="31"/>
      <c r="M17" s="31"/>
      <c r="N17" s="31"/>
      <c r="O17" s="31"/>
      <c r="P17" s="31"/>
      <c r="Q17" s="31"/>
      <c r="R17" s="31"/>
      <c r="S17" s="31"/>
      <c r="T17" s="31"/>
      <c r="U17" s="31"/>
      <c r="V17" s="32"/>
    </row>
    <row r="18" spans="2:22" s="166" customFormat="1" x14ac:dyDescent="0.2">
      <c r="B18" s="262"/>
      <c r="C18" s="31"/>
      <c r="D18" s="31"/>
      <c r="E18" s="31"/>
      <c r="F18" s="31"/>
      <c r="G18" s="31"/>
      <c r="H18" s="31"/>
      <c r="I18" s="31"/>
      <c r="J18" s="31"/>
      <c r="K18" s="31"/>
      <c r="L18" s="31"/>
      <c r="M18" s="31"/>
      <c r="N18" s="31"/>
      <c r="O18" s="31"/>
      <c r="P18" s="31"/>
      <c r="Q18" s="31"/>
      <c r="R18" s="31"/>
      <c r="S18" s="31"/>
      <c r="T18" s="31"/>
      <c r="U18" s="31"/>
      <c r="V18" s="32"/>
    </row>
    <row r="19" spans="2:22" s="166" customFormat="1" x14ac:dyDescent="0.2">
      <c r="B19" s="30"/>
      <c r="C19" s="31"/>
      <c r="D19" s="31"/>
      <c r="E19" s="31"/>
      <c r="F19" s="31"/>
      <c r="G19" s="31"/>
      <c r="H19" s="31"/>
      <c r="I19" s="31"/>
      <c r="J19" s="31"/>
      <c r="K19" s="31"/>
      <c r="L19" s="31"/>
      <c r="M19" s="31"/>
      <c r="N19" s="31"/>
      <c r="O19" s="31"/>
      <c r="P19" s="31"/>
      <c r="Q19" s="31"/>
      <c r="R19" s="31"/>
      <c r="S19" s="31"/>
      <c r="T19" s="31"/>
      <c r="U19" s="31"/>
      <c r="V19" s="32"/>
    </row>
    <row r="20" spans="2:22" s="166" customFormat="1" x14ac:dyDescent="0.2">
      <c r="B20" s="30"/>
      <c r="C20" s="31"/>
      <c r="D20" s="31"/>
      <c r="E20" s="31"/>
      <c r="F20" s="31"/>
      <c r="G20" s="31"/>
      <c r="H20" s="31"/>
      <c r="I20" s="31"/>
      <c r="J20" s="31"/>
      <c r="K20" s="31"/>
      <c r="L20" s="31"/>
      <c r="M20" s="31"/>
      <c r="N20" s="31"/>
      <c r="O20" s="31"/>
      <c r="P20" s="31"/>
      <c r="Q20" s="31"/>
      <c r="R20" s="31"/>
      <c r="S20" s="31"/>
      <c r="T20" s="31"/>
      <c r="U20" s="31"/>
      <c r="V20" s="32"/>
    </row>
    <row r="21" spans="2:22" s="166" customFormat="1" x14ac:dyDescent="0.2">
      <c r="B21" s="30"/>
      <c r="C21" s="31"/>
      <c r="D21" s="31"/>
      <c r="E21" s="31"/>
      <c r="F21" s="31"/>
      <c r="G21" s="31"/>
      <c r="H21" s="31"/>
      <c r="I21" s="31"/>
      <c r="J21" s="31"/>
      <c r="K21" s="31"/>
      <c r="L21" s="31"/>
      <c r="M21" s="31"/>
      <c r="N21" s="31"/>
      <c r="O21" s="31"/>
      <c r="P21" s="31"/>
      <c r="Q21" s="31"/>
      <c r="R21" s="31"/>
      <c r="S21" s="31"/>
      <c r="T21" s="31"/>
      <c r="U21" s="31"/>
      <c r="V21" s="32"/>
    </row>
    <row r="22" spans="2:22" s="166" customFormat="1" x14ac:dyDescent="0.2">
      <c r="B22" s="30"/>
      <c r="C22" s="31"/>
      <c r="D22" s="31"/>
      <c r="E22" s="31"/>
      <c r="F22" s="31"/>
      <c r="G22" s="31"/>
      <c r="H22" s="31"/>
      <c r="I22" s="31"/>
      <c r="J22" s="31"/>
      <c r="K22" s="31"/>
      <c r="L22" s="31"/>
      <c r="M22" s="31"/>
      <c r="N22" s="31"/>
      <c r="O22" s="31"/>
      <c r="P22" s="31"/>
      <c r="Q22" s="31"/>
      <c r="R22" s="31"/>
      <c r="S22" s="31"/>
      <c r="T22" s="31"/>
      <c r="U22" s="31"/>
      <c r="V22" s="32"/>
    </row>
    <row r="23" spans="2:22" s="166" customFormat="1" x14ac:dyDescent="0.2">
      <c r="B23" s="30"/>
      <c r="C23" s="31"/>
      <c r="D23" s="31"/>
      <c r="E23" s="31"/>
      <c r="F23" s="31"/>
      <c r="G23" s="31"/>
      <c r="H23" s="31"/>
      <c r="I23" s="31"/>
      <c r="J23" s="31"/>
      <c r="K23" s="31"/>
      <c r="L23" s="31"/>
      <c r="M23" s="31"/>
      <c r="N23" s="31"/>
      <c r="O23" s="31"/>
      <c r="P23" s="31"/>
      <c r="Q23" s="31"/>
      <c r="R23" s="31"/>
      <c r="S23" s="31"/>
      <c r="T23" s="31"/>
      <c r="U23" s="31"/>
      <c r="V23" s="32"/>
    </row>
    <row r="24" spans="2:22" s="166" customFormat="1" x14ac:dyDescent="0.2">
      <c r="B24" s="30"/>
      <c r="C24" s="31"/>
      <c r="D24" s="31"/>
      <c r="E24" s="31"/>
      <c r="F24" s="31"/>
      <c r="G24" s="31"/>
      <c r="H24" s="31"/>
      <c r="I24" s="31"/>
      <c r="J24" s="31"/>
      <c r="K24" s="31"/>
      <c r="L24" s="31"/>
      <c r="M24" s="31"/>
      <c r="N24" s="31"/>
      <c r="O24" s="31"/>
      <c r="P24" s="31"/>
      <c r="Q24" s="31"/>
      <c r="R24" s="31"/>
      <c r="S24" s="31"/>
      <c r="T24" s="31"/>
      <c r="U24" s="31"/>
      <c r="V24" s="32"/>
    </row>
    <row r="25" spans="2:22" s="166" customFormat="1" x14ac:dyDescent="0.2">
      <c r="B25" s="30"/>
      <c r="C25" s="31"/>
      <c r="D25" s="31"/>
      <c r="E25" s="31"/>
      <c r="F25" s="31"/>
      <c r="G25" s="31"/>
      <c r="H25" s="31"/>
      <c r="I25" s="31"/>
      <c r="J25" s="31"/>
      <c r="K25" s="31"/>
      <c r="L25" s="31"/>
      <c r="M25" s="31"/>
      <c r="N25" s="31"/>
      <c r="O25" s="31"/>
      <c r="P25" s="31"/>
      <c r="Q25" s="31"/>
      <c r="R25" s="31"/>
      <c r="S25" s="31"/>
      <c r="T25" s="31"/>
      <c r="U25" s="31"/>
      <c r="V25" s="32"/>
    </row>
    <row r="26" spans="2:22" s="166" customFormat="1" x14ac:dyDescent="0.2">
      <c r="B26" s="30"/>
      <c r="C26" s="31"/>
      <c r="D26" s="31"/>
      <c r="E26" s="31"/>
      <c r="F26" s="31"/>
      <c r="G26" s="31"/>
      <c r="H26" s="31"/>
      <c r="I26" s="31"/>
      <c r="J26" s="31"/>
      <c r="K26" s="31"/>
      <c r="L26" s="31"/>
      <c r="M26" s="31"/>
      <c r="N26" s="31"/>
      <c r="O26" s="31"/>
      <c r="P26" s="31"/>
      <c r="Q26" s="31"/>
      <c r="R26" s="31"/>
      <c r="S26" s="31"/>
      <c r="T26" s="31"/>
      <c r="U26" s="31"/>
      <c r="V26" s="32"/>
    </row>
    <row r="27" spans="2:22" s="166" customFormat="1" x14ac:dyDescent="0.2">
      <c r="B27" s="30"/>
      <c r="C27" s="31"/>
      <c r="D27" s="31"/>
      <c r="E27" s="31"/>
      <c r="F27" s="31"/>
      <c r="G27" s="31"/>
      <c r="H27" s="31"/>
      <c r="I27" s="31"/>
      <c r="J27" s="31"/>
      <c r="K27" s="31"/>
      <c r="L27" s="31"/>
      <c r="M27" s="31"/>
      <c r="N27" s="31"/>
      <c r="O27" s="31"/>
      <c r="P27" s="31"/>
      <c r="Q27" s="31"/>
      <c r="R27" s="31"/>
      <c r="S27" s="31"/>
      <c r="T27" s="31"/>
      <c r="U27" s="31"/>
      <c r="V27" s="32"/>
    </row>
    <row r="28" spans="2:22" s="166" customFormat="1" x14ac:dyDescent="0.2">
      <c r="B28" s="30"/>
      <c r="C28" s="31"/>
      <c r="D28" s="31"/>
      <c r="E28" s="31"/>
      <c r="F28" s="31"/>
      <c r="G28" s="31"/>
      <c r="H28" s="31"/>
      <c r="I28" s="31"/>
      <c r="J28" s="31"/>
      <c r="K28" s="31"/>
      <c r="L28" s="31"/>
      <c r="M28" s="31"/>
      <c r="N28" s="31"/>
      <c r="O28" s="31"/>
      <c r="P28" s="31"/>
      <c r="Q28" s="31"/>
      <c r="R28" s="31"/>
      <c r="S28" s="31"/>
      <c r="T28" s="31"/>
      <c r="U28" s="31"/>
      <c r="V28" s="32"/>
    </row>
    <row r="29" spans="2:22" s="166" customFormat="1" x14ac:dyDescent="0.2">
      <c r="B29" s="30"/>
      <c r="C29" s="31"/>
      <c r="D29" s="31"/>
      <c r="E29" s="31"/>
      <c r="F29" s="31"/>
      <c r="G29" s="31"/>
      <c r="H29" s="31"/>
      <c r="I29" s="31"/>
      <c r="J29" s="31"/>
      <c r="K29" s="31"/>
      <c r="L29" s="31"/>
      <c r="M29" s="31"/>
      <c r="N29" s="31"/>
      <c r="O29" s="31"/>
      <c r="P29" s="31"/>
      <c r="Q29" s="31"/>
      <c r="R29" s="31"/>
      <c r="S29" s="31"/>
      <c r="T29" s="31"/>
      <c r="U29" s="31"/>
      <c r="V29" s="32"/>
    </row>
    <row r="30" spans="2:22" s="166" customFormat="1" x14ac:dyDescent="0.2">
      <c r="B30" s="30"/>
      <c r="C30" s="31"/>
      <c r="D30" s="31"/>
      <c r="E30" s="31"/>
      <c r="F30" s="31"/>
      <c r="G30" s="31"/>
      <c r="H30" s="31"/>
      <c r="I30" s="31"/>
      <c r="J30" s="31"/>
      <c r="K30" s="31"/>
      <c r="L30" s="31"/>
      <c r="M30" s="31"/>
      <c r="N30" s="31"/>
      <c r="O30" s="31"/>
      <c r="P30" s="31"/>
      <c r="Q30" s="31"/>
      <c r="R30" s="31"/>
      <c r="S30" s="31"/>
      <c r="T30" s="31"/>
      <c r="U30" s="31"/>
      <c r="V30" s="32"/>
    </row>
    <row r="31" spans="2:22" s="166" customFormat="1" x14ac:dyDescent="0.2">
      <c r="B31" s="30"/>
      <c r="C31" s="31"/>
      <c r="D31" s="31"/>
      <c r="E31" s="31"/>
      <c r="F31" s="31"/>
      <c r="G31" s="31"/>
      <c r="H31" s="31"/>
      <c r="I31" s="31"/>
      <c r="J31" s="31"/>
      <c r="K31" s="31"/>
      <c r="L31" s="31"/>
      <c r="M31" s="31"/>
      <c r="N31" s="31"/>
      <c r="O31" s="31"/>
      <c r="P31" s="31"/>
      <c r="Q31" s="31"/>
      <c r="R31" s="31"/>
      <c r="S31" s="31"/>
      <c r="T31" s="31"/>
      <c r="U31" s="31"/>
      <c r="V31" s="32"/>
    </row>
    <row r="32" spans="2:22" s="166" customFormat="1" x14ac:dyDescent="0.2">
      <c r="B32" s="30"/>
      <c r="C32" s="31"/>
      <c r="D32" s="31"/>
      <c r="E32" s="31"/>
      <c r="F32" s="31"/>
      <c r="G32" s="31"/>
      <c r="H32" s="31"/>
      <c r="I32" s="31"/>
      <c r="J32" s="31"/>
      <c r="K32" s="31"/>
      <c r="L32" s="31"/>
      <c r="M32" s="31"/>
      <c r="N32" s="31"/>
      <c r="O32" s="31"/>
      <c r="P32" s="31"/>
      <c r="Q32" s="31"/>
      <c r="R32" s="31"/>
      <c r="S32" s="31"/>
      <c r="T32" s="31"/>
      <c r="U32" s="31"/>
      <c r="V32" s="32"/>
    </row>
    <row r="33" spans="2:22" s="166" customFormat="1" x14ac:dyDescent="0.2">
      <c r="B33" s="30"/>
      <c r="C33" s="31"/>
      <c r="D33" s="31"/>
      <c r="E33" s="31"/>
      <c r="F33" s="31"/>
      <c r="G33" s="31"/>
      <c r="H33" s="31"/>
      <c r="I33" s="31"/>
      <c r="J33" s="31"/>
      <c r="K33" s="31"/>
      <c r="L33" s="31"/>
      <c r="M33" s="31"/>
      <c r="N33" s="31"/>
      <c r="O33" s="31"/>
      <c r="P33" s="31"/>
      <c r="Q33" s="31"/>
      <c r="R33" s="31"/>
      <c r="S33" s="31"/>
      <c r="T33" s="31"/>
      <c r="U33" s="31"/>
      <c r="V33" s="32"/>
    </row>
    <row r="34" spans="2:22" s="166" customFormat="1" x14ac:dyDescent="0.2">
      <c r="B34" s="30"/>
      <c r="C34" s="31"/>
      <c r="D34" s="31"/>
      <c r="E34" s="31"/>
      <c r="F34" s="31"/>
      <c r="G34" s="31"/>
      <c r="H34" s="31"/>
      <c r="I34" s="31"/>
      <c r="J34" s="31"/>
      <c r="K34" s="31"/>
      <c r="L34" s="31"/>
      <c r="M34" s="31"/>
      <c r="N34" s="31"/>
      <c r="O34" s="31"/>
      <c r="P34" s="31"/>
      <c r="Q34" s="31"/>
      <c r="R34" s="31"/>
      <c r="S34" s="31"/>
      <c r="T34" s="31"/>
      <c r="U34" s="31"/>
      <c r="V34" s="32"/>
    </row>
    <row r="35" spans="2:22" s="166" customFormat="1" x14ac:dyDescent="0.2">
      <c r="B35" s="30"/>
      <c r="C35" s="31"/>
      <c r="D35" s="31"/>
      <c r="E35" s="31"/>
      <c r="F35" s="31"/>
      <c r="G35" s="31"/>
      <c r="H35" s="31"/>
      <c r="I35" s="31"/>
      <c r="J35" s="31"/>
      <c r="K35" s="31"/>
      <c r="L35" s="31"/>
      <c r="M35" s="31"/>
      <c r="N35" s="31"/>
      <c r="O35" s="31"/>
      <c r="P35" s="31"/>
      <c r="Q35" s="31"/>
      <c r="R35" s="31"/>
      <c r="S35" s="31"/>
      <c r="T35" s="31"/>
      <c r="U35" s="31"/>
      <c r="V35" s="32"/>
    </row>
    <row r="36" spans="2:22" s="166" customFormat="1" x14ac:dyDescent="0.2">
      <c r="B36" s="30"/>
      <c r="C36" s="31"/>
      <c r="D36" s="31"/>
      <c r="E36" s="31"/>
      <c r="F36" s="31"/>
      <c r="G36" s="31"/>
      <c r="H36" s="31"/>
      <c r="I36" s="31"/>
      <c r="J36" s="31"/>
      <c r="K36" s="31"/>
      <c r="L36" s="31"/>
      <c r="M36" s="31"/>
      <c r="N36" s="31"/>
      <c r="O36" s="31"/>
      <c r="P36" s="31"/>
      <c r="Q36" s="31"/>
      <c r="R36" s="31"/>
      <c r="S36" s="31"/>
      <c r="T36" s="31"/>
      <c r="U36" s="31"/>
      <c r="V36" s="32"/>
    </row>
    <row r="37" spans="2:22" s="166" customFormat="1" x14ac:dyDescent="0.2">
      <c r="B37" s="30"/>
      <c r="C37" s="31"/>
      <c r="D37" s="31"/>
      <c r="E37" s="31"/>
      <c r="F37" s="31"/>
      <c r="G37" s="31"/>
      <c r="H37" s="31"/>
      <c r="I37" s="31"/>
      <c r="J37" s="31"/>
      <c r="K37" s="31"/>
      <c r="L37" s="31"/>
      <c r="M37" s="31"/>
      <c r="N37" s="31"/>
      <c r="O37" s="31"/>
      <c r="P37" s="31"/>
      <c r="Q37" s="31"/>
      <c r="R37" s="31"/>
      <c r="S37" s="31"/>
      <c r="T37" s="31"/>
      <c r="U37" s="31"/>
      <c r="V37" s="32"/>
    </row>
    <row r="38" spans="2:22" s="166" customFormat="1" x14ac:dyDescent="0.2">
      <c r="B38" s="30"/>
      <c r="C38" s="31"/>
      <c r="D38" s="31"/>
      <c r="E38" s="31"/>
      <c r="F38" s="31"/>
      <c r="G38" s="31"/>
      <c r="H38" s="31"/>
      <c r="I38" s="31"/>
      <c r="J38" s="31"/>
      <c r="K38" s="31"/>
      <c r="L38" s="31"/>
      <c r="M38" s="31"/>
      <c r="N38" s="31"/>
      <c r="O38" s="31"/>
      <c r="P38" s="31"/>
      <c r="Q38" s="31"/>
      <c r="R38" s="31"/>
      <c r="S38" s="31"/>
      <c r="T38" s="31"/>
      <c r="U38" s="31"/>
      <c r="V38" s="32"/>
    </row>
    <row r="39" spans="2:22" s="166" customFormat="1" x14ac:dyDescent="0.2">
      <c r="B39" s="30"/>
      <c r="C39" s="31"/>
      <c r="D39" s="31"/>
      <c r="E39" s="31"/>
      <c r="F39" s="31"/>
      <c r="G39" s="31"/>
      <c r="H39" s="31"/>
      <c r="I39" s="31"/>
      <c r="J39" s="31"/>
      <c r="K39" s="31"/>
      <c r="L39" s="31"/>
      <c r="M39" s="31"/>
      <c r="N39" s="31"/>
      <c r="O39" s="31"/>
      <c r="P39" s="31"/>
      <c r="Q39" s="31"/>
      <c r="R39" s="31"/>
      <c r="S39" s="31"/>
      <c r="T39" s="31"/>
      <c r="U39" s="31"/>
      <c r="V39" s="32"/>
    </row>
    <row r="40" spans="2:22" s="166" customFormat="1" x14ac:dyDescent="0.2">
      <c r="B40" s="30"/>
      <c r="C40" s="31"/>
      <c r="D40" s="31"/>
      <c r="E40" s="31"/>
      <c r="F40" s="31"/>
      <c r="G40" s="31"/>
      <c r="H40" s="31"/>
      <c r="I40" s="31"/>
      <c r="J40" s="31"/>
      <c r="K40" s="31"/>
      <c r="L40" s="31"/>
      <c r="M40" s="31"/>
      <c r="N40" s="31"/>
      <c r="O40" s="31"/>
      <c r="P40" s="31"/>
      <c r="Q40" s="31"/>
      <c r="R40" s="31"/>
      <c r="S40" s="31"/>
      <c r="T40" s="31"/>
      <c r="U40" s="31"/>
      <c r="V40" s="32"/>
    </row>
    <row r="41" spans="2:22" s="166" customFormat="1" x14ac:dyDescent="0.2">
      <c r="B41" s="30"/>
      <c r="C41" s="31"/>
      <c r="D41" s="31"/>
      <c r="E41" s="31"/>
      <c r="F41" s="31"/>
      <c r="G41" s="31"/>
      <c r="H41" s="31"/>
      <c r="I41" s="31"/>
      <c r="J41" s="31"/>
      <c r="K41" s="31"/>
      <c r="L41" s="31"/>
      <c r="M41" s="31"/>
      <c r="N41" s="31"/>
      <c r="O41" s="31"/>
      <c r="P41" s="31"/>
      <c r="Q41" s="31"/>
      <c r="R41" s="31"/>
      <c r="S41" s="31"/>
      <c r="T41" s="31"/>
      <c r="U41" s="31"/>
      <c r="V41" s="32"/>
    </row>
    <row r="42" spans="2:22" s="166" customFormat="1" x14ac:dyDescent="0.2">
      <c r="B42" s="30"/>
      <c r="C42" s="31"/>
      <c r="D42" s="31"/>
      <c r="E42" s="31"/>
      <c r="F42" s="31"/>
      <c r="G42" s="31"/>
      <c r="H42" s="31"/>
      <c r="I42" s="31"/>
      <c r="J42" s="31"/>
      <c r="K42" s="31"/>
      <c r="L42" s="31"/>
      <c r="M42" s="31"/>
      <c r="N42" s="31"/>
      <c r="O42" s="31"/>
      <c r="P42" s="31"/>
      <c r="Q42" s="31"/>
      <c r="R42" s="31"/>
      <c r="S42" s="31"/>
      <c r="T42" s="31"/>
      <c r="U42" s="31"/>
      <c r="V42" s="32"/>
    </row>
    <row r="43" spans="2:22" s="166" customFormat="1" x14ac:dyDescent="0.2">
      <c r="B43" s="30"/>
      <c r="C43" s="31"/>
      <c r="D43" s="31"/>
      <c r="E43" s="31"/>
      <c r="F43" s="31"/>
      <c r="G43" s="31"/>
      <c r="H43" s="31"/>
      <c r="I43" s="31"/>
      <c r="J43" s="31"/>
      <c r="K43" s="31"/>
      <c r="L43" s="31"/>
      <c r="M43" s="31"/>
      <c r="N43" s="31"/>
      <c r="O43" s="31"/>
      <c r="P43" s="31"/>
      <c r="Q43" s="31"/>
      <c r="R43" s="31"/>
      <c r="S43" s="31"/>
      <c r="T43" s="31"/>
      <c r="U43" s="31"/>
      <c r="V43" s="32"/>
    </row>
    <row r="44" spans="2:22" s="166" customFormat="1" x14ac:dyDescent="0.2">
      <c r="B44" s="30"/>
      <c r="C44" s="31"/>
      <c r="D44" s="31"/>
      <c r="E44" s="31"/>
      <c r="F44" s="31"/>
      <c r="G44" s="31"/>
      <c r="H44" s="31"/>
      <c r="I44" s="31"/>
      <c r="J44" s="31"/>
      <c r="K44" s="31"/>
      <c r="L44" s="31"/>
      <c r="M44" s="31"/>
      <c r="N44" s="31"/>
      <c r="O44" s="31"/>
      <c r="P44" s="31"/>
      <c r="Q44" s="31"/>
      <c r="R44" s="31"/>
      <c r="S44" s="31"/>
      <c r="T44" s="31"/>
      <c r="U44" s="31"/>
      <c r="V44" s="32"/>
    </row>
    <row r="45" spans="2:22" s="166" customFormat="1" x14ac:dyDescent="0.2">
      <c r="B45" s="30"/>
      <c r="C45" s="31"/>
      <c r="D45" s="31"/>
      <c r="E45" s="31"/>
      <c r="F45" s="31"/>
      <c r="G45" s="31"/>
      <c r="H45" s="31"/>
      <c r="I45" s="31"/>
      <c r="J45" s="31"/>
      <c r="K45" s="31"/>
      <c r="L45" s="31"/>
      <c r="M45" s="31"/>
      <c r="N45" s="31"/>
      <c r="O45" s="31"/>
      <c r="P45" s="31"/>
      <c r="Q45" s="31"/>
      <c r="R45" s="31"/>
      <c r="S45" s="31"/>
      <c r="T45" s="31"/>
      <c r="U45" s="31"/>
      <c r="V45" s="32"/>
    </row>
    <row r="46" spans="2:22" s="166" customFormat="1" x14ac:dyDescent="0.2">
      <c r="B46" s="30"/>
      <c r="C46" s="31"/>
      <c r="D46" s="31"/>
      <c r="E46" s="31"/>
      <c r="F46" s="31"/>
      <c r="G46" s="31"/>
      <c r="H46" s="31"/>
      <c r="I46" s="31"/>
      <c r="J46" s="31"/>
      <c r="K46" s="31"/>
      <c r="L46" s="31"/>
      <c r="M46" s="31"/>
      <c r="N46" s="31"/>
      <c r="O46" s="31"/>
      <c r="P46" s="31"/>
      <c r="Q46" s="31"/>
      <c r="R46" s="31"/>
      <c r="S46" s="31"/>
      <c r="T46" s="31"/>
      <c r="U46" s="31"/>
      <c r="V46" s="32"/>
    </row>
    <row r="47" spans="2:22" s="166" customFormat="1" x14ac:dyDescent="0.2">
      <c r="B47" s="30"/>
      <c r="C47" s="31"/>
      <c r="D47" s="31"/>
      <c r="E47" s="31"/>
      <c r="F47" s="31"/>
      <c r="G47" s="31"/>
      <c r="H47" s="31"/>
      <c r="I47" s="31"/>
      <c r="J47" s="31"/>
      <c r="K47" s="31"/>
      <c r="L47" s="31"/>
      <c r="M47" s="31"/>
      <c r="N47" s="31"/>
      <c r="O47" s="31"/>
      <c r="P47" s="31"/>
      <c r="Q47" s="31"/>
      <c r="R47" s="31"/>
      <c r="S47" s="31"/>
      <c r="T47" s="31"/>
      <c r="U47" s="31"/>
      <c r="V47" s="32"/>
    </row>
    <row r="48" spans="2:22" s="166" customFormat="1" x14ac:dyDescent="0.2">
      <c r="B48" s="30"/>
      <c r="C48" s="31"/>
      <c r="D48" s="31"/>
      <c r="E48" s="31"/>
      <c r="F48" s="31"/>
      <c r="G48" s="31"/>
      <c r="H48" s="31"/>
      <c r="I48" s="31"/>
      <c r="J48" s="31"/>
      <c r="K48" s="31"/>
      <c r="L48" s="31"/>
      <c r="M48" s="31"/>
      <c r="N48" s="31"/>
      <c r="O48" s="31"/>
      <c r="P48" s="31"/>
      <c r="Q48" s="31"/>
      <c r="R48" s="31"/>
      <c r="S48" s="31"/>
      <c r="T48" s="31"/>
      <c r="U48" s="31"/>
      <c r="V48" s="32"/>
    </row>
    <row r="49" spans="2:22" s="166" customFormat="1" x14ac:dyDescent="0.2">
      <c r="B49" s="30"/>
      <c r="C49" s="31"/>
      <c r="D49" s="31"/>
      <c r="E49" s="31"/>
      <c r="F49" s="31"/>
      <c r="G49" s="31"/>
      <c r="H49" s="31"/>
      <c r="I49" s="31"/>
      <c r="J49" s="31"/>
      <c r="K49" s="31"/>
      <c r="L49" s="31"/>
      <c r="M49" s="31"/>
      <c r="N49" s="31"/>
      <c r="O49" s="31"/>
      <c r="P49" s="31"/>
      <c r="Q49" s="31"/>
      <c r="R49" s="31"/>
      <c r="S49" s="31"/>
      <c r="T49" s="31"/>
      <c r="U49" s="31"/>
      <c r="V49" s="32"/>
    </row>
    <row r="50" spans="2:22" s="166" customFormat="1" x14ac:dyDescent="0.2">
      <c r="B50" s="30"/>
      <c r="C50" s="31"/>
      <c r="D50" s="31"/>
      <c r="E50" s="31"/>
      <c r="F50" s="31"/>
      <c r="G50" s="31"/>
      <c r="H50" s="31"/>
      <c r="I50" s="31"/>
      <c r="J50" s="31"/>
      <c r="K50" s="31"/>
      <c r="L50" s="31"/>
      <c r="M50" s="31"/>
      <c r="N50" s="31"/>
      <c r="O50" s="31"/>
      <c r="P50" s="31"/>
      <c r="Q50" s="31"/>
      <c r="R50" s="31"/>
      <c r="S50" s="31"/>
      <c r="T50" s="31"/>
      <c r="U50" s="31"/>
      <c r="V50" s="32"/>
    </row>
    <row r="51" spans="2:22" s="166" customFormat="1" x14ac:dyDescent="0.2">
      <c r="B51" s="30"/>
      <c r="C51" s="31"/>
      <c r="D51" s="31"/>
      <c r="E51" s="31"/>
      <c r="F51" s="31"/>
      <c r="G51" s="31"/>
      <c r="H51" s="31"/>
      <c r="I51" s="31"/>
      <c r="J51" s="31"/>
      <c r="K51" s="31"/>
      <c r="L51" s="31"/>
      <c r="M51" s="31"/>
      <c r="N51" s="31"/>
      <c r="O51" s="31"/>
      <c r="P51" s="31"/>
      <c r="Q51" s="31"/>
      <c r="R51" s="31"/>
      <c r="S51" s="31"/>
      <c r="T51" s="31"/>
      <c r="U51" s="31"/>
      <c r="V51" s="32"/>
    </row>
    <row r="52" spans="2:22" s="166" customFormat="1" x14ac:dyDescent="0.2">
      <c r="B52" s="30"/>
      <c r="C52" s="31"/>
      <c r="D52" s="31"/>
      <c r="E52" s="31"/>
      <c r="F52" s="31"/>
      <c r="G52" s="31"/>
      <c r="H52" s="31"/>
      <c r="I52" s="31"/>
      <c r="J52" s="31"/>
      <c r="K52" s="31"/>
      <c r="L52" s="31"/>
      <c r="M52" s="31"/>
      <c r="N52" s="31"/>
      <c r="O52" s="31"/>
      <c r="P52" s="31"/>
      <c r="Q52" s="31"/>
      <c r="R52" s="31"/>
      <c r="S52" s="31"/>
      <c r="T52" s="31"/>
      <c r="U52" s="31"/>
      <c r="V52" s="32"/>
    </row>
    <row r="53" spans="2:22" s="166" customFormat="1" x14ac:dyDescent="0.2">
      <c r="B53" s="30"/>
      <c r="C53" s="31"/>
      <c r="D53" s="31"/>
      <c r="E53" s="31"/>
      <c r="F53" s="31"/>
      <c r="G53" s="31"/>
      <c r="H53" s="31"/>
      <c r="I53" s="31"/>
      <c r="J53" s="31"/>
      <c r="K53" s="31"/>
      <c r="L53" s="31"/>
      <c r="M53" s="31"/>
      <c r="N53" s="31"/>
      <c r="O53" s="31"/>
      <c r="P53" s="31"/>
      <c r="Q53" s="31"/>
      <c r="R53" s="31"/>
      <c r="S53" s="31"/>
      <c r="T53" s="31"/>
      <c r="U53" s="31"/>
      <c r="V53" s="32"/>
    </row>
    <row r="54" spans="2:22" s="166" customFormat="1" x14ac:dyDescent="0.2">
      <c r="B54" s="30"/>
      <c r="C54" s="31"/>
      <c r="D54" s="31"/>
      <c r="E54" s="31"/>
      <c r="F54" s="31"/>
      <c r="G54" s="31"/>
      <c r="H54" s="31"/>
      <c r="I54" s="31"/>
      <c r="J54" s="31"/>
      <c r="K54" s="31"/>
      <c r="L54" s="31"/>
      <c r="M54" s="31"/>
      <c r="N54" s="31"/>
      <c r="O54" s="31"/>
      <c r="P54" s="31"/>
      <c r="Q54" s="31"/>
      <c r="R54" s="31"/>
      <c r="S54" s="31"/>
      <c r="T54" s="31"/>
      <c r="U54" s="31"/>
      <c r="V54" s="32"/>
    </row>
    <row r="55" spans="2:22" s="166" customFormat="1" x14ac:dyDescent="0.2">
      <c r="B55" s="30"/>
      <c r="C55" s="31"/>
      <c r="D55" s="31"/>
      <c r="E55" s="31"/>
      <c r="F55" s="31"/>
      <c r="G55" s="31"/>
      <c r="H55" s="31"/>
      <c r="I55" s="31"/>
      <c r="J55" s="31"/>
      <c r="K55" s="31"/>
      <c r="L55" s="31"/>
      <c r="M55" s="31"/>
      <c r="N55" s="31"/>
      <c r="O55" s="31"/>
      <c r="P55" s="31"/>
      <c r="Q55" s="31"/>
      <c r="R55" s="31"/>
      <c r="S55" s="31"/>
      <c r="T55" s="31"/>
      <c r="U55" s="31"/>
      <c r="V55" s="32"/>
    </row>
    <row r="56" spans="2:22" s="166" customFormat="1" x14ac:dyDescent="0.2">
      <c r="B56" s="30"/>
      <c r="C56" s="31"/>
      <c r="D56" s="31"/>
      <c r="E56" s="31"/>
      <c r="F56" s="31"/>
      <c r="G56" s="31"/>
      <c r="H56" s="31"/>
      <c r="I56" s="31"/>
      <c r="J56" s="31"/>
      <c r="K56" s="31"/>
      <c r="L56" s="31"/>
      <c r="M56" s="31"/>
      <c r="N56" s="31"/>
      <c r="O56" s="31"/>
      <c r="P56" s="31"/>
      <c r="Q56" s="31"/>
      <c r="R56" s="31"/>
      <c r="S56" s="31"/>
      <c r="T56" s="31"/>
      <c r="U56" s="31"/>
      <c r="V56" s="32"/>
    </row>
    <row r="57" spans="2:22" s="166" customFormat="1" x14ac:dyDescent="0.2">
      <c r="B57" s="30"/>
      <c r="C57" s="31"/>
      <c r="D57" s="31"/>
      <c r="E57" s="31"/>
      <c r="F57" s="31"/>
      <c r="G57" s="31"/>
      <c r="H57" s="31"/>
      <c r="I57" s="31"/>
      <c r="J57" s="31"/>
      <c r="K57" s="31"/>
      <c r="L57" s="31"/>
      <c r="M57" s="31"/>
      <c r="N57" s="31"/>
      <c r="O57" s="31"/>
      <c r="P57" s="31"/>
      <c r="Q57" s="31"/>
      <c r="R57" s="31"/>
      <c r="S57" s="31"/>
      <c r="T57" s="31"/>
      <c r="U57" s="31"/>
      <c r="V57" s="32"/>
    </row>
    <row r="58" spans="2:22" s="166" customFormat="1" x14ac:dyDescent="0.2">
      <c r="B58" s="30"/>
      <c r="C58" s="31"/>
      <c r="D58" s="31"/>
      <c r="E58" s="31"/>
      <c r="F58" s="31"/>
      <c r="G58" s="31"/>
      <c r="H58" s="31"/>
      <c r="I58" s="31"/>
      <c r="J58" s="31"/>
      <c r="K58" s="31"/>
      <c r="L58" s="31"/>
      <c r="M58" s="31"/>
      <c r="N58" s="31"/>
      <c r="O58" s="31"/>
      <c r="P58" s="31"/>
      <c r="Q58" s="31"/>
      <c r="R58" s="31"/>
      <c r="S58" s="31"/>
      <c r="T58" s="31"/>
      <c r="U58" s="31"/>
      <c r="V58" s="32"/>
    </row>
    <row r="59" spans="2:22" s="166" customFormat="1" x14ac:dyDescent="0.2">
      <c r="B59" s="30"/>
      <c r="C59" s="31"/>
      <c r="D59" s="31"/>
      <c r="E59" s="31"/>
      <c r="F59" s="31"/>
      <c r="G59" s="31"/>
      <c r="H59" s="31"/>
      <c r="I59" s="31"/>
      <c r="J59" s="31"/>
      <c r="K59" s="31"/>
      <c r="L59" s="31"/>
      <c r="M59" s="31"/>
      <c r="N59" s="31"/>
      <c r="O59" s="31"/>
      <c r="P59" s="31"/>
      <c r="Q59" s="31"/>
      <c r="R59" s="31"/>
      <c r="S59" s="31"/>
      <c r="T59" s="31"/>
      <c r="U59" s="31"/>
      <c r="V59" s="32"/>
    </row>
    <row r="60" spans="2:22" s="166" customFormat="1" x14ac:dyDescent="0.2">
      <c r="B60" s="30"/>
      <c r="C60" s="31"/>
      <c r="D60" s="31"/>
      <c r="E60" s="31"/>
      <c r="F60" s="31"/>
      <c r="G60" s="31"/>
      <c r="H60" s="31"/>
      <c r="I60" s="31"/>
      <c r="J60" s="31"/>
      <c r="K60" s="31"/>
      <c r="L60" s="31"/>
      <c r="M60" s="31"/>
      <c r="N60" s="31"/>
      <c r="O60" s="31"/>
      <c r="P60" s="31"/>
      <c r="Q60" s="31"/>
      <c r="R60" s="31"/>
      <c r="S60" s="31"/>
      <c r="T60" s="31"/>
      <c r="U60" s="31"/>
      <c r="V60" s="32"/>
    </row>
    <row r="61" spans="2:22" s="166" customFormat="1" x14ac:dyDescent="0.2">
      <c r="B61" s="30"/>
      <c r="C61" s="31"/>
      <c r="D61" s="31"/>
      <c r="E61" s="31"/>
      <c r="F61" s="31"/>
      <c r="G61" s="31"/>
      <c r="H61" s="31"/>
      <c r="I61" s="31"/>
      <c r="J61" s="31"/>
      <c r="K61" s="31"/>
      <c r="L61" s="31"/>
      <c r="M61" s="31"/>
      <c r="N61" s="31"/>
      <c r="O61" s="31"/>
      <c r="P61" s="31"/>
      <c r="Q61" s="31"/>
      <c r="R61" s="31"/>
      <c r="S61" s="31"/>
      <c r="T61" s="31"/>
      <c r="U61" s="31"/>
      <c r="V61" s="32"/>
    </row>
    <row r="62" spans="2:22" s="166" customFormat="1" x14ac:dyDescent="0.2">
      <c r="B62" s="30"/>
      <c r="C62" s="31"/>
      <c r="D62" s="31"/>
      <c r="E62" s="31"/>
      <c r="F62" s="31"/>
      <c r="G62" s="31"/>
      <c r="H62" s="31"/>
      <c r="I62" s="31"/>
      <c r="J62" s="31"/>
      <c r="K62" s="31"/>
      <c r="L62" s="31"/>
      <c r="M62" s="31"/>
      <c r="N62" s="31"/>
      <c r="O62" s="31"/>
      <c r="P62" s="31"/>
      <c r="Q62" s="31"/>
      <c r="R62" s="31"/>
      <c r="S62" s="31"/>
      <c r="T62" s="31"/>
      <c r="U62" s="31"/>
      <c r="V62" s="32"/>
    </row>
    <row r="63" spans="2:22" s="166" customFormat="1" x14ac:dyDescent="0.2">
      <c r="B63" s="30"/>
      <c r="C63" s="31"/>
      <c r="D63" s="31"/>
      <c r="E63" s="31"/>
      <c r="F63" s="31"/>
      <c r="G63" s="31"/>
      <c r="H63" s="31"/>
      <c r="I63" s="31"/>
      <c r="J63" s="31"/>
      <c r="K63" s="31"/>
      <c r="L63" s="31"/>
      <c r="M63" s="31"/>
      <c r="N63" s="31"/>
      <c r="O63" s="31"/>
      <c r="P63" s="31"/>
      <c r="Q63" s="31"/>
      <c r="R63" s="31"/>
      <c r="S63" s="31"/>
      <c r="T63" s="31"/>
      <c r="U63" s="31"/>
      <c r="V63" s="32"/>
    </row>
    <row r="64" spans="2:22" s="166" customFormat="1" x14ac:dyDescent="0.2">
      <c r="B64" s="30"/>
      <c r="C64" s="31"/>
      <c r="D64" s="31"/>
      <c r="E64" s="31"/>
      <c r="F64" s="31"/>
      <c r="G64" s="31"/>
      <c r="H64" s="31"/>
      <c r="I64" s="31"/>
      <c r="J64" s="31"/>
      <c r="K64" s="31"/>
      <c r="L64" s="31"/>
      <c r="M64" s="31"/>
      <c r="N64" s="31"/>
      <c r="O64" s="31"/>
      <c r="P64" s="31"/>
      <c r="Q64" s="31"/>
      <c r="R64" s="31"/>
      <c r="S64" s="31"/>
      <c r="T64" s="31"/>
      <c r="U64" s="31"/>
      <c r="V64" s="32"/>
    </row>
    <row r="65" spans="2:22" s="166" customFormat="1" x14ac:dyDescent="0.2">
      <c r="B65" s="30"/>
      <c r="C65" s="31"/>
      <c r="D65" s="31"/>
      <c r="E65" s="31"/>
      <c r="F65" s="31"/>
      <c r="G65" s="31"/>
      <c r="H65" s="31"/>
      <c r="I65" s="31"/>
      <c r="J65" s="31"/>
      <c r="K65" s="31"/>
      <c r="L65" s="31"/>
      <c r="M65" s="31"/>
      <c r="N65" s="31"/>
      <c r="O65" s="31"/>
      <c r="P65" s="31"/>
      <c r="Q65" s="31"/>
      <c r="R65" s="31"/>
      <c r="S65" s="31"/>
      <c r="T65" s="31"/>
      <c r="U65" s="31"/>
      <c r="V65" s="32"/>
    </row>
    <row r="66" spans="2:22" s="166" customFormat="1" x14ac:dyDescent="0.2">
      <c r="B66" s="30"/>
      <c r="C66" s="31"/>
      <c r="D66" s="31"/>
      <c r="E66" s="31"/>
      <c r="F66" s="31"/>
      <c r="G66" s="31"/>
      <c r="H66" s="31"/>
      <c r="I66" s="31"/>
      <c r="J66" s="31"/>
      <c r="K66" s="31"/>
      <c r="L66" s="31"/>
      <c r="M66" s="31"/>
      <c r="N66" s="31"/>
      <c r="O66" s="31"/>
      <c r="P66" s="31"/>
      <c r="Q66" s="31"/>
      <c r="R66" s="31"/>
      <c r="S66" s="31"/>
      <c r="T66" s="31"/>
      <c r="U66" s="31"/>
      <c r="V66" s="32"/>
    </row>
    <row r="67" spans="2:22" s="166" customFormat="1" x14ac:dyDescent="0.2">
      <c r="B67" s="30"/>
      <c r="C67" s="31"/>
      <c r="D67" s="31"/>
      <c r="E67" s="31"/>
      <c r="F67" s="31"/>
      <c r="G67" s="31"/>
      <c r="H67" s="31"/>
      <c r="I67" s="31"/>
      <c r="J67" s="31"/>
      <c r="K67" s="31"/>
      <c r="L67" s="31"/>
      <c r="M67" s="31"/>
      <c r="N67" s="31"/>
      <c r="O67" s="31"/>
      <c r="P67" s="31"/>
      <c r="Q67" s="31"/>
      <c r="R67" s="31"/>
      <c r="S67" s="31"/>
      <c r="T67" s="31"/>
      <c r="U67" s="31"/>
      <c r="V67" s="32"/>
    </row>
    <row r="68" spans="2:22" s="166" customFormat="1" x14ac:dyDescent="0.2">
      <c r="B68" s="30"/>
      <c r="C68" s="31"/>
      <c r="D68" s="31"/>
      <c r="E68" s="31"/>
      <c r="F68" s="31"/>
      <c r="G68" s="31"/>
      <c r="H68" s="31"/>
      <c r="I68" s="31"/>
      <c r="J68" s="31"/>
      <c r="K68" s="31"/>
      <c r="L68" s="31"/>
      <c r="M68" s="31"/>
      <c r="N68" s="31"/>
      <c r="O68" s="31"/>
      <c r="P68" s="31"/>
      <c r="Q68" s="31"/>
      <c r="R68" s="31"/>
      <c r="S68" s="31"/>
      <c r="T68" s="31"/>
      <c r="U68" s="31"/>
      <c r="V68" s="32"/>
    </row>
    <row r="69" spans="2:22" s="166" customFormat="1" x14ac:dyDescent="0.2">
      <c r="B69" s="30"/>
      <c r="C69" s="31"/>
      <c r="D69" s="31"/>
      <c r="E69" s="31"/>
      <c r="F69" s="31"/>
      <c r="G69" s="31"/>
      <c r="H69" s="31"/>
      <c r="I69" s="31"/>
      <c r="J69" s="31"/>
      <c r="K69" s="31"/>
      <c r="L69" s="31"/>
      <c r="M69" s="31"/>
      <c r="N69" s="31"/>
      <c r="O69" s="31"/>
      <c r="P69" s="31"/>
      <c r="Q69" s="31"/>
      <c r="R69" s="31"/>
      <c r="S69" s="31"/>
      <c r="T69" s="31"/>
      <c r="U69" s="31"/>
      <c r="V69" s="32"/>
    </row>
    <row r="70" spans="2:22" s="166" customFormat="1" x14ac:dyDescent="0.2">
      <c r="B70" s="30"/>
      <c r="C70" s="31"/>
      <c r="D70" s="31"/>
      <c r="E70" s="31"/>
      <c r="F70" s="31"/>
      <c r="G70" s="31"/>
      <c r="H70" s="31"/>
      <c r="I70" s="31"/>
      <c r="J70" s="31"/>
      <c r="K70" s="31"/>
      <c r="L70" s="31"/>
      <c r="M70" s="31"/>
      <c r="N70" s="31"/>
      <c r="O70" s="31"/>
      <c r="P70" s="31"/>
      <c r="Q70" s="31"/>
      <c r="R70" s="31"/>
      <c r="S70" s="31"/>
      <c r="T70" s="31"/>
      <c r="U70" s="31"/>
      <c r="V70" s="32"/>
    </row>
    <row r="71" spans="2:22" s="166" customFormat="1" x14ac:dyDescent="0.2">
      <c r="B71" s="30"/>
      <c r="C71" s="31"/>
      <c r="D71" s="31"/>
      <c r="E71" s="31"/>
      <c r="F71" s="31"/>
      <c r="G71" s="31"/>
      <c r="H71" s="31"/>
      <c r="I71" s="31"/>
      <c r="J71" s="31"/>
      <c r="K71" s="31"/>
      <c r="L71" s="31"/>
      <c r="M71" s="31"/>
      <c r="N71" s="31"/>
      <c r="O71" s="31"/>
      <c r="P71" s="31"/>
      <c r="Q71" s="31"/>
      <c r="R71" s="31"/>
      <c r="S71" s="31"/>
      <c r="T71" s="31"/>
      <c r="U71" s="31"/>
      <c r="V71" s="32"/>
    </row>
    <row r="72" spans="2:22" s="166" customFormat="1" x14ac:dyDescent="0.2">
      <c r="B72" s="30"/>
      <c r="C72" s="31"/>
      <c r="D72" s="31"/>
      <c r="E72" s="31"/>
      <c r="F72" s="31"/>
      <c r="G72" s="31"/>
      <c r="H72" s="31"/>
      <c r="I72" s="31"/>
      <c r="J72" s="31"/>
      <c r="K72" s="31"/>
      <c r="L72" s="31"/>
      <c r="M72" s="31"/>
      <c r="N72" s="31"/>
      <c r="O72" s="31"/>
      <c r="P72" s="31"/>
      <c r="Q72" s="31"/>
      <c r="R72" s="31"/>
      <c r="S72" s="31"/>
      <c r="T72" s="31"/>
      <c r="U72" s="31"/>
      <c r="V72" s="32"/>
    </row>
    <row r="73" spans="2:22" s="166" customFormat="1" x14ac:dyDescent="0.2">
      <c r="B73" s="30"/>
      <c r="C73" s="31"/>
      <c r="D73" s="31"/>
      <c r="E73" s="31"/>
      <c r="F73" s="31"/>
      <c r="G73" s="31"/>
      <c r="H73" s="31"/>
      <c r="I73" s="31"/>
      <c r="J73" s="31"/>
      <c r="K73" s="31"/>
      <c r="L73" s="31"/>
      <c r="M73" s="31"/>
      <c r="N73" s="31"/>
      <c r="O73" s="31"/>
      <c r="P73" s="31"/>
      <c r="Q73" s="31"/>
      <c r="R73" s="31"/>
      <c r="S73" s="31"/>
      <c r="T73" s="31"/>
      <c r="U73" s="31"/>
      <c r="V73" s="32"/>
    </row>
    <row r="74" spans="2:22" s="166" customFormat="1" x14ac:dyDescent="0.2">
      <c r="B74" s="30"/>
      <c r="C74" s="31"/>
      <c r="D74" s="31"/>
      <c r="E74" s="31"/>
      <c r="F74" s="31"/>
      <c r="G74" s="31"/>
      <c r="H74" s="31"/>
      <c r="I74" s="31"/>
      <c r="J74" s="31"/>
      <c r="K74" s="31"/>
      <c r="L74" s="31"/>
      <c r="M74" s="31"/>
      <c r="N74" s="31"/>
      <c r="O74" s="31"/>
      <c r="P74" s="31"/>
      <c r="Q74" s="31"/>
      <c r="R74" s="31"/>
      <c r="S74" s="31"/>
      <c r="T74" s="31"/>
      <c r="U74" s="31"/>
      <c r="V74" s="32"/>
    </row>
    <row r="75" spans="2:22" s="166" customFormat="1" x14ac:dyDescent="0.2">
      <c r="B75" s="30"/>
      <c r="C75" s="31"/>
      <c r="D75" s="31"/>
      <c r="E75" s="31"/>
      <c r="F75" s="31"/>
      <c r="G75" s="31"/>
      <c r="H75" s="31"/>
      <c r="I75" s="31"/>
      <c r="J75" s="31"/>
      <c r="K75" s="31"/>
      <c r="L75" s="31"/>
      <c r="M75" s="31"/>
      <c r="N75" s="31"/>
      <c r="O75" s="31"/>
      <c r="P75" s="31"/>
      <c r="Q75" s="31"/>
      <c r="R75" s="31"/>
      <c r="S75" s="31"/>
      <c r="T75" s="31"/>
      <c r="U75" s="31"/>
      <c r="V75" s="32"/>
    </row>
    <row r="76" spans="2:22" s="166" customFormat="1" x14ac:dyDescent="0.2">
      <c r="B76" s="30"/>
      <c r="C76" s="31"/>
      <c r="D76" s="31"/>
      <c r="E76" s="31"/>
      <c r="F76" s="31"/>
      <c r="G76" s="31"/>
      <c r="H76" s="31"/>
      <c r="I76" s="31"/>
      <c r="J76" s="31"/>
      <c r="K76" s="31"/>
      <c r="L76" s="31"/>
      <c r="M76" s="31"/>
      <c r="N76" s="31"/>
      <c r="O76" s="31"/>
      <c r="P76" s="31"/>
      <c r="Q76" s="31"/>
      <c r="R76" s="31"/>
      <c r="S76" s="31"/>
      <c r="T76" s="31"/>
      <c r="U76" s="31"/>
      <c r="V76" s="32"/>
    </row>
    <row r="77" spans="2:22" s="166" customFormat="1" x14ac:dyDescent="0.2">
      <c r="B77" s="30"/>
      <c r="C77" s="31"/>
      <c r="D77" s="31"/>
      <c r="E77" s="31"/>
      <c r="F77" s="31"/>
      <c r="G77" s="31"/>
      <c r="H77" s="31"/>
      <c r="I77" s="31"/>
      <c r="J77" s="31"/>
      <c r="K77" s="31"/>
      <c r="L77" s="31"/>
      <c r="M77" s="31"/>
      <c r="N77" s="31"/>
      <c r="O77" s="31"/>
      <c r="P77" s="31"/>
      <c r="Q77" s="31"/>
      <c r="R77" s="31"/>
      <c r="S77" s="31"/>
      <c r="T77" s="31"/>
      <c r="U77" s="31"/>
      <c r="V77" s="32"/>
    </row>
    <row r="78" spans="2:22" s="166" customFormat="1" x14ac:dyDescent="0.2">
      <c r="B78" s="30"/>
      <c r="C78" s="31"/>
      <c r="D78" s="31"/>
      <c r="E78" s="31"/>
      <c r="F78" s="31"/>
      <c r="G78" s="31"/>
      <c r="H78" s="31"/>
      <c r="I78" s="31"/>
      <c r="J78" s="31"/>
      <c r="K78" s="31"/>
      <c r="L78" s="31"/>
      <c r="M78" s="31"/>
      <c r="N78" s="31"/>
      <c r="O78" s="31"/>
      <c r="P78" s="31"/>
      <c r="Q78" s="31"/>
      <c r="R78" s="31"/>
      <c r="S78" s="31"/>
      <c r="T78" s="31"/>
      <c r="U78" s="31"/>
      <c r="V78" s="32"/>
    </row>
    <row r="79" spans="2:22" s="166" customFormat="1" x14ac:dyDescent="0.2">
      <c r="B79" s="30"/>
      <c r="C79" s="31"/>
      <c r="D79" s="31"/>
      <c r="E79" s="31"/>
      <c r="F79" s="31"/>
      <c r="G79" s="31"/>
      <c r="H79" s="31"/>
      <c r="I79" s="31"/>
      <c r="J79" s="31"/>
      <c r="K79" s="31"/>
      <c r="L79" s="31"/>
      <c r="M79" s="31"/>
      <c r="N79" s="31"/>
      <c r="O79" s="31"/>
      <c r="P79" s="31"/>
      <c r="Q79" s="31"/>
      <c r="R79" s="31"/>
      <c r="S79" s="31"/>
      <c r="T79" s="31"/>
      <c r="U79" s="31"/>
      <c r="V79" s="32"/>
    </row>
    <row r="80" spans="2:22" s="166" customFormat="1" x14ac:dyDescent="0.2">
      <c r="B80" s="30"/>
      <c r="C80" s="31"/>
      <c r="D80" s="31"/>
      <c r="E80" s="31"/>
      <c r="F80" s="31"/>
      <c r="G80" s="31"/>
      <c r="H80" s="31"/>
      <c r="I80" s="31"/>
      <c r="J80" s="31"/>
      <c r="K80" s="31"/>
      <c r="L80" s="31"/>
      <c r="M80" s="31"/>
      <c r="N80" s="31"/>
      <c r="O80" s="31"/>
      <c r="P80" s="31"/>
      <c r="Q80" s="31"/>
      <c r="R80" s="31"/>
      <c r="S80" s="31"/>
      <c r="T80" s="31"/>
      <c r="U80" s="31"/>
      <c r="V80" s="32"/>
    </row>
    <row r="81" spans="2:22" s="166" customFormat="1" x14ac:dyDescent="0.2">
      <c r="B81" s="30"/>
      <c r="C81" s="31"/>
      <c r="D81" s="31"/>
      <c r="E81" s="31"/>
      <c r="F81" s="31"/>
      <c r="G81" s="31"/>
      <c r="H81" s="31"/>
      <c r="I81" s="31"/>
      <c r="J81" s="31"/>
      <c r="K81" s="31"/>
      <c r="L81" s="31"/>
      <c r="M81" s="31"/>
      <c r="N81" s="31"/>
      <c r="O81" s="31"/>
      <c r="P81" s="31"/>
      <c r="Q81" s="31"/>
      <c r="R81" s="31"/>
      <c r="S81" s="31"/>
      <c r="T81" s="31"/>
      <c r="U81" s="31"/>
      <c r="V81" s="32"/>
    </row>
    <row r="82" spans="2:22" s="166" customFormat="1" x14ac:dyDescent="0.2">
      <c r="B82" s="30"/>
      <c r="C82" s="31"/>
      <c r="D82" s="31"/>
      <c r="E82" s="31"/>
      <c r="F82" s="31"/>
      <c r="G82" s="31"/>
      <c r="H82" s="31"/>
      <c r="I82" s="31"/>
      <c r="J82" s="31"/>
      <c r="K82" s="31"/>
      <c r="L82" s="31"/>
      <c r="M82" s="31"/>
      <c r="N82" s="31"/>
      <c r="O82" s="31"/>
      <c r="P82" s="31"/>
      <c r="Q82" s="31"/>
      <c r="R82" s="31"/>
      <c r="S82" s="31"/>
      <c r="T82" s="31"/>
      <c r="U82" s="31"/>
      <c r="V82" s="32"/>
    </row>
    <row r="83" spans="2:22" s="166" customFormat="1" x14ac:dyDescent="0.2">
      <c r="B83" s="30"/>
      <c r="C83" s="31"/>
      <c r="D83" s="31"/>
      <c r="E83" s="31"/>
      <c r="F83" s="31"/>
      <c r="G83" s="31"/>
      <c r="H83" s="31"/>
      <c r="I83" s="31"/>
      <c r="J83" s="31"/>
      <c r="K83" s="31"/>
      <c r="L83" s="31"/>
      <c r="M83" s="31"/>
      <c r="N83" s="31"/>
      <c r="O83" s="31"/>
      <c r="P83" s="31"/>
      <c r="Q83" s="31"/>
      <c r="R83" s="31"/>
      <c r="S83" s="31"/>
      <c r="T83" s="31"/>
      <c r="U83" s="31"/>
      <c r="V83" s="32"/>
    </row>
    <row r="84" spans="2:22" s="166" customFormat="1" x14ac:dyDescent="0.2">
      <c r="B84" s="30"/>
      <c r="C84" s="31"/>
      <c r="D84" s="31"/>
      <c r="E84" s="31"/>
      <c r="F84" s="31"/>
      <c r="G84" s="31"/>
      <c r="H84" s="31"/>
      <c r="I84" s="31"/>
      <c r="J84" s="31"/>
      <c r="K84" s="31"/>
      <c r="L84" s="31"/>
      <c r="M84" s="31"/>
      <c r="N84" s="31"/>
      <c r="O84" s="31"/>
      <c r="P84" s="31"/>
      <c r="Q84" s="31"/>
      <c r="R84" s="31"/>
      <c r="S84" s="31"/>
      <c r="T84" s="31"/>
      <c r="U84" s="31"/>
      <c r="V84" s="32"/>
    </row>
    <row r="85" spans="2:22" s="166" customFormat="1" x14ac:dyDescent="0.2">
      <c r="B85" s="30"/>
      <c r="C85" s="31"/>
      <c r="D85" s="31"/>
      <c r="E85" s="31"/>
      <c r="F85" s="31"/>
      <c r="G85" s="31"/>
      <c r="H85" s="31"/>
      <c r="I85" s="31"/>
      <c r="J85" s="31"/>
      <c r="K85" s="31"/>
      <c r="L85" s="31"/>
      <c r="M85" s="31"/>
      <c r="N85" s="31"/>
      <c r="O85" s="31"/>
      <c r="P85" s="31"/>
      <c r="Q85" s="31"/>
      <c r="R85" s="31"/>
      <c r="S85" s="31"/>
      <c r="T85" s="31"/>
      <c r="U85" s="31"/>
      <c r="V85" s="32"/>
    </row>
    <row r="86" spans="2:22" s="166" customFormat="1" x14ac:dyDescent="0.2">
      <c r="B86" s="30"/>
      <c r="C86" s="31"/>
      <c r="D86" s="31"/>
      <c r="E86" s="31"/>
      <c r="F86" s="31"/>
      <c r="G86" s="31"/>
      <c r="H86" s="31"/>
      <c r="I86" s="31"/>
      <c r="J86" s="31"/>
      <c r="K86" s="31"/>
      <c r="L86" s="31"/>
      <c r="M86" s="31"/>
      <c r="N86" s="31"/>
      <c r="O86" s="31"/>
      <c r="P86" s="31"/>
      <c r="Q86" s="31"/>
      <c r="R86" s="31"/>
      <c r="S86" s="31"/>
      <c r="T86" s="31"/>
      <c r="U86" s="31"/>
      <c r="V86" s="32"/>
    </row>
    <row r="87" spans="2:22" s="166" customFormat="1" x14ac:dyDescent="0.2">
      <c r="B87" s="30"/>
      <c r="C87" s="31"/>
      <c r="D87" s="31"/>
      <c r="E87" s="31"/>
      <c r="F87" s="31"/>
      <c r="G87" s="31"/>
      <c r="H87" s="31"/>
      <c r="I87" s="31"/>
      <c r="J87" s="31"/>
      <c r="K87" s="31"/>
      <c r="L87" s="31"/>
      <c r="M87" s="31"/>
      <c r="N87" s="31"/>
      <c r="O87" s="31"/>
      <c r="P87" s="31"/>
      <c r="Q87" s="31"/>
      <c r="R87" s="31"/>
      <c r="S87" s="31"/>
      <c r="T87" s="31"/>
      <c r="U87" s="31"/>
      <c r="V87" s="32"/>
    </row>
    <row r="88" spans="2:22" s="166" customFormat="1" x14ac:dyDescent="0.2">
      <c r="B88" s="30"/>
      <c r="C88" s="31"/>
      <c r="D88" s="31"/>
      <c r="E88" s="31"/>
      <c r="F88" s="31"/>
      <c r="G88" s="31"/>
      <c r="H88" s="31"/>
      <c r="I88" s="31"/>
      <c r="J88" s="31"/>
      <c r="K88" s="31"/>
      <c r="L88" s="31"/>
      <c r="M88" s="31"/>
      <c r="N88" s="31"/>
      <c r="O88" s="31"/>
      <c r="P88" s="31"/>
      <c r="Q88" s="31"/>
      <c r="R88" s="31"/>
      <c r="S88" s="31"/>
      <c r="T88" s="31"/>
      <c r="U88" s="31"/>
      <c r="V88" s="32"/>
    </row>
    <row r="89" spans="2:22" s="166" customFormat="1" x14ac:dyDescent="0.2">
      <c r="B89" s="30"/>
      <c r="C89" s="31"/>
      <c r="D89" s="31"/>
      <c r="E89" s="31"/>
      <c r="F89" s="31"/>
      <c r="G89" s="31"/>
      <c r="H89" s="31"/>
      <c r="I89" s="31"/>
      <c r="J89" s="31"/>
      <c r="K89" s="31"/>
      <c r="L89" s="31"/>
      <c r="M89" s="31"/>
      <c r="N89" s="31"/>
      <c r="O89" s="31"/>
      <c r="P89" s="31"/>
      <c r="Q89" s="31"/>
      <c r="R89" s="31"/>
      <c r="S89" s="31"/>
      <c r="T89" s="31"/>
      <c r="U89" s="31"/>
      <c r="V89" s="32"/>
    </row>
    <row r="90" spans="2:22" s="166" customFormat="1" x14ac:dyDescent="0.2">
      <c r="B90" s="30"/>
      <c r="C90" s="31"/>
      <c r="D90" s="31"/>
      <c r="E90" s="31"/>
      <c r="F90" s="31"/>
      <c r="G90" s="31"/>
      <c r="H90" s="31"/>
      <c r="I90" s="31"/>
      <c r="J90" s="31"/>
      <c r="K90" s="31"/>
      <c r="L90" s="31"/>
      <c r="M90" s="31"/>
      <c r="N90" s="31"/>
      <c r="O90" s="31"/>
      <c r="P90" s="31"/>
      <c r="Q90" s="31"/>
      <c r="R90" s="31"/>
      <c r="S90" s="31"/>
      <c r="T90" s="31"/>
      <c r="U90" s="31"/>
      <c r="V90" s="32"/>
    </row>
    <row r="91" spans="2:22" s="166" customFormat="1" x14ac:dyDescent="0.2">
      <c r="B91" s="30"/>
      <c r="C91" s="31"/>
      <c r="D91" s="31"/>
      <c r="E91" s="31"/>
      <c r="F91" s="31"/>
      <c r="G91" s="31"/>
      <c r="H91" s="31"/>
      <c r="I91" s="31"/>
      <c r="J91" s="31"/>
      <c r="K91" s="31"/>
      <c r="L91" s="31"/>
      <c r="M91" s="31"/>
      <c r="N91" s="31"/>
      <c r="O91" s="31"/>
      <c r="P91" s="31"/>
      <c r="Q91" s="31"/>
      <c r="R91" s="31"/>
      <c r="S91" s="31"/>
      <c r="T91" s="31"/>
      <c r="U91" s="31"/>
      <c r="V91" s="32"/>
    </row>
    <row r="92" spans="2:22" s="166" customFormat="1" x14ac:dyDescent="0.2">
      <c r="B92" s="30"/>
      <c r="C92" s="31"/>
      <c r="D92" s="31"/>
      <c r="E92" s="31"/>
      <c r="F92" s="31"/>
      <c r="G92" s="31"/>
      <c r="H92" s="31"/>
      <c r="I92" s="31"/>
      <c r="J92" s="31"/>
      <c r="K92" s="31"/>
      <c r="L92" s="31"/>
      <c r="M92" s="31"/>
      <c r="N92" s="31"/>
      <c r="O92" s="31"/>
      <c r="P92" s="31"/>
      <c r="Q92" s="31"/>
      <c r="R92" s="31"/>
      <c r="S92" s="31"/>
      <c r="T92" s="31"/>
      <c r="U92" s="31"/>
      <c r="V92" s="32"/>
    </row>
    <row r="93" spans="2:22" s="166" customFormat="1" x14ac:dyDescent="0.2">
      <c r="B93" s="30"/>
      <c r="C93" s="31"/>
      <c r="D93" s="31"/>
      <c r="E93" s="31"/>
      <c r="F93" s="31"/>
      <c r="G93" s="31"/>
      <c r="H93" s="31"/>
      <c r="I93" s="31"/>
      <c r="J93" s="31"/>
      <c r="K93" s="31"/>
      <c r="L93" s="31"/>
      <c r="M93" s="31"/>
      <c r="N93" s="31"/>
      <c r="O93" s="31"/>
      <c r="P93" s="31"/>
      <c r="Q93" s="31"/>
      <c r="R93" s="31"/>
      <c r="S93" s="31"/>
      <c r="T93" s="31"/>
      <c r="U93" s="31"/>
      <c r="V93" s="32"/>
    </row>
    <row r="94" spans="2:22" s="166" customFormat="1" x14ac:dyDescent="0.2">
      <c r="B94" s="30"/>
      <c r="C94" s="31"/>
      <c r="D94" s="31"/>
      <c r="E94" s="31"/>
      <c r="F94" s="31"/>
      <c r="G94" s="31"/>
      <c r="H94" s="31"/>
      <c r="I94" s="31"/>
      <c r="J94" s="31"/>
      <c r="K94" s="31"/>
      <c r="L94" s="31"/>
      <c r="M94" s="31"/>
      <c r="N94" s="31"/>
      <c r="O94" s="31"/>
      <c r="P94" s="31"/>
      <c r="Q94" s="31"/>
      <c r="R94" s="31"/>
      <c r="S94" s="31"/>
      <c r="T94" s="31"/>
      <c r="U94" s="31"/>
      <c r="V94" s="32"/>
    </row>
    <row r="95" spans="2:22" s="166" customFormat="1" x14ac:dyDescent="0.2">
      <c r="B95" s="30"/>
      <c r="C95" s="31"/>
      <c r="D95" s="31"/>
      <c r="E95" s="31"/>
      <c r="F95" s="31"/>
      <c r="G95" s="31"/>
      <c r="H95" s="31"/>
      <c r="I95" s="31"/>
      <c r="J95" s="31"/>
      <c r="K95" s="31"/>
      <c r="L95" s="31"/>
      <c r="M95" s="31"/>
      <c r="N95" s="31"/>
      <c r="O95" s="31"/>
      <c r="P95" s="31"/>
      <c r="Q95" s="31"/>
      <c r="R95" s="31"/>
      <c r="S95" s="31"/>
      <c r="T95" s="31"/>
      <c r="U95" s="31"/>
      <c r="V95" s="32"/>
    </row>
    <row r="96" spans="2:22" s="166" customFormat="1" x14ac:dyDescent="0.2">
      <c r="B96" s="30"/>
      <c r="C96" s="31"/>
      <c r="D96" s="31"/>
      <c r="E96" s="31"/>
      <c r="F96" s="31"/>
      <c r="G96" s="31"/>
      <c r="H96" s="31"/>
      <c r="I96" s="31"/>
      <c r="J96" s="31"/>
      <c r="K96" s="31"/>
      <c r="L96" s="31"/>
      <c r="M96" s="31"/>
      <c r="N96" s="31"/>
      <c r="O96" s="31"/>
      <c r="P96" s="31"/>
      <c r="Q96" s="31"/>
      <c r="R96" s="31"/>
      <c r="S96" s="31"/>
      <c r="T96" s="31"/>
      <c r="U96" s="31"/>
      <c r="V96" s="32"/>
    </row>
    <row r="97" spans="2:22" s="166" customFormat="1" x14ac:dyDescent="0.2">
      <c r="B97" s="30"/>
      <c r="C97" s="31"/>
      <c r="D97" s="31"/>
      <c r="E97" s="31"/>
      <c r="F97" s="31"/>
      <c r="G97" s="31"/>
      <c r="H97" s="31"/>
      <c r="I97" s="31"/>
      <c r="J97" s="31"/>
      <c r="K97" s="31"/>
      <c r="L97" s="31"/>
      <c r="M97" s="31"/>
      <c r="N97" s="31"/>
      <c r="O97" s="31"/>
      <c r="P97" s="31"/>
      <c r="Q97" s="31"/>
      <c r="R97" s="31"/>
      <c r="S97" s="31"/>
      <c r="T97" s="31"/>
      <c r="U97" s="31"/>
      <c r="V97" s="32"/>
    </row>
    <row r="98" spans="2:22" s="166" customFormat="1" x14ac:dyDescent="0.2">
      <c r="B98" s="30"/>
      <c r="C98" s="31"/>
      <c r="D98" s="31"/>
      <c r="E98" s="31"/>
      <c r="F98" s="31"/>
      <c r="G98" s="31"/>
      <c r="H98" s="31"/>
      <c r="I98" s="31"/>
      <c r="J98" s="31"/>
      <c r="K98" s="31"/>
      <c r="L98" s="31"/>
      <c r="M98" s="31"/>
      <c r="N98" s="31"/>
      <c r="O98" s="31"/>
      <c r="P98" s="31"/>
      <c r="Q98" s="31"/>
      <c r="R98" s="31"/>
      <c r="S98" s="31"/>
      <c r="T98" s="31"/>
      <c r="U98" s="31"/>
      <c r="V98" s="32"/>
    </row>
    <row r="99" spans="2:22" s="166" customFormat="1" x14ac:dyDescent="0.2">
      <c r="B99" s="30"/>
      <c r="C99" s="31"/>
      <c r="D99" s="31"/>
      <c r="E99" s="31"/>
      <c r="F99" s="31"/>
      <c r="G99" s="31"/>
      <c r="H99" s="31"/>
      <c r="I99" s="31"/>
      <c r="J99" s="31"/>
      <c r="K99" s="31"/>
      <c r="L99" s="31"/>
      <c r="M99" s="31"/>
      <c r="N99" s="31"/>
      <c r="O99" s="31"/>
      <c r="P99" s="31"/>
      <c r="Q99" s="31"/>
      <c r="R99" s="31"/>
      <c r="S99" s="31"/>
      <c r="T99" s="31"/>
      <c r="U99" s="31"/>
      <c r="V99" s="32"/>
    </row>
    <row r="100" spans="2:22" s="166" customFormat="1" x14ac:dyDescent="0.2">
      <c r="B100" s="30"/>
      <c r="C100" s="31"/>
      <c r="D100" s="31"/>
      <c r="E100" s="31"/>
      <c r="F100" s="31"/>
      <c r="G100" s="31"/>
      <c r="H100" s="31"/>
      <c r="I100" s="31"/>
      <c r="J100" s="31"/>
      <c r="K100" s="31"/>
      <c r="L100" s="31"/>
      <c r="M100" s="31"/>
      <c r="N100" s="31"/>
      <c r="O100" s="31"/>
      <c r="P100" s="31"/>
      <c r="Q100" s="31"/>
      <c r="R100" s="31"/>
      <c r="S100" s="31"/>
      <c r="T100" s="31"/>
      <c r="U100" s="31"/>
      <c r="V100" s="32"/>
    </row>
    <row r="101" spans="2:22" s="166" customFormat="1" x14ac:dyDescent="0.2">
      <c r="B101" s="30"/>
      <c r="C101" s="31"/>
      <c r="D101" s="31"/>
      <c r="E101" s="31"/>
      <c r="F101" s="31"/>
      <c r="G101" s="31"/>
      <c r="H101" s="31"/>
      <c r="I101" s="31"/>
      <c r="J101" s="31"/>
      <c r="K101" s="31"/>
      <c r="L101" s="31"/>
      <c r="M101" s="31"/>
      <c r="N101" s="31"/>
      <c r="O101" s="31"/>
      <c r="P101" s="31"/>
      <c r="Q101" s="31"/>
      <c r="R101" s="31"/>
      <c r="S101" s="31"/>
      <c r="T101" s="31"/>
      <c r="U101" s="31"/>
      <c r="V101" s="32"/>
    </row>
    <row r="102" spans="2:22" s="166" customFormat="1" x14ac:dyDescent="0.2">
      <c r="B102" s="30"/>
      <c r="C102" s="31"/>
      <c r="D102" s="31"/>
      <c r="E102" s="31"/>
      <c r="F102" s="31"/>
      <c r="G102" s="31"/>
      <c r="H102" s="31"/>
      <c r="I102" s="31"/>
      <c r="J102" s="31"/>
      <c r="K102" s="31"/>
      <c r="L102" s="31"/>
      <c r="M102" s="31"/>
      <c r="N102" s="31"/>
      <c r="O102" s="31"/>
      <c r="P102" s="31"/>
      <c r="Q102" s="31"/>
      <c r="R102" s="31"/>
      <c r="S102" s="31"/>
      <c r="T102" s="31"/>
      <c r="U102" s="31"/>
      <c r="V102" s="32"/>
    </row>
    <row r="103" spans="2:22" s="166" customFormat="1" x14ac:dyDescent="0.2">
      <c r="B103" s="30"/>
      <c r="C103" s="31"/>
      <c r="D103" s="31"/>
      <c r="E103" s="31"/>
      <c r="F103" s="31"/>
      <c r="G103" s="31"/>
      <c r="H103" s="31"/>
      <c r="I103" s="31"/>
      <c r="J103" s="31"/>
      <c r="K103" s="31"/>
      <c r="L103" s="31"/>
      <c r="M103" s="31"/>
      <c r="N103" s="31"/>
      <c r="O103" s="31"/>
      <c r="P103" s="31"/>
      <c r="Q103" s="31"/>
      <c r="R103" s="31"/>
      <c r="S103" s="31"/>
      <c r="T103" s="31"/>
      <c r="U103" s="31"/>
      <c r="V103" s="32"/>
    </row>
    <row r="104" spans="2:22" s="166" customFormat="1" x14ac:dyDescent="0.2">
      <c r="B104" s="30"/>
      <c r="C104" s="31"/>
      <c r="D104" s="31"/>
      <c r="E104" s="31"/>
      <c r="F104" s="31"/>
      <c r="G104" s="31"/>
      <c r="H104" s="31"/>
      <c r="I104" s="31"/>
      <c r="J104" s="31"/>
      <c r="K104" s="31"/>
      <c r="L104" s="31"/>
      <c r="M104" s="31"/>
      <c r="N104" s="31"/>
      <c r="O104" s="31"/>
      <c r="P104" s="31"/>
      <c r="Q104" s="31"/>
      <c r="R104" s="31"/>
      <c r="S104" s="31"/>
      <c r="T104" s="31"/>
      <c r="U104" s="31"/>
      <c r="V104" s="32"/>
    </row>
    <row r="105" spans="2:22" s="166" customFormat="1" x14ac:dyDescent="0.2">
      <c r="B105" s="30"/>
      <c r="C105" s="31"/>
      <c r="D105" s="31"/>
      <c r="E105" s="31"/>
      <c r="F105" s="31"/>
      <c r="G105" s="31"/>
      <c r="H105" s="31"/>
      <c r="I105" s="31"/>
      <c r="J105" s="31"/>
      <c r="K105" s="31"/>
      <c r="L105" s="31"/>
      <c r="M105" s="31"/>
      <c r="N105" s="31"/>
      <c r="O105" s="31"/>
      <c r="P105" s="31"/>
      <c r="Q105" s="31"/>
      <c r="R105" s="31"/>
      <c r="S105" s="31"/>
      <c r="T105" s="31"/>
      <c r="U105" s="31"/>
      <c r="V105" s="32"/>
    </row>
    <row r="106" spans="2:22" s="166" customFormat="1" x14ac:dyDescent="0.2">
      <c r="B106" s="30"/>
      <c r="C106" s="31"/>
      <c r="D106" s="31"/>
      <c r="E106" s="31"/>
      <c r="F106" s="31"/>
      <c r="G106" s="31"/>
      <c r="H106" s="31"/>
      <c r="I106" s="31"/>
      <c r="J106" s="31"/>
      <c r="K106" s="31"/>
      <c r="L106" s="31"/>
      <c r="M106" s="31"/>
      <c r="N106" s="31"/>
      <c r="O106" s="31"/>
      <c r="P106" s="31"/>
      <c r="Q106" s="31"/>
      <c r="R106" s="31"/>
      <c r="S106" s="31"/>
      <c r="T106" s="31"/>
      <c r="U106" s="31"/>
      <c r="V106" s="32"/>
    </row>
    <row r="107" spans="2:22" s="166" customFormat="1" x14ac:dyDescent="0.2">
      <c r="B107" s="30"/>
      <c r="C107" s="31"/>
      <c r="D107" s="31"/>
      <c r="E107" s="31"/>
      <c r="F107" s="31"/>
      <c r="G107" s="31"/>
      <c r="H107" s="31"/>
      <c r="I107" s="31"/>
      <c r="J107" s="31"/>
      <c r="K107" s="31"/>
      <c r="L107" s="31"/>
      <c r="M107" s="31"/>
      <c r="N107" s="31"/>
      <c r="O107" s="31"/>
      <c r="P107" s="31"/>
      <c r="Q107" s="31"/>
      <c r="R107" s="31"/>
      <c r="S107" s="31"/>
      <c r="T107" s="31"/>
      <c r="U107" s="31"/>
      <c r="V107" s="32"/>
    </row>
    <row r="108" spans="2:22" s="166" customFormat="1" x14ac:dyDescent="0.2">
      <c r="B108" s="30"/>
      <c r="C108" s="31"/>
      <c r="D108" s="31"/>
      <c r="E108" s="31"/>
      <c r="F108" s="31"/>
      <c r="G108" s="31"/>
      <c r="H108" s="31"/>
      <c r="I108" s="31"/>
      <c r="J108" s="31"/>
      <c r="K108" s="31"/>
      <c r="L108" s="31"/>
      <c r="M108" s="31"/>
      <c r="N108" s="31"/>
      <c r="O108" s="31"/>
      <c r="P108" s="31"/>
      <c r="Q108" s="31"/>
      <c r="R108" s="31"/>
      <c r="S108" s="31"/>
      <c r="T108" s="31"/>
      <c r="U108" s="31"/>
      <c r="V108" s="32"/>
    </row>
    <row r="109" spans="2:22" s="166" customFormat="1" x14ac:dyDescent="0.2">
      <c r="B109" s="30"/>
      <c r="C109" s="31"/>
      <c r="D109" s="31"/>
      <c r="E109" s="31"/>
      <c r="F109" s="31"/>
      <c r="G109" s="31"/>
      <c r="H109" s="31"/>
      <c r="I109" s="31"/>
      <c r="J109" s="31"/>
      <c r="K109" s="31"/>
      <c r="L109" s="31"/>
      <c r="M109" s="31"/>
      <c r="N109" s="31"/>
      <c r="O109" s="31"/>
      <c r="P109" s="31"/>
      <c r="Q109" s="31"/>
      <c r="R109" s="31"/>
      <c r="S109" s="31"/>
      <c r="T109" s="31"/>
      <c r="U109" s="31"/>
      <c r="V109" s="32"/>
    </row>
    <row r="110" spans="2:22" s="166" customFormat="1" x14ac:dyDescent="0.2">
      <c r="B110" s="30"/>
      <c r="C110" s="31"/>
      <c r="D110" s="31"/>
      <c r="E110" s="31"/>
      <c r="F110" s="31"/>
      <c r="G110" s="31"/>
      <c r="H110" s="31"/>
      <c r="I110" s="31"/>
      <c r="J110" s="31"/>
      <c r="K110" s="31"/>
      <c r="L110" s="31"/>
      <c r="M110" s="31"/>
      <c r="N110" s="31"/>
      <c r="O110" s="31"/>
      <c r="P110" s="31"/>
      <c r="Q110" s="31"/>
      <c r="R110" s="31"/>
      <c r="S110" s="31"/>
      <c r="T110" s="31"/>
      <c r="U110" s="31"/>
      <c r="V110" s="32"/>
    </row>
    <row r="111" spans="2:22" s="166" customFormat="1" x14ac:dyDescent="0.2">
      <c r="B111" s="30"/>
      <c r="C111" s="31"/>
      <c r="D111" s="31"/>
      <c r="E111" s="31"/>
      <c r="F111" s="31"/>
      <c r="G111" s="31"/>
      <c r="H111" s="31"/>
      <c r="I111" s="31"/>
      <c r="J111" s="31"/>
      <c r="K111" s="31"/>
      <c r="L111" s="31"/>
      <c r="M111" s="31"/>
      <c r="N111" s="31"/>
      <c r="O111" s="31"/>
      <c r="P111" s="31"/>
      <c r="Q111" s="31"/>
      <c r="R111" s="31"/>
      <c r="S111" s="31"/>
      <c r="T111" s="31"/>
      <c r="U111" s="31"/>
      <c r="V111" s="32"/>
    </row>
    <row r="112" spans="2:22" s="166" customFormat="1" x14ac:dyDescent="0.2">
      <c r="B112" s="30"/>
      <c r="C112" s="31"/>
      <c r="D112" s="31"/>
      <c r="E112" s="31"/>
      <c r="F112" s="31"/>
      <c r="G112" s="31"/>
      <c r="H112" s="31"/>
      <c r="I112" s="31"/>
      <c r="J112" s="31"/>
      <c r="K112" s="31"/>
      <c r="L112" s="31"/>
      <c r="M112" s="31"/>
      <c r="N112" s="31"/>
      <c r="O112" s="31"/>
      <c r="P112" s="31"/>
      <c r="Q112" s="31"/>
      <c r="R112" s="31"/>
      <c r="S112" s="31"/>
      <c r="T112" s="31"/>
      <c r="U112" s="31"/>
      <c r="V112" s="32"/>
    </row>
    <row r="113" spans="2:22" s="166" customFormat="1" x14ac:dyDescent="0.2">
      <c r="B113" s="30"/>
      <c r="C113" s="31"/>
      <c r="D113" s="31"/>
      <c r="E113" s="31"/>
      <c r="F113" s="31"/>
      <c r="G113" s="31"/>
      <c r="H113" s="31"/>
      <c r="I113" s="31"/>
      <c r="J113" s="31"/>
      <c r="K113" s="31"/>
      <c r="L113" s="31"/>
      <c r="M113" s="31"/>
      <c r="N113" s="31"/>
      <c r="O113" s="31"/>
      <c r="P113" s="31"/>
      <c r="Q113" s="31"/>
      <c r="R113" s="31"/>
      <c r="S113" s="31"/>
      <c r="T113" s="31"/>
      <c r="U113" s="31"/>
      <c r="V113" s="32"/>
    </row>
    <row r="114" spans="2:22" s="166" customFormat="1" x14ac:dyDescent="0.2">
      <c r="B114" s="30"/>
      <c r="C114" s="31"/>
      <c r="D114" s="31"/>
      <c r="E114" s="31"/>
      <c r="F114" s="31"/>
      <c r="G114" s="31"/>
      <c r="H114" s="31"/>
      <c r="I114" s="31"/>
      <c r="J114" s="31"/>
      <c r="K114" s="31"/>
      <c r="L114" s="31"/>
      <c r="M114" s="31"/>
      <c r="N114" s="31"/>
      <c r="O114" s="31"/>
      <c r="P114" s="31"/>
      <c r="Q114" s="31"/>
      <c r="R114" s="31"/>
      <c r="S114" s="31"/>
      <c r="T114" s="31"/>
      <c r="U114" s="31"/>
      <c r="V114" s="32"/>
    </row>
    <row r="115" spans="2:22" s="166" customFormat="1" x14ac:dyDescent="0.2">
      <c r="B115" s="30"/>
      <c r="C115" s="31"/>
      <c r="D115" s="31"/>
      <c r="E115" s="31"/>
      <c r="F115" s="31"/>
      <c r="G115" s="31"/>
      <c r="H115" s="31"/>
      <c r="I115" s="31"/>
      <c r="J115" s="31"/>
      <c r="K115" s="31"/>
      <c r="L115" s="31"/>
      <c r="M115" s="31"/>
      <c r="N115" s="31"/>
      <c r="O115" s="31"/>
      <c r="P115" s="31"/>
      <c r="Q115" s="31"/>
      <c r="R115" s="31"/>
      <c r="S115" s="31"/>
      <c r="T115" s="31"/>
      <c r="U115" s="31"/>
      <c r="V115" s="32"/>
    </row>
    <row r="116" spans="2:22" s="166" customFormat="1" x14ac:dyDescent="0.2">
      <c r="B116" s="30"/>
      <c r="C116" s="31"/>
      <c r="D116" s="31"/>
      <c r="E116" s="31"/>
      <c r="F116" s="31"/>
      <c r="G116" s="31"/>
      <c r="H116" s="31"/>
      <c r="I116" s="31"/>
      <c r="J116" s="31"/>
      <c r="K116" s="31"/>
      <c r="L116" s="31"/>
      <c r="M116" s="31"/>
      <c r="N116" s="31"/>
      <c r="O116" s="31"/>
      <c r="P116" s="31"/>
      <c r="Q116" s="31"/>
      <c r="R116" s="31"/>
      <c r="S116" s="31"/>
      <c r="T116" s="31"/>
      <c r="U116" s="31"/>
      <c r="V116" s="32"/>
    </row>
    <row r="117" spans="2:22" s="166" customFormat="1" x14ac:dyDescent="0.2">
      <c r="B117" s="30"/>
      <c r="C117" s="31"/>
      <c r="D117" s="31"/>
      <c r="E117" s="31"/>
      <c r="F117" s="31"/>
      <c r="G117" s="31"/>
      <c r="H117" s="31"/>
      <c r="I117" s="31"/>
      <c r="J117" s="31"/>
      <c r="K117" s="31"/>
      <c r="L117" s="31"/>
      <c r="M117" s="31"/>
      <c r="N117" s="31"/>
      <c r="O117" s="31"/>
      <c r="P117" s="31"/>
      <c r="Q117" s="31"/>
      <c r="R117" s="31"/>
      <c r="S117" s="31"/>
      <c r="T117" s="31"/>
      <c r="U117" s="31"/>
      <c r="V117" s="32"/>
    </row>
    <row r="118" spans="2:22" s="166" customFormat="1" x14ac:dyDescent="0.2">
      <c r="B118" s="30"/>
      <c r="C118" s="31"/>
      <c r="D118" s="31"/>
      <c r="E118" s="31"/>
      <c r="F118" s="31"/>
      <c r="G118" s="31"/>
      <c r="H118" s="31"/>
      <c r="I118" s="31"/>
      <c r="J118" s="31"/>
      <c r="K118" s="31"/>
      <c r="L118" s="31"/>
      <c r="M118" s="31"/>
      <c r="N118" s="31"/>
      <c r="O118" s="31"/>
      <c r="P118" s="31"/>
      <c r="Q118" s="31"/>
      <c r="R118" s="31"/>
      <c r="S118" s="31"/>
      <c r="T118" s="31"/>
      <c r="U118" s="31"/>
      <c r="V118" s="32"/>
    </row>
    <row r="119" spans="2:22" s="166" customFormat="1" x14ac:dyDescent="0.2">
      <c r="B119" s="30"/>
      <c r="C119" s="31"/>
      <c r="D119" s="31"/>
      <c r="E119" s="31"/>
      <c r="F119" s="31"/>
      <c r="G119" s="31"/>
      <c r="H119" s="31"/>
      <c r="I119" s="31"/>
      <c r="J119" s="31"/>
      <c r="K119" s="31"/>
      <c r="L119" s="31"/>
      <c r="M119" s="31"/>
      <c r="N119" s="31"/>
      <c r="O119" s="31"/>
      <c r="P119" s="31"/>
      <c r="Q119" s="31"/>
      <c r="R119" s="31"/>
      <c r="S119" s="31"/>
      <c r="T119" s="31"/>
      <c r="U119" s="31"/>
      <c r="V119" s="32"/>
    </row>
    <row r="120" spans="2:22" s="166" customFormat="1" x14ac:dyDescent="0.2">
      <c r="B120" s="30"/>
      <c r="C120" s="31"/>
      <c r="D120" s="31"/>
      <c r="E120" s="31"/>
      <c r="F120" s="31"/>
      <c r="G120" s="31"/>
      <c r="H120" s="31"/>
      <c r="I120" s="31"/>
      <c r="J120" s="31"/>
      <c r="K120" s="31"/>
      <c r="L120" s="31"/>
      <c r="M120" s="31"/>
      <c r="N120" s="31"/>
      <c r="O120" s="31"/>
      <c r="P120" s="31"/>
      <c r="Q120" s="31"/>
      <c r="R120" s="31"/>
      <c r="S120" s="31"/>
      <c r="T120" s="31"/>
      <c r="U120" s="31"/>
      <c r="V120" s="32"/>
    </row>
    <row r="121" spans="2:22" s="166" customFormat="1" x14ac:dyDescent="0.2">
      <c r="B121" s="30"/>
      <c r="C121" s="31"/>
      <c r="D121" s="31"/>
      <c r="E121" s="31"/>
      <c r="F121" s="31"/>
      <c r="G121" s="31"/>
      <c r="H121" s="31"/>
      <c r="I121" s="31"/>
      <c r="J121" s="31"/>
      <c r="K121" s="31"/>
      <c r="L121" s="31"/>
      <c r="M121" s="31"/>
      <c r="N121" s="31"/>
      <c r="O121" s="31"/>
      <c r="P121" s="31"/>
      <c r="Q121" s="31"/>
      <c r="R121" s="31"/>
      <c r="S121" s="31"/>
      <c r="T121" s="31"/>
      <c r="U121" s="31"/>
      <c r="V121" s="32"/>
    </row>
    <row r="122" spans="2:22" s="166" customFormat="1" x14ac:dyDescent="0.2">
      <c r="B122" s="30"/>
      <c r="C122" s="31"/>
      <c r="D122" s="31"/>
      <c r="E122" s="31"/>
      <c r="F122" s="31"/>
      <c r="G122" s="31"/>
      <c r="H122" s="31"/>
      <c r="I122" s="31"/>
      <c r="J122" s="31"/>
      <c r="K122" s="31"/>
      <c r="L122" s="31"/>
      <c r="M122" s="31"/>
      <c r="N122" s="31"/>
      <c r="O122" s="31"/>
      <c r="P122" s="31"/>
      <c r="Q122" s="31"/>
      <c r="R122" s="31"/>
      <c r="S122" s="31"/>
      <c r="T122" s="31"/>
      <c r="U122" s="31"/>
      <c r="V122" s="32"/>
    </row>
    <row r="123" spans="2:22" s="166" customFormat="1" x14ac:dyDescent="0.2">
      <c r="B123" s="30"/>
      <c r="C123" s="31"/>
      <c r="D123" s="31"/>
      <c r="E123" s="31"/>
      <c r="F123" s="31"/>
      <c r="G123" s="31"/>
      <c r="H123" s="31"/>
      <c r="I123" s="31"/>
      <c r="J123" s="31"/>
      <c r="K123" s="31"/>
      <c r="L123" s="31"/>
      <c r="M123" s="31"/>
      <c r="N123" s="31"/>
      <c r="O123" s="31"/>
      <c r="P123" s="31"/>
      <c r="Q123" s="31"/>
      <c r="R123" s="31"/>
      <c r="S123" s="31"/>
      <c r="T123" s="31"/>
      <c r="U123" s="31"/>
      <c r="V123" s="32"/>
    </row>
    <row r="124" spans="2:22" s="166" customFormat="1" x14ac:dyDescent="0.2">
      <c r="B124" s="30"/>
      <c r="C124" s="31"/>
      <c r="D124" s="31"/>
      <c r="E124" s="31"/>
      <c r="F124" s="31"/>
      <c r="G124" s="31"/>
      <c r="H124" s="31"/>
      <c r="I124" s="31"/>
      <c r="J124" s="31"/>
      <c r="K124" s="31"/>
      <c r="L124" s="31"/>
      <c r="M124" s="31"/>
      <c r="N124" s="31"/>
      <c r="O124" s="31"/>
      <c r="P124" s="31"/>
      <c r="Q124" s="31"/>
      <c r="R124" s="31"/>
      <c r="S124" s="31"/>
      <c r="T124" s="31"/>
      <c r="U124" s="31"/>
      <c r="V124" s="32"/>
    </row>
    <row r="125" spans="2:22" s="166" customFormat="1" x14ac:dyDescent="0.2">
      <c r="B125" s="30"/>
      <c r="C125" s="31"/>
      <c r="D125" s="31"/>
      <c r="E125" s="31"/>
      <c r="F125" s="31"/>
      <c r="G125" s="31"/>
      <c r="H125" s="31"/>
      <c r="I125" s="31"/>
      <c r="J125" s="31"/>
      <c r="K125" s="31"/>
      <c r="L125" s="31"/>
      <c r="M125" s="31"/>
      <c r="N125" s="31"/>
      <c r="O125" s="31"/>
      <c r="P125" s="31"/>
      <c r="Q125" s="31"/>
      <c r="R125" s="31"/>
      <c r="S125" s="31"/>
      <c r="T125" s="31"/>
      <c r="U125" s="31"/>
      <c r="V125" s="32"/>
    </row>
    <row r="126" spans="2:22" s="166" customFormat="1" x14ac:dyDescent="0.2">
      <c r="B126" s="30"/>
      <c r="C126" s="31"/>
      <c r="D126" s="31"/>
      <c r="E126" s="31"/>
      <c r="F126" s="31"/>
      <c r="G126" s="31"/>
      <c r="H126" s="31"/>
      <c r="I126" s="31"/>
      <c r="J126" s="31"/>
      <c r="K126" s="31"/>
      <c r="L126" s="31"/>
      <c r="M126" s="31"/>
      <c r="N126" s="31"/>
      <c r="O126" s="31"/>
      <c r="P126" s="31"/>
      <c r="Q126" s="31"/>
      <c r="R126" s="31"/>
      <c r="S126" s="31"/>
      <c r="T126" s="31"/>
      <c r="U126" s="31"/>
      <c r="V126" s="32"/>
    </row>
    <row r="127" spans="2:22" s="166" customFormat="1" x14ac:dyDescent="0.2">
      <c r="B127" s="30"/>
      <c r="C127" s="31"/>
      <c r="D127" s="31"/>
      <c r="E127" s="31"/>
      <c r="F127" s="31"/>
      <c r="G127" s="31"/>
      <c r="H127" s="31"/>
      <c r="I127" s="31"/>
      <c r="J127" s="31"/>
      <c r="K127" s="31"/>
      <c r="L127" s="31"/>
      <c r="M127" s="31"/>
      <c r="N127" s="31"/>
      <c r="O127" s="31"/>
      <c r="P127" s="31"/>
      <c r="Q127" s="31"/>
      <c r="R127" s="31"/>
      <c r="S127" s="31"/>
      <c r="T127" s="31"/>
      <c r="U127" s="31"/>
      <c r="V127" s="32"/>
    </row>
    <row r="128" spans="2:22" s="166" customFormat="1" x14ac:dyDescent="0.2">
      <c r="B128" s="30"/>
      <c r="C128" s="31"/>
      <c r="D128" s="31"/>
      <c r="E128" s="31"/>
      <c r="F128" s="31"/>
      <c r="G128" s="31"/>
      <c r="H128" s="31"/>
      <c r="I128" s="31"/>
      <c r="J128" s="31"/>
      <c r="K128" s="31"/>
      <c r="L128" s="31"/>
      <c r="M128" s="31"/>
      <c r="N128" s="31"/>
      <c r="O128" s="31"/>
      <c r="P128" s="31"/>
      <c r="Q128" s="31"/>
      <c r="R128" s="31"/>
      <c r="S128" s="31"/>
      <c r="T128" s="31"/>
      <c r="U128" s="31"/>
      <c r="V128" s="32"/>
    </row>
    <row r="129" spans="2:22" s="166" customFormat="1" x14ac:dyDescent="0.2">
      <c r="B129" s="30"/>
      <c r="C129" s="31"/>
      <c r="D129" s="31"/>
      <c r="E129" s="31"/>
      <c r="F129" s="31"/>
      <c r="G129" s="31"/>
      <c r="H129" s="31"/>
      <c r="I129" s="31"/>
      <c r="J129" s="31"/>
      <c r="K129" s="31"/>
      <c r="L129" s="31"/>
      <c r="M129" s="31"/>
      <c r="N129" s="31"/>
      <c r="O129" s="31"/>
      <c r="P129" s="31"/>
      <c r="Q129" s="31"/>
      <c r="R129" s="31"/>
      <c r="S129" s="31"/>
      <c r="T129" s="31"/>
      <c r="U129" s="31"/>
      <c r="V129" s="32"/>
    </row>
    <row r="130" spans="2:22" s="166" customFormat="1" x14ac:dyDescent="0.2">
      <c r="B130" s="30"/>
      <c r="C130" s="31"/>
      <c r="D130" s="31"/>
      <c r="E130" s="31"/>
      <c r="F130" s="31"/>
      <c r="G130" s="31"/>
      <c r="H130" s="31"/>
      <c r="I130" s="31"/>
      <c r="J130" s="31"/>
      <c r="K130" s="31"/>
      <c r="L130" s="31"/>
      <c r="M130" s="31"/>
      <c r="N130" s="31"/>
      <c r="O130" s="31"/>
      <c r="P130" s="31"/>
      <c r="Q130" s="31"/>
      <c r="R130" s="31"/>
      <c r="S130" s="31"/>
      <c r="T130" s="31"/>
      <c r="U130" s="31"/>
      <c r="V130" s="32"/>
    </row>
    <row r="131" spans="2:22" s="166" customFormat="1" x14ac:dyDescent="0.2">
      <c r="B131" s="30"/>
      <c r="C131" s="31"/>
      <c r="D131" s="31"/>
      <c r="E131" s="31"/>
      <c r="F131" s="31"/>
      <c r="G131" s="31"/>
      <c r="H131" s="31"/>
      <c r="I131" s="31"/>
      <c r="J131" s="31"/>
      <c r="K131" s="31"/>
      <c r="L131" s="31"/>
      <c r="M131" s="31"/>
      <c r="N131" s="31"/>
      <c r="O131" s="31"/>
      <c r="P131" s="31"/>
      <c r="Q131" s="31"/>
      <c r="R131" s="31"/>
      <c r="S131" s="31"/>
      <c r="T131" s="31"/>
      <c r="U131" s="31"/>
      <c r="V131" s="32"/>
    </row>
    <row r="132" spans="2:22" s="166" customFormat="1" x14ac:dyDescent="0.2">
      <c r="B132" s="30"/>
      <c r="C132" s="31"/>
      <c r="D132" s="31"/>
      <c r="E132" s="31"/>
      <c r="F132" s="31"/>
      <c r="G132" s="31"/>
      <c r="H132" s="31"/>
      <c r="I132" s="31"/>
      <c r="J132" s="31"/>
      <c r="K132" s="31"/>
      <c r="L132" s="31"/>
      <c r="M132" s="31"/>
      <c r="N132" s="31"/>
      <c r="O132" s="31"/>
      <c r="P132" s="31"/>
      <c r="Q132" s="31"/>
      <c r="R132" s="31"/>
      <c r="S132" s="31"/>
      <c r="T132" s="31"/>
      <c r="U132" s="31"/>
      <c r="V132" s="32"/>
    </row>
    <row r="133" spans="2:22" s="166" customFormat="1" x14ac:dyDescent="0.2">
      <c r="B133" s="30"/>
      <c r="C133" s="31"/>
      <c r="D133" s="31"/>
      <c r="E133" s="31"/>
      <c r="F133" s="31"/>
      <c r="G133" s="31"/>
      <c r="H133" s="31"/>
      <c r="I133" s="31"/>
      <c r="J133" s="31"/>
      <c r="K133" s="31"/>
      <c r="L133" s="31"/>
      <c r="M133" s="31"/>
      <c r="N133" s="31"/>
      <c r="O133" s="31"/>
      <c r="P133" s="31"/>
      <c r="Q133" s="31"/>
      <c r="R133" s="31"/>
      <c r="S133" s="31"/>
      <c r="T133" s="31"/>
      <c r="U133" s="31"/>
      <c r="V133" s="32"/>
    </row>
    <row r="134" spans="2:22" s="166" customFormat="1" x14ac:dyDescent="0.2">
      <c r="B134" s="30"/>
      <c r="C134" s="31"/>
      <c r="D134" s="31"/>
      <c r="E134" s="31"/>
      <c r="F134" s="31"/>
      <c r="G134" s="31"/>
      <c r="H134" s="31"/>
      <c r="I134" s="31"/>
      <c r="J134" s="31"/>
      <c r="K134" s="31"/>
      <c r="L134" s="31"/>
      <c r="M134" s="31"/>
      <c r="N134" s="31"/>
      <c r="O134" s="31"/>
      <c r="P134" s="31"/>
      <c r="Q134" s="31"/>
      <c r="R134" s="31"/>
      <c r="S134" s="31"/>
      <c r="T134" s="31"/>
      <c r="U134" s="31"/>
      <c r="V134" s="32"/>
    </row>
    <row r="135" spans="2:22" s="166" customFormat="1" x14ac:dyDescent="0.2">
      <c r="B135" s="30"/>
      <c r="C135" s="31"/>
      <c r="D135" s="31"/>
      <c r="E135" s="31"/>
      <c r="F135" s="31"/>
      <c r="G135" s="31"/>
      <c r="H135" s="31"/>
      <c r="I135" s="31"/>
      <c r="J135" s="31"/>
      <c r="K135" s="31"/>
      <c r="L135" s="31"/>
      <c r="M135" s="31"/>
      <c r="N135" s="31"/>
      <c r="O135" s="31"/>
      <c r="P135" s="31"/>
      <c r="Q135" s="31"/>
      <c r="R135" s="31"/>
      <c r="S135" s="31"/>
      <c r="T135" s="31"/>
      <c r="U135" s="31"/>
      <c r="V135" s="32"/>
    </row>
    <row r="136" spans="2:22" s="166" customFormat="1" x14ac:dyDescent="0.2">
      <c r="B136" s="30"/>
      <c r="C136" s="31"/>
      <c r="D136" s="31"/>
      <c r="E136" s="31"/>
      <c r="F136" s="31"/>
      <c r="G136" s="31"/>
      <c r="H136" s="31"/>
      <c r="I136" s="31"/>
      <c r="J136" s="31"/>
      <c r="K136" s="31"/>
      <c r="L136" s="31"/>
      <c r="M136" s="31"/>
      <c r="N136" s="31"/>
      <c r="O136" s="31"/>
      <c r="P136" s="31"/>
      <c r="Q136" s="31"/>
      <c r="R136" s="31"/>
      <c r="S136" s="31"/>
      <c r="T136" s="31"/>
      <c r="U136" s="31"/>
      <c r="V136" s="32"/>
    </row>
    <row r="137" spans="2:22" s="166" customFormat="1" x14ac:dyDescent="0.2">
      <c r="B137" s="30"/>
      <c r="C137" s="31"/>
      <c r="D137" s="31"/>
      <c r="E137" s="31"/>
      <c r="F137" s="31"/>
      <c r="G137" s="31"/>
      <c r="H137" s="31"/>
      <c r="I137" s="31"/>
      <c r="J137" s="31"/>
      <c r="K137" s="31"/>
      <c r="L137" s="31"/>
      <c r="M137" s="31"/>
      <c r="N137" s="31"/>
      <c r="O137" s="31"/>
      <c r="P137" s="31"/>
      <c r="Q137" s="31"/>
      <c r="R137" s="31"/>
      <c r="S137" s="31"/>
      <c r="T137" s="31"/>
      <c r="U137" s="31"/>
      <c r="V137" s="32"/>
    </row>
    <row r="138" spans="2:22" s="166" customFormat="1" x14ac:dyDescent="0.2">
      <c r="B138" s="30"/>
      <c r="C138" s="31"/>
      <c r="D138" s="31"/>
      <c r="E138" s="31"/>
      <c r="F138" s="31"/>
      <c r="G138" s="31"/>
      <c r="H138" s="31"/>
      <c r="I138" s="31"/>
      <c r="J138" s="31"/>
      <c r="K138" s="31"/>
      <c r="L138" s="31"/>
      <c r="M138" s="31"/>
      <c r="N138" s="31"/>
      <c r="O138" s="31"/>
      <c r="P138" s="31"/>
      <c r="Q138" s="31"/>
      <c r="R138" s="31"/>
      <c r="S138" s="31"/>
      <c r="T138" s="31"/>
      <c r="U138" s="31"/>
      <c r="V138" s="32"/>
    </row>
    <row r="139" spans="2:22" s="166" customFormat="1" x14ac:dyDescent="0.2">
      <c r="B139" s="30"/>
      <c r="C139" s="31"/>
      <c r="D139" s="31"/>
      <c r="E139" s="31"/>
      <c r="F139" s="31"/>
      <c r="G139" s="31"/>
      <c r="H139" s="31"/>
      <c r="I139" s="31"/>
      <c r="J139" s="31"/>
      <c r="K139" s="31"/>
      <c r="L139" s="31"/>
      <c r="M139" s="31"/>
      <c r="N139" s="31"/>
      <c r="O139" s="31"/>
      <c r="P139" s="31"/>
      <c r="Q139" s="31"/>
      <c r="R139" s="31"/>
      <c r="S139" s="31"/>
      <c r="T139" s="31"/>
      <c r="U139" s="31"/>
      <c r="V139" s="32"/>
    </row>
    <row r="140" spans="2:22" s="166" customFormat="1" x14ac:dyDescent="0.2">
      <c r="B140" s="30"/>
      <c r="C140" s="31"/>
      <c r="D140" s="31"/>
      <c r="E140" s="31"/>
      <c r="F140" s="31"/>
      <c r="G140" s="31"/>
      <c r="H140" s="31"/>
      <c r="I140" s="31"/>
      <c r="J140" s="31"/>
      <c r="K140" s="31"/>
      <c r="L140" s="31"/>
      <c r="M140" s="31"/>
      <c r="N140" s="31"/>
      <c r="O140" s="31"/>
      <c r="P140" s="31"/>
      <c r="Q140" s="31"/>
      <c r="R140" s="31"/>
      <c r="S140" s="31"/>
      <c r="T140" s="31"/>
      <c r="U140" s="31"/>
      <c r="V140" s="32"/>
    </row>
    <row r="141" spans="2:22" s="166" customFormat="1" x14ac:dyDescent="0.2">
      <c r="B141" s="30"/>
      <c r="C141" s="31"/>
      <c r="D141" s="31"/>
      <c r="E141" s="31"/>
      <c r="F141" s="31"/>
      <c r="G141" s="31"/>
      <c r="H141" s="31"/>
      <c r="I141" s="31"/>
      <c r="J141" s="31"/>
      <c r="K141" s="31"/>
      <c r="L141" s="31"/>
      <c r="M141" s="31"/>
      <c r="N141" s="31"/>
      <c r="O141" s="31"/>
      <c r="P141" s="31"/>
      <c r="Q141" s="31"/>
      <c r="R141" s="31"/>
      <c r="S141" s="31"/>
      <c r="T141" s="31"/>
      <c r="U141" s="31"/>
      <c r="V141" s="32"/>
    </row>
    <row r="142" spans="2:22" s="166" customFormat="1" x14ac:dyDescent="0.2">
      <c r="B142" s="30"/>
      <c r="C142" s="31"/>
      <c r="D142" s="31"/>
      <c r="E142" s="31"/>
      <c r="F142" s="31"/>
      <c r="G142" s="31"/>
      <c r="H142" s="31"/>
      <c r="I142" s="31"/>
      <c r="J142" s="31"/>
      <c r="K142" s="31"/>
      <c r="L142" s="31"/>
      <c r="M142" s="31"/>
      <c r="N142" s="31"/>
      <c r="O142" s="31"/>
      <c r="P142" s="31"/>
      <c r="Q142" s="31"/>
      <c r="R142" s="31"/>
      <c r="S142" s="31"/>
      <c r="T142" s="31"/>
      <c r="U142" s="31"/>
      <c r="V142" s="32"/>
    </row>
    <row r="143" spans="2:22" s="166" customFormat="1" x14ac:dyDescent="0.2">
      <c r="B143" s="30"/>
      <c r="C143" s="31"/>
      <c r="D143" s="31"/>
      <c r="E143" s="31"/>
      <c r="F143" s="31"/>
      <c r="G143" s="31"/>
      <c r="H143" s="31"/>
      <c r="I143" s="31"/>
      <c r="J143" s="31"/>
      <c r="K143" s="31"/>
      <c r="L143" s="31"/>
      <c r="M143" s="31"/>
      <c r="N143" s="31"/>
      <c r="O143" s="31"/>
      <c r="P143" s="31"/>
      <c r="Q143" s="31"/>
      <c r="R143" s="31"/>
      <c r="S143" s="31"/>
      <c r="T143" s="31"/>
      <c r="U143" s="31"/>
      <c r="V143" s="32"/>
    </row>
    <row r="144" spans="2:22" s="166" customFormat="1" x14ac:dyDescent="0.2">
      <c r="B144" s="30"/>
      <c r="C144" s="31"/>
      <c r="D144" s="31"/>
      <c r="E144" s="31"/>
      <c r="F144" s="31"/>
      <c r="G144" s="31"/>
      <c r="H144" s="31"/>
      <c r="I144" s="31"/>
      <c r="J144" s="31"/>
      <c r="K144" s="31"/>
      <c r="L144" s="31"/>
      <c r="M144" s="31"/>
      <c r="N144" s="31"/>
      <c r="O144" s="31"/>
      <c r="P144" s="31"/>
      <c r="Q144" s="31"/>
      <c r="R144" s="31"/>
      <c r="S144" s="31"/>
      <c r="T144" s="31"/>
      <c r="U144" s="31"/>
      <c r="V144" s="32"/>
    </row>
    <row r="145" spans="2:22" s="166" customFormat="1" x14ac:dyDescent="0.2">
      <c r="B145" s="30"/>
      <c r="C145" s="31"/>
      <c r="D145" s="31"/>
      <c r="E145" s="31"/>
      <c r="F145" s="31"/>
      <c r="G145" s="31"/>
      <c r="H145" s="31"/>
      <c r="I145" s="31"/>
      <c r="J145" s="31"/>
      <c r="K145" s="31"/>
      <c r="L145" s="31"/>
      <c r="M145" s="31"/>
      <c r="N145" s="31"/>
      <c r="O145" s="31"/>
      <c r="P145" s="31"/>
      <c r="Q145" s="31"/>
      <c r="R145" s="31"/>
      <c r="S145" s="31"/>
      <c r="T145" s="31"/>
      <c r="U145" s="31"/>
      <c r="V145" s="32"/>
    </row>
    <row r="146" spans="2:22" s="166" customFormat="1" x14ac:dyDescent="0.2">
      <c r="B146" s="30"/>
      <c r="C146" s="31"/>
      <c r="D146" s="31"/>
      <c r="E146" s="31"/>
      <c r="F146" s="31"/>
      <c r="G146" s="31"/>
      <c r="H146" s="31"/>
      <c r="I146" s="31"/>
      <c r="J146" s="31"/>
      <c r="K146" s="31"/>
      <c r="L146" s="31"/>
      <c r="M146" s="31"/>
      <c r="N146" s="31"/>
      <c r="O146" s="31"/>
      <c r="P146" s="31"/>
      <c r="Q146" s="31"/>
      <c r="R146" s="31"/>
      <c r="S146" s="31"/>
      <c r="T146" s="31"/>
      <c r="U146" s="31"/>
      <c r="V146" s="32"/>
    </row>
    <row r="147" spans="2:22" s="166" customFormat="1" x14ac:dyDescent="0.2">
      <c r="B147" s="38"/>
      <c r="C147" s="36"/>
      <c r="D147" s="36"/>
      <c r="E147" s="36"/>
      <c r="F147" s="36"/>
      <c r="G147" s="36"/>
      <c r="H147" s="36"/>
      <c r="I147" s="36"/>
      <c r="J147" s="36"/>
      <c r="K147" s="36"/>
      <c r="L147" s="36"/>
      <c r="M147" s="36"/>
      <c r="N147" s="36"/>
      <c r="O147" s="36"/>
      <c r="P147" s="36"/>
      <c r="Q147" s="36"/>
      <c r="R147" s="36"/>
      <c r="S147" s="36"/>
      <c r="T147" s="36"/>
      <c r="U147" s="36"/>
      <c r="V147" s="39"/>
    </row>
    <row r="148" spans="2:22" s="166" customFormat="1" x14ac:dyDescent="0.2"/>
    <row r="149" spans="2:22" s="166" customFormat="1" x14ac:dyDescent="0.2"/>
    <row r="150" spans="2:22" s="166" customFormat="1" x14ac:dyDescent="0.2"/>
    <row r="151" spans="2:22" s="166" customFormat="1" x14ac:dyDescent="0.2"/>
    <row r="152" spans="2:22" s="166" customFormat="1" x14ac:dyDescent="0.2"/>
    <row r="153" spans="2:22" s="166" customFormat="1" x14ac:dyDescent="0.2"/>
    <row r="154" spans="2:22" s="166" customFormat="1" x14ac:dyDescent="0.2"/>
    <row r="155" spans="2:22" s="166" customFormat="1" x14ac:dyDescent="0.2"/>
    <row r="156" spans="2:22" s="166" customFormat="1" x14ac:dyDescent="0.2"/>
    <row r="157" spans="2:22" s="166" customFormat="1" x14ac:dyDescent="0.2"/>
    <row r="158" spans="2:22" s="166" customFormat="1" x14ac:dyDescent="0.2"/>
    <row r="159" spans="2:22" s="166" customFormat="1" x14ac:dyDescent="0.2"/>
    <row r="160" spans="2:22"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row r="10001" s="166" customFormat="1" x14ac:dyDescent="0.2"/>
    <row r="10002" s="166" customFormat="1" x14ac:dyDescent="0.2"/>
    <row r="10003" s="166" customFormat="1" x14ac:dyDescent="0.2"/>
    <row r="10004" s="166" customFormat="1" x14ac:dyDescent="0.2"/>
    <row r="10005" s="166" customFormat="1" x14ac:dyDescent="0.2"/>
    <row r="10006" s="166" customFormat="1" x14ac:dyDescent="0.2"/>
    <row r="10007" s="166" customFormat="1" x14ac:dyDescent="0.2"/>
    <row r="10008" s="166" customFormat="1" x14ac:dyDescent="0.2"/>
    <row r="10009" s="166" customFormat="1" x14ac:dyDescent="0.2"/>
    <row r="10010" s="166" customFormat="1" x14ac:dyDescent="0.2"/>
    <row r="10011" s="166" customFormat="1" x14ac:dyDescent="0.2"/>
    <row r="10012" s="166" customFormat="1" x14ac:dyDescent="0.2"/>
    <row r="10013" s="166" customFormat="1" x14ac:dyDescent="0.2"/>
    <row r="10014" s="166" customFormat="1" x14ac:dyDescent="0.2"/>
    <row r="10015" s="166" customFormat="1" x14ac:dyDescent="0.2"/>
    <row r="10016" s="166" customFormat="1" x14ac:dyDescent="0.2"/>
    <row r="10017" s="166" customFormat="1" x14ac:dyDescent="0.2"/>
    <row r="10018" s="166" customFormat="1" x14ac:dyDescent="0.2"/>
    <row r="10019" s="166" customFormat="1" x14ac:dyDescent="0.2"/>
    <row r="10020" s="166" customFormat="1" x14ac:dyDescent="0.2"/>
    <row r="10021" s="166" customFormat="1" x14ac:dyDescent="0.2"/>
    <row r="10022" s="166" customFormat="1" x14ac:dyDescent="0.2"/>
    <row r="10023" s="166" customFormat="1" x14ac:dyDescent="0.2"/>
    <row r="10024" s="166" customFormat="1" x14ac:dyDescent="0.2"/>
    <row r="10025" s="166" customFormat="1" x14ac:dyDescent="0.2"/>
    <row r="10026" s="166" customFormat="1" x14ac:dyDescent="0.2"/>
    <row r="10027" s="166" customFormat="1" x14ac:dyDescent="0.2"/>
    <row r="10028" s="166" customFormat="1" x14ac:dyDescent="0.2"/>
    <row r="10029" s="166" customFormat="1" x14ac:dyDescent="0.2"/>
    <row r="10030" s="166" customFormat="1" x14ac:dyDescent="0.2"/>
    <row r="10031" s="166" customFormat="1" x14ac:dyDescent="0.2"/>
    <row r="10032" s="166" customFormat="1" x14ac:dyDescent="0.2"/>
    <row r="10033" s="166" customFormat="1" x14ac:dyDescent="0.2"/>
    <row r="10034" s="166" customFormat="1" x14ac:dyDescent="0.2"/>
    <row r="10035" s="166" customFormat="1" x14ac:dyDescent="0.2"/>
    <row r="10036" s="166" customFormat="1" x14ac:dyDescent="0.2"/>
    <row r="10037" s="166" customFormat="1" x14ac:dyDescent="0.2"/>
    <row r="10038" s="166" customFormat="1" x14ac:dyDescent="0.2"/>
    <row r="10039" s="166" customFormat="1" x14ac:dyDescent="0.2"/>
    <row r="10040" s="166" customFormat="1" x14ac:dyDescent="0.2"/>
    <row r="10041" s="166" customFormat="1" x14ac:dyDescent="0.2"/>
    <row r="10042" s="166" customFormat="1" x14ac:dyDescent="0.2"/>
    <row r="10043" s="166" customFormat="1" x14ac:dyDescent="0.2"/>
    <row r="10044" s="166" customFormat="1" x14ac:dyDescent="0.2"/>
    <row r="10045" s="166" customFormat="1" x14ac:dyDescent="0.2"/>
    <row r="10046" s="166" customFormat="1" x14ac:dyDescent="0.2"/>
    <row r="10047" s="166" customFormat="1" x14ac:dyDescent="0.2"/>
    <row r="10048" s="166" customFormat="1" x14ac:dyDescent="0.2"/>
    <row r="10049" s="166" customFormat="1" x14ac:dyDescent="0.2"/>
    <row r="10050" s="166" customFormat="1" x14ac:dyDescent="0.2"/>
    <row r="10051" s="166" customFormat="1" x14ac:dyDescent="0.2"/>
    <row r="10052" s="166" customFormat="1" x14ac:dyDescent="0.2"/>
    <row r="10053" s="166" customFormat="1" x14ac:dyDescent="0.2"/>
    <row r="10054" s="166" customFormat="1" x14ac:dyDescent="0.2"/>
    <row r="10055" s="166" customFormat="1" x14ac:dyDescent="0.2"/>
    <row r="10056" s="166" customFormat="1" x14ac:dyDescent="0.2"/>
    <row r="10057" s="166" customFormat="1" x14ac:dyDescent="0.2"/>
    <row r="10058" s="166" customFormat="1" x14ac:dyDescent="0.2"/>
    <row r="10059" s="166" customFormat="1" x14ac:dyDescent="0.2"/>
    <row r="10060" s="166" customFormat="1" x14ac:dyDescent="0.2"/>
    <row r="10061" s="166" customFormat="1" x14ac:dyDescent="0.2"/>
    <row r="10062" s="166" customFormat="1" x14ac:dyDescent="0.2"/>
    <row r="10063" s="166" customFormat="1" x14ac:dyDescent="0.2"/>
    <row r="10064" s="166" customFormat="1" x14ac:dyDescent="0.2"/>
    <row r="10065" s="166" customFormat="1" x14ac:dyDescent="0.2"/>
    <row r="10066" s="166" customFormat="1" x14ac:dyDescent="0.2"/>
    <row r="10067" s="166" customFormat="1" x14ac:dyDescent="0.2"/>
    <row r="10068" s="166" customFormat="1" x14ac:dyDescent="0.2"/>
    <row r="10069" s="166" customFormat="1" x14ac:dyDescent="0.2"/>
    <row r="10070" s="166" customFormat="1" x14ac:dyDescent="0.2"/>
    <row r="10071" s="166" customFormat="1" x14ac:dyDescent="0.2"/>
    <row r="10072" s="166" customFormat="1" x14ac:dyDescent="0.2"/>
    <row r="10073" s="166" customFormat="1" x14ac:dyDescent="0.2"/>
    <row r="10074" s="166" customFormat="1" x14ac:dyDescent="0.2"/>
    <row r="10075" s="166" customFormat="1" x14ac:dyDescent="0.2"/>
    <row r="10076" s="166" customFormat="1" x14ac:dyDescent="0.2"/>
    <row r="10077" s="166" customFormat="1" x14ac:dyDescent="0.2"/>
    <row r="10078" s="166" customFormat="1" x14ac:dyDescent="0.2"/>
    <row r="10079" s="166" customFormat="1" x14ac:dyDescent="0.2"/>
    <row r="10080" s="166" customFormat="1" x14ac:dyDescent="0.2"/>
    <row r="10081" s="166" customFormat="1" x14ac:dyDescent="0.2"/>
    <row r="10082" s="166" customFormat="1" x14ac:dyDescent="0.2"/>
    <row r="10083" s="166" customFormat="1" x14ac:dyDescent="0.2"/>
    <row r="10084" s="166" customFormat="1" x14ac:dyDescent="0.2"/>
    <row r="10085" s="166" customFormat="1" x14ac:dyDescent="0.2"/>
    <row r="10086" s="166" customFormat="1" x14ac:dyDescent="0.2"/>
    <row r="10087" s="166" customFormat="1" x14ac:dyDescent="0.2"/>
    <row r="10088" s="166" customFormat="1" x14ac:dyDescent="0.2"/>
    <row r="10089" s="166" customFormat="1" x14ac:dyDescent="0.2"/>
    <row r="10090" s="166" customFormat="1" x14ac:dyDescent="0.2"/>
    <row r="10091" s="166" customFormat="1" x14ac:dyDescent="0.2"/>
    <row r="10092" s="166" customFormat="1" x14ac:dyDescent="0.2"/>
    <row r="10093" s="166" customFormat="1" x14ac:dyDescent="0.2"/>
    <row r="10094" s="166" customFormat="1" x14ac:dyDescent="0.2"/>
    <row r="10095" s="166" customFormat="1" x14ac:dyDescent="0.2"/>
    <row r="10096" s="166" customFormat="1" x14ac:dyDescent="0.2"/>
    <row r="10097" s="166" customFormat="1" x14ac:dyDescent="0.2"/>
    <row r="10098" s="166" customFormat="1" x14ac:dyDescent="0.2"/>
    <row r="10099" s="166" customFormat="1" x14ac:dyDescent="0.2"/>
    <row r="10100" s="166" customFormat="1" x14ac:dyDescent="0.2"/>
    <row r="10101" s="166" customFormat="1" x14ac:dyDescent="0.2"/>
    <row r="10102" s="166" customFormat="1" x14ac:dyDescent="0.2"/>
    <row r="10103" s="166" customFormat="1" x14ac:dyDescent="0.2"/>
    <row r="10104" s="166" customFormat="1" x14ac:dyDescent="0.2"/>
    <row r="10105" s="166" customFormat="1" x14ac:dyDescent="0.2"/>
    <row r="10106" s="166" customFormat="1" x14ac:dyDescent="0.2"/>
    <row r="10107" s="166" customFormat="1" x14ac:dyDescent="0.2"/>
    <row r="10108" s="166" customFormat="1" x14ac:dyDescent="0.2"/>
    <row r="10109" s="166" customFormat="1" x14ac:dyDescent="0.2"/>
    <row r="10110" s="166" customFormat="1" x14ac:dyDescent="0.2"/>
    <row r="10111" s="166" customFormat="1" x14ac:dyDescent="0.2"/>
    <row r="10112" s="166" customFormat="1" x14ac:dyDescent="0.2"/>
    <row r="10113" s="166" customFormat="1" x14ac:dyDescent="0.2"/>
    <row r="10114" s="166" customFormat="1" x14ac:dyDescent="0.2"/>
    <row r="10115" s="166" customFormat="1" x14ac:dyDescent="0.2"/>
    <row r="10116" s="166" customFormat="1" x14ac:dyDescent="0.2"/>
    <row r="10117" s="166" customFormat="1" x14ac:dyDescent="0.2"/>
    <row r="10118" s="166" customFormat="1" x14ac:dyDescent="0.2"/>
    <row r="10119" s="166" customFormat="1" x14ac:dyDescent="0.2"/>
    <row r="10120" s="166" customFormat="1" x14ac:dyDescent="0.2"/>
    <row r="10121" s="166" customFormat="1" x14ac:dyDescent="0.2"/>
    <row r="10122" s="166" customFormat="1" x14ac:dyDescent="0.2"/>
    <row r="10123" s="166" customFormat="1" x14ac:dyDescent="0.2"/>
    <row r="10124" s="166" customFormat="1" x14ac:dyDescent="0.2"/>
    <row r="10125" s="166" customFormat="1" x14ac:dyDescent="0.2"/>
    <row r="10126" s="166" customFormat="1" x14ac:dyDescent="0.2"/>
    <row r="10127" s="166" customFormat="1" x14ac:dyDescent="0.2"/>
    <row r="10128" s="166" customFormat="1" x14ac:dyDescent="0.2"/>
    <row r="10129" s="166" customFormat="1" x14ac:dyDescent="0.2"/>
    <row r="10130" s="166" customFormat="1" x14ac:dyDescent="0.2"/>
    <row r="10131" s="166" customFormat="1" x14ac:dyDescent="0.2"/>
    <row r="10132" s="166" customFormat="1" x14ac:dyDescent="0.2"/>
    <row r="10133" s="166" customFormat="1" x14ac:dyDescent="0.2"/>
    <row r="10134" s="166" customFormat="1" x14ac:dyDescent="0.2"/>
    <row r="10135" s="166" customFormat="1" x14ac:dyDescent="0.2"/>
    <row r="10136" s="166" customFormat="1" x14ac:dyDescent="0.2"/>
    <row r="10137" s="166" customFormat="1" x14ac:dyDescent="0.2"/>
    <row r="10138" s="166" customFormat="1" x14ac:dyDescent="0.2"/>
    <row r="10139" s="166" customFormat="1" x14ac:dyDescent="0.2"/>
    <row r="10140" s="166" customFormat="1" x14ac:dyDescent="0.2"/>
    <row r="10141" s="166" customFormat="1" x14ac:dyDescent="0.2"/>
    <row r="10142" s="166" customFormat="1" x14ac:dyDescent="0.2"/>
    <row r="10143" s="166" customFormat="1" x14ac:dyDescent="0.2"/>
    <row r="10144" s="166" customFormat="1" x14ac:dyDescent="0.2"/>
    <row r="10145" s="166" customFormat="1" x14ac:dyDescent="0.2"/>
    <row r="10146" s="166" customFormat="1" x14ac:dyDescent="0.2"/>
    <row r="10147" s="166" customFormat="1" x14ac:dyDescent="0.2"/>
    <row r="10148" s="166" customFormat="1" x14ac:dyDescent="0.2"/>
    <row r="10149" s="166" customFormat="1" x14ac:dyDescent="0.2"/>
    <row r="10150" s="166" customFormat="1" x14ac:dyDescent="0.2"/>
    <row r="10151" s="166" customFormat="1" x14ac:dyDescent="0.2"/>
    <row r="10152" s="166" customFormat="1" x14ac:dyDescent="0.2"/>
    <row r="10153" s="166" customFormat="1" x14ac:dyDescent="0.2"/>
    <row r="10154" s="166" customFormat="1" x14ac:dyDescent="0.2"/>
    <row r="10155" s="166" customFormat="1" x14ac:dyDescent="0.2"/>
    <row r="10156" s="166" customFormat="1" x14ac:dyDescent="0.2"/>
    <row r="10157" s="166" customFormat="1" x14ac:dyDescent="0.2"/>
    <row r="10158" s="166" customFormat="1" x14ac:dyDescent="0.2"/>
    <row r="10159" s="166" customFormat="1" x14ac:dyDescent="0.2"/>
    <row r="10160" s="166" customFormat="1" x14ac:dyDescent="0.2"/>
    <row r="10161" s="166" customFormat="1" x14ac:dyDescent="0.2"/>
    <row r="10162" s="166" customFormat="1" x14ac:dyDescent="0.2"/>
    <row r="10163" s="166" customFormat="1" x14ac:dyDescent="0.2"/>
    <row r="10164" s="166" customFormat="1" x14ac:dyDescent="0.2"/>
    <row r="10165" s="166" customFormat="1" x14ac:dyDescent="0.2"/>
    <row r="10166" s="166" customFormat="1" x14ac:dyDescent="0.2"/>
    <row r="10167" s="166" customFormat="1" x14ac:dyDescent="0.2"/>
    <row r="10168" s="166" customFormat="1" x14ac:dyDescent="0.2"/>
    <row r="10169" s="166" customFormat="1" x14ac:dyDescent="0.2"/>
    <row r="10170" s="166" customFormat="1" x14ac:dyDescent="0.2"/>
    <row r="10171" s="166" customFormat="1" x14ac:dyDescent="0.2"/>
    <row r="10172" s="166" customFormat="1" x14ac:dyDescent="0.2"/>
    <row r="10173" s="166" customFormat="1" x14ac:dyDescent="0.2"/>
    <row r="10174" s="166" customFormat="1" x14ac:dyDescent="0.2"/>
    <row r="10175" s="166" customFormat="1" x14ac:dyDescent="0.2"/>
    <row r="10176" s="166" customFormat="1" x14ac:dyDescent="0.2"/>
    <row r="10177" s="166" customFormat="1" x14ac:dyDescent="0.2"/>
    <row r="10178" s="166" customFormat="1" x14ac:dyDescent="0.2"/>
    <row r="10179" s="166" customFormat="1" x14ac:dyDescent="0.2"/>
    <row r="10180" s="166" customFormat="1" x14ac:dyDescent="0.2"/>
    <row r="10181" s="166" customFormat="1" x14ac:dyDescent="0.2"/>
    <row r="10182" s="166" customFormat="1" x14ac:dyDescent="0.2"/>
    <row r="10183" s="166" customFormat="1" x14ac:dyDescent="0.2"/>
    <row r="10184" s="166" customFormat="1" x14ac:dyDescent="0.2"/>
    <row r="10185" s="166" customFormat="1" x14ac:dyDescent="0.2"/>
    <row r="10186" s="166" customFormat="1" x14ac:dyDescent="0.2"/>
    <row r="10187" s="166" customFormat="1" x14ac:dyDescent="0.2"/>
    <row r="10188" s="166" customFormat="1" x14ac:dyDescent="0.2"/>
    <row r="10189" s="166" customFormat="1" x14ac:dyDescent="0.2"/>
    <row r="10190" s="166" customFormat="1" x14ac:dyDescent="0.2"/>
    <row r="10191" s="166" customFormat="1" x14ac:dyDescent="0.2"/>
    <row r="10192" s="166" customFormat="1" x14ac:dyDescent="0.2"/>
    <row r="10193" s="166" customFormat="1" x14ac:dyDescent="0.2"/>
    <row r="10194" s="166" customFormat="1" x14ac:dyDescent="0.2"/>
    <row r="10195" s="166" customFormat="1" x14ac:dyDescent="0.2"/>
    <row r="10196" s="166" customFormat="1" x14ac:dyDescent="0.2"/>
    <row r="10197" s="166" customFormat="1" x14ac:dyDescent="0.2"/>
    <row r="10198" s="166" customFormat="1" x14ac:dyDescent="0.2"/>
    <row r="10199" s="166" customFormat="1" x14ac:dyDescent="0.2"/>
    <row r="10200" s="166" customFormat="1" x14ac:dyDescent="0.2"/>
    <row r="10201" s="166" customFormat="1" x14ac:dyDescent="0.2"/>
    <row r="10202" s="166" customFormat="1" x14ac:dyDescent="0.2"/>
    <row r="10203" s="166" customFormat="1" x14ac:dyDescent="0.2"/>
    <row r="10204" s="166" customFormat="1" x14ac:dyDescent="0.2"/>
    <row r="10205" s="166" customFormat="1" x14ac:dyDescent="0.2"/>
    <row r="10206" s="166" customFormat="1" x14ac:dyDescent="0.2"/>
    <row r="10207" s="166" customFormat="1" x14ac:dyDescent="0.2"/>
    <row r="10208" s="166" customFormat="1" x14ac:dyDescent="0.2"/>
    <row r="10209" s="166" customFormat="1" x14ac:dyDescent="0.2"/>
    <row r="10210" s="166" customFormat="1" x14ac:dyDescent="0.2"/>
    <row r="10211" s="166" customFormat="1" x14ac:dyDescent="0.2"/>
    <row r="10212" s="166" customFormat="1" x14ac:dyDescent="0.2"/>
    <row r="10213" s="166" customFormat="1" x14ac:dyDescent="0.2"/>
    <row r="10214" s="166" customFormat="1" x14ac:dyDescent="0.2"/>
    <row r="10215" s="166" customFormat="1" x14ac:dyDescent="0.2"/>
    <row r="10216" s="166" customFormat="1" x14ac:dyDescent="0.2"/>
    <row r="10217" s="166" customFormat="1" x14ac:dyDescent="0.2"/>
    <row r="10218" s="166" customFormat="1" x14ac:dyDescent="0.2"/>
    <row r="10219" s="166" customFormat="1" x14ac:dyDescent="0.2"/>
    <row r="10220" s="166" customFormat="1" x14ac:dyDescent="0.2"/>
    <row r="10221" s="166" customFormat="1" x14ac:dyDescent="0.2"/>
    <row r="10222" s="166" customFormat="1" x14ac:dyDescent="0.2"/>
    <row r="10223" s="166" customFormat="1" x14ac:dyDescent="0.2"/>
    <row r="10224" s="166" customFormat="1" x14ac:dyDescent="0.2"/>
    <row r="10225" s="166" customFormat="1" x14ac:dyDescent="0.2"/>
    <row r="10226" s="166" customFormat="1" x14ac:dyDescent="0.2"/>
    <row r="10227" s="166" customFormat="1" x14ac:dyDescent="0.2"/>
    <row r="10228" s="166" customFormat="1" x14ac:dyDescent="0.2"/>
    <row r="10229" s="166" customFormat="1" x14ac:dyDescent="0.2"/>
    <row r="10230" s="166" customFormat="1" x14ac:dyDescent="0.2"/>
    <row r="10231" s="166" customFormat="1" x14ac:dyDescent="0.2"/>
    <row r="10232" s="166" customFormat="1" x14ac:dyDescent="0.2"/>
    <row r="10233" s="166" customFormat="1" x14ac:dyDescent="0.2"/>
    <row r="10234" s="166" customFormat="1" x14ac:dyDescent="0.2"/>
    <row r="10235" s="166" customFormat="1" x14ac:dyDescent="0.2"/>
    <row r="10236" s="166" customFormat="1" x14ac:dyDescent="0.2"/>
    <row r="10237" s="166" customFormat="1" x14ac:dyDescent="0.2"/>
    <row r="10238" s="166" customFormat="1" x14ac:dyDescent="0.2"/>
    <row r="10239" s="166" customFormat="1" x14ac:dyDescent="0.2"/>
    <row r="10240" s="166" customFormat="1" x14ac:dyDescent="0.2"/>
    <row r="10241" s="166" customFormat="1" x14ac:dyDescent="0.2"/>
    <row r="10242" s="166" customFormat="1" x14ac:dyDescent="0.2"/>
    <row r="10243" s="166" customFormat="1" x14ac:dyDescent="0.2"/>
    <row r="10244" s="166" customFormat="1" x14ac:dyDescent="0.2"/>
    <row r="10245" s="166" customFormat="1" x14ac:dyDescent="0.2"/>
    <row r="10246" s="166" customFormat="1" x14ac:dyDescent="0.2"/>
    <row r="10247" s="166" customFormat="1" x14ac:dyDescent="0.2"/>
    <row r="10248" s="166" customFormat="1" x14ac:dyDescent="0.2"/>
    <row r="10249" s="166" customFormat="1" x14ac:dyDescent="0.2"/>
    <row r="10250" s="166" customFormat="1" x14ac:dyDescent="0.2"/>
    <row r="10251" s="166" customFormat="1" x14ac:dyDescent="0.2"/>
    <row r="10252" s="166" customFormat="1" x14ac:dyDescent="0.2"/>
    <row r="10253" s="166" customFormat="1" x14ac:dyDescent="0.2"/>
    <row r="10254" s="166" customFormat="1" x14ac:dyDescent="0.2"/>
    <row r="10255" s="166" customFormat="1" x14ac:dyDescent="0.2"/>
    <row r="10256" s="166" customFormat="1" x14ac:dyDescent="0.2"/>
    <row r="10257" s="166" customFormat="1" x14ac:dyDescent="0.2"/>
    <row r="10258" s="166" customFormat="1" x14ac:dyDescent="0.2"/>
    <row r="10259" s="166" customFormat="1" x14ac:dyDescent="0.2"/>
    <row r="10260" s="166" customFormat="1" x14ac:dyDescent="0.2"/>
    <row r="10261" s="166" customFormat="1" x14ac:dyDescent="0.2"/>
    <row r="10262" s="166" customFormat="1" x14ac:dyDescent="0.2"/>
    <row r="10263" s="166" customFormat="1" x14ac:dyDescent="0.2"/>
    <row r="10264" s="166" customFormat="1" x14ac:dyDescent="0.2"/>
    <row r="10265" s="166" customFormat="1" x14ac:dyDescent="0.2"/>
    <row r="10266" s="166" customFormat="1" x14ac:dyDescent="0.2"/>
    <row r="10267" s="166" customFormat="1" x14ac:dyDescent="0.2"/>
    <row r="10268" s="166" customFormat="1" x14ac:dyDescent="0.2"/>
    <row r="10269" s="166" customFormat="1" x14ac:dyDescent="0.2"/>
    <row r="10270" s="166" customFormat="1" x14ac:dyDescent="0.2"/>
    <row r="10271" s="166" customFormat="1" x14ac:dyDescent="0.2"/>
    <row r="10272" s="166" customFormat="1" x14ac:dyDescent="0.2"/>
    <row r="10273" s="166" customFormat="1" x14ac:dyDescent="0.2"/>
    <row r="10274" s="166" customFormat="1" x14ac:dyDescent="0.2"/>
    <row r="10275" s="166" customFormat="1" x14ac:dyDescent="0.2"/>
    <row r="10276" s="166" customFormat="1" x14ac:dyDescent="0.2"/>
    <row r="10277" s="166" customFormat="1" x14ac:dyDescent="0.2"/>
    <row r="10278" s="166" customFormat="1" x14ac:dyDescent="0.2"/>
    <row r="10279" s="166" customFormat="1" x14ac:dyDescent="0.2"/>
    <row r="10280" s="166" customFormat="1" x14ac:dyDescent="0.2"/>
    <row r="10281" s="166" customFormat="1" x14ac:dyDescent="0.2"/>
    <row r="10282" s="166" customFormat="1" x14ac:dyDescent="0.2"/>
    <row r="10283" s="166" customFormat="1" x14ac:dyDescent="0.2"/>
    <row r="10284" s="166" customFormat="1" x14ac:dyDescent="0.2"/>
    <row r="10285" s="166" customFormat="1" x14ac:dyDescent="0.2"/>
    <row r="10286" s="166" customFormat="1" x14ac:dyDescent="0.2"/>
    <row r="10287" s="166" customFormat="1" x14ac:dyDescent="0.2"/>
    <row r="10288" s="166" customFormat="1" x14ac:dyDescent="0.2"/>
    <row r="10289" s="166" customFormat="1" x14ac:dyDescent="0.2"/>
    <row r="10290" s="166" customFormat="1" x14ac:dyDescent="0.2"/>
    <row r="10291" s="166" customFormat="1" x14ac:dyDescent="0.2"/>
    <row r="10292" s="166" customFormat="1" x14ac:dyDescent="0.2"/>
    <row r="10293" s="166" customFormat="1" x14ac:dyDescent="0.2"/>
    <row r="10294" s="166" customFormat="1" x14ac:dyDescent="0.2"/>
    <row r="10295" s="166" customFormat="1" x14ac:dyDescent="0.2"/>
    <row r="10296" s="166" customFormat="1" x14ac:dyDescent="0.2"/>
    <row r="10297" s="166" customFormat="1" x14ac:dyDescent="0.2"/>
    <row r="10298" s="166" customFormat="1" x14ac:dyDescent="0.2"/>
    <row r="10299" s="166" customFormat="1" x14ac:dyDescent="0.2"/>
    <row r="10300" s="166" customFormat="1" x14ac:dyDescent="0.2"/>
    <row r="10301" s="166" customFormat="1" x14ac:dyDescent="0.2"/>
    <row r="10302" s="166" customFormat="1" x14ac:dyDescent="0.2"/>
    <row r="10303" s="166" customFormat="1" x14ac:dyDescent="0.2"/>
    <row r="10304" s="166" customFormat="1" x14ac:dyDescent="0.2"/>
    <row r="10305" s="166" customFormat="1" x14ac:dyDescent="0.2"/>
    <row r="10306" s="166" customFormat="1" x14ac:dyDescent="0.2"/>
    <row r="10307" s="166" customFormat="1" x14ac:dyDescent="0.2"/>
    <row r="10308" s="166" customFormat="1" x14ac:dyDescent="0.2"/>
    <row r="10309" s="166" customFormat="1" x14ac:dyDescent="0.2"/>
    <row r="10310" s="166" customFormat="1" x14ac:dyDescent="0.2"/>
    <row r="10311" s="166" customFormat="1" x14ac:dyDescent="0.2"/>
    <row r="10312" s="166" customFormat="1" x14ac:dyDescent="0.2"/>
    <row r="10313" s="166" customFormat="1" x14ac:dyDescent="0.2"/>
    <row r="10314" s="166" customFormat="1" x14ac:dyDescent="0.2"/>
    <row r="10315" s="166" customFormat="1" x14ac:dyDescent="0.2"/>
    <row r="10316" s="166" customFormat="1" x14ac:dyDescent="0.2"/>
    <row r="10317" s="166" customFormat="1" x14ac:dyDescent="0.2"/>
    <row r="10318" s="166" customFormat="1" x14ac:dyDescent="0.2"/>
    <row r="10319" s="166" customFormat="1" x14ac:dyDescent="0.2"/>
    <row r="10320" s="166" customFormat="1" x14ac:dyDescent="0.2"/>
    <row r="10321" s="166" customFormat="1" x14ac:dyDescent="0.2"/>
    <row r="10322" s="166" customFormat="1" x14ac:dyDescent="0.2"/>
    <row r="10323" s="166" customFormat="1" x14ac:dyDescent="0.2"/>
    <row r="10324" s="166" customFormat="1" x14ac:dyDescent="0.2"/>
    <row r="10325" s="166" customFormat="1" x14ac:dyDescent="0.2"/>
    <row r="10326" s="166" customFormat="1" x14ac:dyDescent="0.2"/>
    <row r="10327" s="166" customFormat="1" x14ac:dyDescent="0.2"/>
    <row r="10328" s="166" customFormat="1" x14ac:dyDescent="0.2"/>
    <row r="10329" s="166" customFormat="1" x14ac:dyDescent="0.2"/>
    <row r="10330" s="166" customFormat="1" x14ac:dyDescent="0.2"/>
    <row r="10331" s="166" customFormat="1" x14ac:dyDescent="0.2"/>
    <row r="10332" s="166" customFormat="1" x14ac:dyDescent="0.2"/>
    <row r="10333" s="166" customFormat="1" x14ac:dyDescent="0.2"/>
    <row r="10334" s="166" customFormat="1" x14ac:dyDescent="0.2"/>
    <row r="10335" s="166" customFormat="1" x14ac:dyDescent="0.2"/>
    <row r="10336" s="166" customFormat="1" x14ac:dyDescent="0.2"/>
    <row r="10337" s="166" customFormat="1" x14ac:dyDescent="0.2"/>
    <row r="10338" s="166" customFormat="1" x14ac:dyDescent="0.2"/>
    <row r="10339" s="166" customFormat="1" x14ac:dyDescent="0.2"/>
    <row r="10340" s="166" customFormat="1" x14ac:dyDescent="0.2"/>
    <row r="10341" s="166" customFormat="1" x14ac:dyDescent="0.2"/>
    <row r="10342" s="166" customFormat="1" x14ac:dyDescent="0.2"/>
    <row r="10343" s="166" customFormat="1" x14ac:dyDescent="0.2"/>
    <row r="10344" s="166" customFormat="1" x14ac:dyDescent="0.2"/>
    <row r="10345" s="166" customFormat="1" x14ac:dyDescent="0.2"/>
    <row r="10346" s="166" customFormat="1" x14ac:dyDescent="0.2"/>
    <row r="10347" s="166" customFormat="1" x14ac:dyDescent="0.2"/>
    <row r="10348" s="166" customFormat="1" x14ac:dyDescent="0.2"/>
    <row r="10349" s="166" customFormat="1" x14ac:dyDescent="0.2"/>
    <row r="10350" s="166" customFormat="1" x14ac:dyDescent="0.2"/>
    <row r="10351" s="166" customFormat="1" x14ac:dyDescent="0.2"/>
    <row r="10352" s="166" customFormat="1" x14ac:dyDescent="0.2"/>
    <row r="10353" s="166" customFormat="1" x14ac:dyDescent="0.2"/>
    <row r="10354" s="166" customFormat="1" x14ac:dyDescent="0.2"/>
    <row r="10355" s="166" customFormat="1" x14ac:dyDescent="0.2"/>
    <row r="10356" s="166" customFormat="1" x14ac:dyDescent="0.2"/>
    <row r="10357" s="166" customFormat="1" x14ac:dyDescent="0.2"/>
    <row r="10358" s="166" customFormat="1" x14ac:dyDescent="0.2"/>
    <row r="10359" s="166" customFormat="1" x14ac:dyDescent="0.2"/>
    <row r="10360" s="166" customFormat="1" x14ac:dyDescent="0.2"/>
    <row r="10361" s="166" customFormat="1" x14ac:dyDescent="0.2"/>
    <row r="10362" s="166" customFormat="1" x14ac:dyDescent="0.2"/>
    <row r="10363" s="166" customFormat="1" x14ac:dyDescent="0.2"/>
    <row r="10364" s="166" customFormat="1" x14ac:dyDescent="0.2"/>
    <row r="10365" s="166" customFormat="1" x14ac:dyDescent="0.2"/>
    <row r="10366" s="166" customFormat="1" x14ac:dyDescent="0.2"/>
    <row r="10367" s="166" customFormat="1" x14ac:dyDescent="0.2"/>
    <row r="10368" s="166" customFormat="1" x14ac:dyDescent="0.2"/>
    <row r="10369" s="166" customFormat="1" x14ac:dyDescent="0.2"/>
    <row r="10370" s="166" customFormat="1" x14ac:dyDescent="0.2"/>
    <row r="10371" s="166" customFormat="1" x14ac:dyDescent="0.2"/>
    <row r="10372" s="166" customFormat="1" x14ac:dyDescent="0.2"/>
    <row r="10373" s="166" customFormat="1" x14ac:dyDescent="0.2"/>
    <row r="10374" s="166" customFormat="1" x14ac:dyDescent="0.2"/>
    <row r="10375" s="166" customFormat="1" x14ac:dyDescent="0.2"/>
    <row r="10376" s="166" customFormat="1" x14ac:dyDescent="0.2"/>
    <row r="10377" s="166" customFormat="1" x14ac:dyDescent="0.2"/>
    <row r="10378" s="166" customFormat="1" x14ac:dyDescent="0.2"/>
    <row r="10379" s="166" customFormat="1" x14ac:dyDescent="0.2"/>
    <row r="10380" s="166" customFormat="1" x14ac:dyDescent="0.2"/>
    <row r="10381" s="166" customFormat="1" x14ac:dyDescent="0.2"/>
    <row r="10382" s="166" customFormat="1" x14ac:dyDescent="0.2"/>
    <row r="10383" s="166" customFormat="1" x14ac:dyDescent="0.2"/>
    <row r="10384" s="166" customFormat="1" x14ac:dyDescent="0.2"/>
    <row r="10385" s="166" customFormat="1" x14ac:dyDescent="0.2"/>
    <row r="10386" s="166" customFormat="1" x14ac:dyDescent="0.2"/>
    <row r="10387" s="166" customFormat="1" x14ac:dyDescent="0.2"/>
    <row r="10388" s="166" customFormat="1" x14ac:dyDescent="0.2"/>
    <row r="10389" s="166" customFormat="1" x14ac:dyDescent="0.2"/>
    <row r="10390" s="166" customFormat="1" x14ac:dyDescent="0.2"/>
    <row r="10391" s="166" customFormat="1" x14ac:dyDescent="0.2"/>
    <row r="10392" s="166" customFormat="1" x14ac:dyDescent="0.2"/>
    <row r="10393" s="166" customFormat="1" x14ac:dyDescent="0.2"/>
    <row r="10394" s="166" customFormat="1" x14ac:dyDescent="0.2"/>
    <row r="10395" s="166" customFormat="1" x14ac:dyDescent="0.2"/>
    <row r="10396" s="166" customFormat="1" x14ac:dyDescent="0.2"/>
    <row r="10397" s="166" customFormat="1" x14ac:dyDescent="0.2"/>
    <row r="10398" s="166" customFormat="1" x14ac:dyDescent="0.2"/>
    <row r="10399" s="166" customFormat="1" x14ac:dyDescent="0.2"/>
    <row r="10400" s="166" customFormat="1" x14ac:dyDescent="0.2"/>
    <row r="10401" s="166" customFormat="1" x14ac:dyDescent="0.2"/>
    <row r="10402" s="166" customFormat="1" x14ac:dyDescent="0.2"/>
    <row r="10403" s="166" customFormat="1" x14ac:dyDescent="0.2"/>
    <row r="10404" s="166" customFormat="1" x14ac:dyDescent="0.2"/>
    <row r="10405" s="166" customFormat="1" x14ac:dyDescent="0.2"/>
    <row r="10406" s="166" customFormat="1" x14ac:dyDescent="0.2"/>
    <row r="10407" s="166" customFormat="1" x14ac:dyDescent="0.2"/>
    <row r="10408" s="166" customFormat="1" x14ac:dyDescent="0.2"/>
    <row r="10409" s="166" customFormat="1" x14ac:dyDescent="0.2"/>
    <row r="10410" s="166" customFormat="1" x14ac:dyDescent="0.2"/>
    <row r="10411" s="166" customFormat="1" x14ac:dyDescent="0.2"/>
    <row r="10412" s="166" customFormat="1" x14ac:dyDescent="0.2"/>
    <row r="10413" s="166" customFormat="1" x14ac:dyDescent="0.2"/>
    <row r="10414" s="166" customFormat="1" x14ac:dyDescent="0.2"/>
    <row r="10415" s="166" customFormat="1" x14ac:dyDescent="0.2"/>
    <row r="10416" s="166" customFormat="1" x14ac:dyDescent="0.2"/>
    <row r="10417" s="166" customFormat="1" x14ac:dyDescent="0.2"/>
    <row r="10418" s="166" customFormat="1" x14ac:dyDescent="0.2"/>
    <row r="10419" s="166" customFormat="1" x14ac:dyDescent="0.2"/>
    <row r="10420" s="166" customFormat="1" x14ac:dyDescent="0.2"/>
    <row r="10421" s="166" customFormat="1" x14ac:dyDescent="0.2"/>
    <row r="10422" s="166" customFormat="1" x14ac:dyDescent="0.2"/>
    <row r="10423" s="166" customFormat="1" x14ac:dyDescent="0.2"/>
    <row r="10424" s="166" customFormat="1" x14ac:dyDescent="0.2"/>
    <row r="10425" s="166" customFormat="1" x14ac:dyDescent="0.2"/>
    <row r="10426" s="166" customFormat="1" x14ac:dyDescent="0.2"/>
    <row r="10427" s="166" customFormat="1" x14ac:dyDescent="0.2"/>
    <row r="10428" s="166" customFormat="1" x14ac:dyDescent="0.2"/>
    <row r="10429" s="166" customFormat="1" x14ac:dyDescent="0.2"/>
    <row r="10430" s="166" customFormat="1" x14ac:dyDescent="0.2"/>
    <row r="10431" s="166" customFormat="1" x14ac:dyDescent="0.2"/>
    <row r="10432" s="166" customFormat="1" x14ac:dyDescent="0.2"/>
    <row r="10433" s="166" customFormat="1" x14ac:dyDescent="0.2"/>
    <row r="10434" s="166" customFormat="1" x14ac:dyDescent="0.2"/>
    <row r="10435" s="166" customFormat="1" x14ac:dyDescent="0.2"/>
    <row r="10436" s="166" customFormat="1" x14ac:dyDescent="0.2"/>
    <row r="10437" s="166" customFormat="1" x14ac:dyDescent="0.2"/>
    <row r="10438" s="166" customFormat="1" x14ac:dyDescent="0.2"/>
    <row r="10439" s="166" customFormat="1" x14ac:dyDescent="0.2"/>
    <row r="10440" s="166" customFormat="1" x14ac:dyDescent="0.2"/>
    <row r="10441" s="166" customFormat="1" x14ac:dyDescent="0.2"/>
    <row r="10442" s="166" customFormat="1" x14ac:dyDescent="0.2"/>
    <row r="10443" s="166" customFormat="1" x14ac:dyDescent="0.2"/>
    <row r="10444" s="166" customFormat="1" x14ac:dyDescent="0.2"/>
    <row r="10445" s="166" customFormat="1" x14ac:dyDescent="0.2"/>
    <row r="10446" s="166" customFormat="1" x14ac:dyDescent="0.2"/>
    <row r="10447" s="166" customFormat="1" x14ac:dyDescent="0.2"/>
    <row r="10448" s="166" customFormat="1" x14ac:dyDescent="0.2"/>
    <row r="10449" s="166" customFormat="1" x14ac:dyDescent="0.2"/>
    <row r="10450" s="166" customFormat="1" x14ac:dyDescent="0.2"/>
    <row r="10451" s="166" customFormat="1" x14ac:dyDescent="0.2"/>
    <row r="10452" s="166" customFormat="1" x14ac:dyDescent="0.2"/>
    <row r="10453" s="166" customFormat="1" x14ac:dyDescent="0.2"/>
    <row r="10454" s="166" customFormat="1" x14ac:dyDescent="0.2"/>
    <row r="10455" s="166" customFormat="1" x14ac:dyDescent="0.2"/>
    <row r="10456" s="166" customFormat="1" x14ac:dyDescent="0.2"/>
    <row r="10457" s="166" customFormat="1" x14ac:dyDescent="0.2"/>
    <row r="10458" s="166" customFormat="1" x14ac:dyDescent="0.2"/>
    <row r="10459" s="166" customFormat="1" x14ac:dyDescent="0.2"/>
    <row r="10460" s="166" customFormat="1" x14ac:dyDescent="0.2"/>
    <row r="10461" s="166" customFormat="1" x14ac:dyDescent="0.2"/>
    <row r="10462" s="166" customFormat="1" x14ac:dyDescent="0.2"/>
    <row r="10463" s="166" customFormat="1" x14ac:dyDescent="0.2"/>
    <row r="10464" s="166" customFormat="1" x14ac:dyDescent="0.2"/>
    <row r="10465" s="166" customFormat="1" x14ac:dyDescent="0.2"/>
    <row r="10466" s="166" customFormat="1" x14ac:dyDescent="0.2"/>
    <row r="10467" s="166" customFormat="1" x14ac:dyDescent="0.2"/>
    <row r="10468" s="166" customFormat="1" x14ac:dyDescent="0.2"/>
    <row r="10469" s="166" customFormat="1" x14ac:dyDescent="0.2"/>
    <row r="10470" s="166" customFormat="1" x14ac:dyDescent="0.2"/>
    <row r="10471" s="166" customFormat="1" x14ac:dyDescent="0.2"/>
    <row r="10472" s="166" customFormat="1" x14ac:dyDescent="0.2"/>
    <row r="10473" s="166" customFormat="1" x14ac:dyDescent="0.2"/>
    <row r="10474" s="166" customFormat="1" x14ac:dyDescent="0.2"/>
    <row r="10475" s="166" customFormat="1" x14ac:dyDescent="0.2"/>
    <row r="10476" s="166" customFormat="1" x14ac:dyDescent="0.2"/>
    <row r="10477" s="166" customFormat="1" x14ac:dyDescent="0.2"/>
    <row r="10478" s="166" customFormat="1" x14ac:dyDescent="0.2"/>
    <row r="10479" s="166" customFormat="1" x14ac:dyDescent="0.2"/>
    <row r="10480" s="166" customFormat="1" x14ac:dyDescent="0.2"/>
    <row r="10481" s="166" customFormat="1" x14ac:dyDescent="0.2"/>
    <row r="10482" s="166" customFormat="1" x14ac:dyDescent="0.2"/>
    <row r="10483" s="166" customFormat="1" x14ac:dyDescent="0.2"/>
    <row r="10484" s="166" customFormat="1" x14ac:dyDescent="0.2"/>
    <row r="10485" s="166" customFormat="1" x14ac:dyDescent="0.2"/>
    <row r="10486" s="166" customFormat="1" x14ac:dyDescent="0.2"/>
    <row r="10487" s="166" customFormat="1" x14ac:dyDescent="0.2"/>
    <row r="10488" s="166" customFormat="1" x14ac:dyDescent="0.2"/>
    <row r="10489" s="166" customFormat="1" x14ac:dyDescent="0.2"/>
    <row r="10490" s="166" customFormat="1" x14ac:dyDescent="0.2"/>
    <row r="10491" s="166" customFormat="1" x14ac:dyDescent="0.2"/>
    <row r="10492" s="166" customFormat="1" x14ac:dyDescent="0.2"/>
    <row r="10493" s="166" customFormat="1" x14ac:dyDescent="0.2"/>
    <row r="10494" s="166" customFormat="1" x14ac:dyDescent="0.2"/>
    <row r="10495" s="166" customFormat="1" x14ac:dyDescent="0.2"/>
    <row r="10496" s="166" customFormat="1" x14ac:dyDescent="0.2"/>
    <row r="10497" s="166" customFormat="1" x14ac:dyDescent="0.2"/>
    <row r="10498" s="166" customFormat="1" x14ac:dyDescent="0.2"/>
    <row r="10499" s="166" customFormat="1" x14ac:dyDescent="0.2"/>
    <row r="10500" s="166" customFormat="1" x14ac:dyDescent="0.2"/>
    <row r="10501" s="166" customFormat="1" x14ac:dyDescent="0.2"/>
    <row r="10502" s="166" customFormat="1" x14ac:dyDescent="0.2"/>
    <row r="10503" s="166" customFormat="1" x14ac:dyDescent="0.2"/>
    <row r="10504" s="166" customFormat="1" x14ac:dyDescent="0.2"/>
    <row r="10505" s="166" customFormat="1" x14ac:dyDescent="0.2"/>
    <row r="10506" s="166" customFormat="1" x14ac:dyDescent="0.2"/>
    <row r="10507" s="166" customFormat="1" x14ac:dyDescent="0.2"/>
    <row r="10508" s="166" customFormat="1" x14ac:dyDescent="0.2"/>
    <row r="10509" s="166" customFormat="1" x14ac:dyDescent="0.2"/>
    <row r="10510" s="166" customFormat="1" x14ac:dyDescent="0.2"/>
    <row r="10511" s="166" customFormat="1" x14ac:dyDescent="0.2"/>
    <row r="10512" s="166" customFormat="1" x14ac:dyDescent="0.2"/>
    <row r="10513" s="166" customFormat="1" x14ac:dyDescent="0.2"/>
    <row r="10514" s="166" customFormat="1" x14ac:dyDescent="0.2"/>
    <row r="10515" s="166" customFormat="1" x14ac:dyDescent="0.2"/>
    <row r="10516" s="166" customFormat="1" x14ac:dyDescent="0.2"/>
    <row r="10517" s="166" customFormat="1" x14ac:dyDescent="0.2"/>
    <row r="10518" s="166" customFormat="1" x14ac:dyDescent="0.2"/>
    <row r="10519" s="166" customFormat="1" x14ac:dyDescent="0.2"/>
    <row r="10520" s="166" customFormat="1" x14ac:dyDescent="0.2"/>
    <row r="10521" s="166" customFormat="1" x14ac:dyDescent="0.2"/>
    <row r="10522" s="166" customFormat="1" x14ac:dyDescent="0.2"/>
    <row r="10523" s="166" customFormat="1" x14ac:dyDescent="0.2"/>
    <row r="10524" s="166" customFormat="1" x14ac:dyDescent="0.2"/>
    <row r="10525" s="166" customFormat="1" x14ac:dyDescent="0.2"/>
    <row r="10526" s="166" customFormat="1" x14ac:dyDescent="0.2"/>
    <row r="10527" s="166" customFormat="1" x14ac:dyDescent="0.2"/>
    <row r="10528" s="166" customFormat="1" x14ac:dyDescent="0.2"/>
    <row r="10529" s="166" customFormat="1" x14ac:dyDescent="0.2"/>
    <row r="10530" s="166" customFormat="1" x14ac:dyDescent="0.2"/>
    <row r="10531" s="166" customFormat="1" x14ac:dyDescent="0.2"/>
    <row r="10532" s="166" customFormat="1" x14ac:dyDescent="0.2"/>
    <row r="10533" s="166" customFormat="1" x14ac:dyDescent="0.2"/>
    <row r="10534" s="166" customFormat="1" x14ac:dyDescent="0.2"/>
    <row r="10535" s="166" customFormat="1" x14ac:dyDescent="0.2"/>
    <row r="10536" s="166" customFormat="1" x14ac:dyDescent="0.2"/>
    <row r="10537" s="166" customFormat="1" x14ac:dyDescent="0.2"/>
    <row r="10538" s="166" customFormat="1" x14ac:dyDescent="0.2"/>
    <row r="10539" s="166" customFormat="1" x14ac:dyDescent="0.2"/>
    <row r="10540" s="166" customFormat="1" x14ac:dyDescent="0.2"/>
    <row r="10541" s="166" customFormat="1" x14ac:dyDescent="0.2"/>
    <row r="10542" s="166" customFormat="1" x14ac:dyDescent="0.2"/>
    <row r="10543" s="166" customFormat="1" x14ac:dyDescent="0.2"/>
    <row r="10544" s="166" customFormat="1" x14ac:dyDescent="0.2"/>
    <row r="10545" s="166" customFormat="1" x14ac:dyDescent="0.2"/>
    <row r="10546" s="166" customFormat="1" x14ac:dyDescent="0.2"/>
    <row r="10547" s="166" customFormat="1" x14ac:dyDescent="0.2"/>
    <row r="10548" s="166" customFormat="1" x14ac:dyDescent="0.2"/>
    <row r="10549" s="166" customFormat="1" x14ac:dyDescent="0.2"/>
    <row r="10550" s="166" customFormat="1" x14ac:dyDescent="0.2"/>
    <row r="10551" s="166" customFormat="1" x14ac:dyDescent="0.2"/>
    <row r="10552" s="166" customFormat="1" x14ac:dyDescent="0.2"/>
    <row r="10553" s="166" customFormat="1" x14ac:dyDescent="0.2"/>
    <row r="10554" s="166" customFormat="1" x14ac:dyDescent="0.2"/>
    <row r="10555" s="166" customFormat="1" x14ac:dyDescent="0.2"/>
    <row r="10556" s="166" customFormat="1" x14ac:dyDescent="0.2"/>
    <row r="10557" s="166" customFormat="1" x14ac:dyDescent="0.2"/>
    <row r="10558" s="166" customFormat="1" x14ac:dyDescent="0.2"/>
    <row r="10559" s="166" customFormat="1" x14ac:dyDescent="0.2"/>
    <row r="10560" s="166" customFormat="1" x14ac:dyDescent="0.2"/>
    <row r="10561" s="166" customFormat="1" x14ac:dyDescent="0.2"/>
    <row r="10562" s="166" customFormat="1" x14ac:dyDescent="0.2"/>
    <row r="10563" s="166" customFormat="1" x14ac:dyDescent="0.2"/>
    <row r="10564" s="166" customFormat="1" x14ac:dyDescent="0.2"/>
    <row r="10565" s="166" customFormat="1" x14ac:dyDescent="0.2"/>
    <row r="10566" s="166" customFormat="1" x14ac:dyDescent="0.2"/>
    <row r="10567" s="166" customFormat="1" x14ac:dyDescent="0.2"/>
    <row r="10568" s="166" customFormat="1" x14ac:dyDescent="0.2"/>
    <row r="10569" s="166" customFormat="1" x14ac:dyDescent="0.2"/>
    <row r="10570" s="166" customFormat="1" x14ac:dyDescent="0.2"/>
    <row r="10571" s="166" customFormat="1" x14ac:dyDescent="0.2"/>
    <row r="10572" s="166" customFormat="1" x14ac:dyDescent="0.2"/>
    <row r="10573" s="166" customFormat="1" x14ac:dyDescent="0.2"/>
    <row r="10574" s="166" customFormat="1" x14ac:dyDescent="0.2"/>
    <row r="10575" s="166" customFormat="1" x14ac:dyDescent="0.2"/>
    <row r="10576" s="166" customFormat="1" x14ac:dyDescent="0.2"/>
    <row r="10577" s="166" customFormat="1" x14ac:dyDescent="0.2"/>
    <row r="10578" s="166" customFormat="1" x14ac:dyDescent="0.2"/>
    <row r="10579" s="166" customFormat="1" x14ac:dyDescent="0.2"/>
    <row r="10580" s="166" customFormat="1" x14ac:dyDescent="0.2"/>
    <row r="10581" s="166" customFormat="1" x14ac:dyDescent="0.2"/>
    <row r="10582" s="166" customFormat="1" x14ac:dyDescent="0.2"/>
    <row r="10583" s="166" customFormat="1" x14ac:dyDescent="0.2"/>
    <row r="10584" s="166" customFormat="1" x14ac:dyDescent="0.2"/>
    <row r="10585" s="166" customFormat="1" x14ac:dyDescent="0.2"/>
    <row r="10586" s="166" customFormat="1" x14ac:dyDescent="0.2"/>
    <row r="10587" s="166" customFormat="1" x14ac:dyDescent="0.2"/>
    <row r="10588" s="166" customFormat="1" x14ac:dyDescent="0.2"/>
    <row r="10589" s="166" customFormat="1" x14ac:dyDescent="0.2"/>
    <row r="10590" s="166" customFormat="1" x14ac:dyDescent="0.2"/>
    <row r="10591" s="166" customFormat="1" x14ac:dyDescent="0.2"/>
    <row r="10592" s="166" customFormat="1" x14ac:dyDescent="0.2"/>
    <row r="10593" s="166" customFormat="1" x14ac:dyDescent="0.2"/>
    <row r="10594" s="166" customFormat="1" x14ac:dyDescent="0.2"/>
    <row r="10595" s="166" customFormat="1" x14ac:dyDescent="0.2"/>
    <row r="10596" s="166" customFormat="1" x14ac:dyDescent="0.2"/>
    <row r="10597" s="166" customFormat="1" x14ac:dyDescent="0.2"/>
    <row r="10598" s="166" customFormat="1" x14ac:dyDescent="0.2"/>
    <row r="10599" s="166" customFormat="1" x14ac:dyDescent="0.2"/>
    <row r="10600" s="166" customFormat="1" x14ac:dyDescent="0.2"/>
    <row r="10601" s="166" customFormat="1" x14ac:dyDescent="0.2"/>
    <row r="10602" s="166" customFormat="1" x14ac:dyDescent="0.2"/>
    <row r="10603" s="166" customFormat="1" x14ac:dyDescent="0.2"/>
    <row r="10604" s="166" customFormat="1" x14ac:dyDescent="0.2"/>
    <row r="10605" s="166" customFormat="1" x14ac:dyDescent="0.2"/>
    <row r="10606" s="166" customFormat="1" x14ac:dyDescent="0.2"/>
    <row r="10607" s="166" customFormat="1" x14ac:dyDescent="0.2"/>
    <row r="10608" s="166" customFormat="1" x14ac:dyDescent="0.2"/>
    <row r="10609" s="166" customFormat="1" x14ac:dyDescent="0.2"/>
    <row r="10610" s="166" customFormat="1" x14ac:dyDescent="0.2"/>
    <row r="10611" s="166" customFormat="1" x14ac:dyDescent="0.2"/>
    <row r="10612" s="166" customFormat="1" x14ac:dyDescent="0.2"/>
    <row r="10613" s="166" customFormat="1" x14ac:dyDescent="0.2"/>
    <row r="10614" s="166" customFormat="1" x14ac:dyDescent="0.2"/>
    <row r="10615" s="166" customFormat="1" x14ac:dyDescent="0.2"/>
    <row r="10616" s="166" customFormat="1" x14ac:dyDescent="0.2"/>
    <row r="10617" s="166" customFormat="1" x14ac:dyDescent="0.2"/>
    <row r="10618" s="166" customFormat="1" x14ac:dyDescent="0.2"/>
    <row r="10619" s="166" customFormat="1" x14ac:dyDescent="0.2"/>
    <row r="10620" s="166" customFormat="1" x14ac:dyDescent="0.2"/>
    <row r="10621" s="166" customFormat="1" x14ac:dyDescent="0.2"/>
    <row r="10622" s="166" customFormat="1" x14ac:dyDescent="0.2"/>
    <row r="10623" s="166" customFormat="1" x14ac:dyDescent="0.2"/>
    <row r="10624" s="166" customFormat="1" x14ac:dyDescent="0.2"/>
    <row r="10625" s="166" customFormat="1" x14ac:dyDescent="0.2"/>
    <row r="10626" s="166" customFormat="1" x14ac:dyDescent="0.2"/>
    <row r="10627" s="166" customFormat="1" x14ac:dyDescent="0.2"/>
    <row r="10628" s="166" customFormat="1" x14ac:dyDescent="0.2"/>
    <row r="10629" s="166" customFormat="1" x14ac:dyDescent="0.2"/>
    <row r="10630" s="166" customFormat="1" x14ac:dyDescent="0.2"/>
    <row r="10631" s="166" customFormat="1" x14ac:dyDescent="0.2"/>
    <row r="10632" s="166" customFormat="1" x14ac:dyDescent="0.2"/>
    <row r="10633" s="166" customFormat="1" x14ac:dyDescent="0.2"/>
    <row r="10634" s="166" customFormat="1" x14ac:dyDescent="0.2"/>
    <row r="10635" s="166" customFormat="1" x14ac:dyDescent="0.2"/>
    <row r="10636" s="166" customFormat="1" x14ac:dyDescent="0.2"/>
    <row r="10637" s="166" customFormat="1" x14ac:dyDescent="0.2"/>
    <row r="10638" s="166" customFormat="1" x14ac:dyDescent="0.2"/>
    <row r="10639" s="166" customFormat="1" x14ac:dyDescent="0.2"/>
    <row r="10640" s="166" customFormat="1" x14ac:dyDescent="0.2"/>
    <row r="10641" s="166" customFormat="1" x14ac:dyDescent="0.2"/>
    <row r="10642" s="166" customFormat="1" x14ac:dyDescent="0.2"/>
    <row r="10643" s="166" customFormat="1" x14ac:dyDescent="0.2"/>
    <row r="10644" s="166" customFormat="1" x14ac:dyDescent="0.2"/>
    <row r="10645" s="166" customFormat="1" x14ac:dyDescent="0.2"/>
    <row r="10646" s="166" customFormat="1" x14ac:dyDescent="0.2"/>
    <row r="10647" s="166" customFormat="1" x14ac:dyDescent="0.2"/>
    <row r="10648" s="166" customFormat="1" x14ac:dyDescent="0.2"/>
    <row r="10649" s="166" customFormat="1" x14ac:dyDescent="0.2"/>
    <row r="10650" s="166" customFormat="1" x14ac:dyDescent="0.2"/>
    <row r="10651" s="166" customFormat="1" x14ac:dyDescent="0.2"/>
    <row r="10652" s="166" customFormat="1" x14ac:dyDescent="0.2"/>
    <row r="10653" s="166" customFormat="1" x14ac:dyDescent="0.2"/>
    <row r="10654" s="166" customFormat="1" x14ac:dyDescent="0.2"/>
    <row r="10655" s="166" customFormat="1" x14ac:dyDescent="0.2"/>
    <row r="10656" s="166" customFormat="1" x14ac:dyDescent="0.2"/>
    <row r="10657" s="166" customFormat="1" x14ac:dyDescent="0.2"/>
    <row r="10658" s="166" customFormat="1" x14ac:dyDescent="0.2"/>
    <row r="10659" s="166" customFormat="1" x14ac:dyDescent="0.2"/>
    <row r="10660" s="166" customFormat="1" x14ac:dyDescent="0.2"/>
    <row r="10661" s="166" customFormat="1" x14ac:dyDescent="0.2"/>
    <row r="10662" s="166" customFormat="1" x14ac:dyDescent="0.2"/>
    <row r="10663" s="166" customFormat="1" x14ac:dyDescent="0.2"/>
    <row r="10664" s="166" customFormat="1" x14ac:dyDescent="0.2"/>
    <row r="10665" s="166" customFormat="1" x14ac:dyDescent="0.2"/>
    <row r="10666" s="166" customFormat="1" x14ac:dyDescent="0.2"/>
    <row r="10667" s="166" customFormat="1" x14ac:dyDescent="0.2"/>
    <row r="10668" s="166" customFormat="1" x14ac:dyDescent="0.2"/>
    <row r="10669" s="166" customFormat="1" x14ac:dyDescent="0.2"/>
    <row r="10670" s="166" customFormat="1" x14ac:dyDescent="0.2"/>
    <row r="10671" s="166" customFormat="1" x14ac:dyDescent="0.2"/>
    <row r="10672" s="166" customFormat="1" x14ac:dyDescent="0.2"/>
    <row r="10673" s="166" customFormat="1" x14ac:dyDescent="0.2"/>
    <row r="10674" s="166" customFormat="1" x14ac:dyDescent="0.2"/>
    <row r="10675" s="166" customFormat="1" x14ac:dyDescent="0.2"/>
    <row r="10676" s="166" customFormat="1" x14ac:dyDescent="0.2"/>
    <row r="10677" s="166" customFormat="1" x14ac:dyDescent="0.2"/>
    <row r="10678" s="166" customFormat="1" x14ac:dyDescent="0.2"/>
    <row r="10679" s="166" customFormat="1" x14ac:dyDescent="0.2"/>
    <row r="10680" s="166" customFormat="1" x14ac:dyDescent="0.2"/>
    <row r="10681" s="166" customFormat="1" x14ac:dyDescent="0.2"/>
    <row r="10682" s="166" customFormat="1" x14ac:dyDescent="0.2"/>
    <row r="10683" s="166" customFormat="1" x14ac:dyDescent="0.2"/>
    <row r="10684" s="166" customFormat="1" x14ac:dyDescent="0.2"/>
    <row r="10685" s="166" customFormat="1" x14ac:dyDescent="0.2"/>
    <row r="10686" s="166" customFormat="1" x14ac:dyDescent="0.2"/>
    <row r="10687" s="166" customFormat="1" x14ac:dyDescent="0.2"/>
    <row r="10688" s="166" customFormat="1" x14ac:dyDescent="0.2"/>
    <row r="10689" s="166" customFormat="1" x14ac:dyDescent="0.2"/>
    <row r="10690" s="166" customFormat="1" x14ac:dyDescent="0.2"/>
    <row r="10691" s="166" customFormat="1" x14ac:dyDescent="0.2"/>
    <row r="10692" s="166" customFormat="1" x14ac:dyDescent="0.2"/>
    <row r="10693" s="166" customFormat="1" x14ac:dyDescent="0.2"/>
    <row r="10694" s="166" customFormat="1" x14ac:dyDescent="0.2"/>
    <row r="10695" s="166" customFormat="1" x14ac:dyDescent="0.2"/>
    <row r="10696" s="166" customFormat="1" x14ac:dyDescent="0.2"/>
    <row r="10697" s="166" customFormat="1" x14ac:dyDescent="0.2"/>
    <row r="10698" s="166" customFormat="1" x14ac:dyDescent="0.2"/>
    <row r="10699" s="166" customFormat="1" x14ac:dyDescent="0.2"/>
    <row r="10700" s="166" customFormat="1" x14ac:dyDescent="0.2"/>
    <row r="10701" s="166" customFormat="1" x14ac:dyDescent="0.2"/>
    <row r="10702" s="166" customFormat="1" x14ac:dyDescent="0.2"/>
    <row r="10703" s="166" customFormat="1" x14ac:dyDescent="0.2"/>
    <row r="10704" s="166" customFormat="1" x14ac:dyDescent="0.2"/>
    <row r="10705" s="166" customFormat="1" x14ac:dyDescent="0.2"/>
    <row r="10706" s="166" customFormat="1" x14ac:dyDescent="0.2"/>
    <row r="10707" s="166" customFormat="1" x14ac:dyDescent="0.2"/>
    <row r="10708" s="166" customFormat="1" x14ac:dyDescent="0.2"/>
    <row r="10709" s="166" customFormat="1" x14ac:dyDescent="0.2"/>
    <row r="10710" s="166" customFormat="1" x14ac:dyDescent="0.2"/>
    <row r="10711" s="166" customFormat="1" x14ac:dyDescent="0.2"/>
    <row r="10712" s="166" customFormat="1" x14ac:dyDescent="0.2"/>
    <row r="10713" s="166" customFormat="1" x14ac:dyDescent="0.2"/>
    <row r="10714" s="166" customFormat="1" x14ac:dyDescent="0.2"/>
    <row r="10715" s="166" customFormat="1" x14ac:dyDescent="0.2"/>
    <row r="10716" s="166" customFormat="1" x14ac:dyDescent="0.2"/>
    <row r="10717" s="166" customFormat="1" x14ac:dyDescent="0.2"/>
    <row r="10718" s="166" customFormat="1" x14ac:dyDescent="0.2"/>
    <row r="10719" s="166" customFormat="1" x14ac:dyDescent="0.2"/>
    <row r="10720" s="166" customFormat="1" x14ac:dyDescent="0.2"/>
    <row r="10721" s="166" customFormat="1" x14ac:dyDescent="0.2"/>
    <row r="10722" s="166" customFormat="1" x14ac:dyDescent="0.2"/>
    <row r="10723" s="166" customFormat="1" x14ac:dyDescent="0.2"/>
    <row r="10724" s="166" customFormat="1" x14ac:dyDescent="0.2"/>
    <row r="10725" s="166" customFormat="1" x14ac:dyDescent="0.2"/>
    <row r="10726" s="166" customFormat="1" x14ac:dyDescent="0.2"/>
    <row r="10727" s="166" customFormat="1" x14ac:dyDescent="0.2"/>
    <row r="10728" s="166" customFormat="1" x14ac:dyDescent="0.2"/>
    <row r="10729" s="166" customFormat="1" x14ac:dyDescent="0.2"/>
    <row r="10730" s="166" customFormat="1" x14ac:dyDescent="0.2"/>
    <row r="10731" s="166" customFormat="1" x14ac:dyDescent="0.2"/>
    <row r="10732" s="166" customFormat="1" x14ac:dyDescent="0.2"/>
    <row r="10733" s="166" customFormat="1" x14ac:dyDescent="0.2"/>
    <row r="10734" s="166" customFormat="1" x14ac:dyDescent="0.2"/>
    <row r="10735" s="166" customFormat="1" x14ac:dyDescent="0.2"/>
    <row r="10736" s="166" customFormat="1" x14ac:dyDescent="0.2"/>
    <row r="10737" s="166" customFormat="1" x14ac:dyDescent="0.2"/>
    <row r="10738" s="166" customFormat="1" x14ac:dyDescent="0.2"/>
    <row r="10739" s="166" customFormat="1" x14ac:dyDescent="0.2"/>
    <row r="10740" s="166" customFormat="1" x14ac:dyDescent="0.2"/>
    <row r="10741" s="166" customFormat="1" x14ac:dyDescent="0.2"/>
    <row r="10742" s="166" customFormat="1" x14ac:dyDescent="0.2"/>
    <row r="10743" s="166" customFormat="1" x14ac:dyDescent="0.2"/>
    <row r="10744" s="166" customFormat="1" x14ac:dyDescent="0.2"/>
    <row r="10745" s="166" customFormat="1" x14ac:dyDescent="0.2"/>
    <row r="10746" s="166" customFormat="1" x14ac:dyDescent="0.2"/>
    <row r="10747" s="166" customFormat="1" x14ac:dyDescent="0.2"/>
    <row r="10748" s="166" customFormat="1" x14ac:dyDescent="0.2"/>
    <row r="10749" s="166" customFormat="1" x14ac:dyDescent="0.2"/>
    <row r="10750" s="166" customFormat="1" x14ac:dyDescent="0.2"/>
    <row r="10751" s="166" customFormat="1" x14ac:dyDescent="0.2"/>
    <row r="10752" s="166" customFormat="1" x14ac:dyDescent="0.2"/>
    <row r="10753" s="166" customFormat="1" x14ac:dyDescent="0.2"/>
    <row r="10754" s="166" customFormat="1" x14ac:dyDescent="0.2"/>
    <row r="10755" s="166" customFormat="1" x14ac:dyDescent="0.2"/>
    <row r="10756" s="166" customFormat="1" x14ac:dyDescent="0.2"/>
    <row r="10757" s="166" customFormat="1" x14ac:dyDescent="0.2"/>
    <row r="10758" s="166" customFormat="1" x14ac:dyDescent="0.2"/>
    <row r="10759" s="166" customFormat="1" x14ac:dyDescent="0.2"/>
    <row r="10760" s="166" customFormat="1" x14ac:dyDescent="0.2"/>
    <row r="10761" s="166" customFormat="1" x14ac:dyDescent="0.2"/>
    <row r="10762" s="166" customFormat="1" x14ac:dyDescent="0.2"/>
    <row r="10763" s="166" customFormat="1" x14ac:dyDescent="0.2"/>
    <row r="10764" s="166" customFormat="1" x14ac:dyDescent="0.2"/>
    <row r="10765" s="166" customFormat="1" x14ac:dyDescent="0.2"/>
    <row r="10766" s="166" customFormat="1" x14ac:dyDescent="0.2"/>
    <row r="10767" s="166" customFormat="1" x14ac:dyDescent="0.2"/>
    <row r="10768" s="166" customFormat="1" x14ac:dyDescent="0.2"/>
    <row r="10769" s="166" customFormat="1" x14ac:dyDescent="0.2"/>
    <row r="10770" s="166" customFormat="1" x14ac:dyDescent="0.2"/>
    <row r="10771" s="166" customFormat="1" x14ac:dyDescent="0.2"/>
    <row r="10772" s="166" customFormat="1" x14ac:dyDescent="0.2"/>
    <row r="10773" s="166" customFormat="1" x14ac:dyDescent="0.2"/>
    <row r="10774" s="166" customFormat="1" x14ac:dyDescent="0.2"/>
    <row r="10775" s="166" customFormat="1" x14ac:dyDescent="0.2"/>
    <row r="10776" s="166" customFormat="1" x14ac:dyDescent="0.2"/>
    <row r="10777" s="166" customFormat="1" x14ac:dyDescent="0.2"/>
    <row r="10778" s="166" customFormat="1" x14ac:dyDescent="0.2"/>
    <row r="10779" s="166" customFormat="1" x14ac:dyDescent="0.2"/>
    <row r="10780" s="166" customFormat="1" x14ac:dyDescent="0.2"/>
    <row r="10781" s="166" customFormat="1" x14ac:dyDescent="0.2"/>
    <row r="10782" s="166" customFormat="1" x14ac:dyDescent="0.2"/>
    <row r="10783" s="166" customFormat="1" x14ac:dyDescent="0.2"/>
    <row r="10784" s="166" customFormat="1" x14ac:dyDescent="0.2"/>
    <row r="10785" s="166" customFormat="1" x14ac:dyDescent="0.2"/>
    <row r="10786" s="166" customFormat="1" x14ac:dyDescent="0.2"/>
    <row r="10787" s="166" customFormat="1" x14ac:dyDescent="0.2"/>
    <row r="10788" s="166" customFormat="1" x14ac:dyDescent="0.2"/>
    <row r="10789" s="166" customFormat="1" x14ac:dyDescent="0.2"/>
    <row r="10790" s="166" customFormat="1" x14ac:dyDescent="0.2"/>
    <row r="10791" s="166" customFormat="1" x14ac:dyDescent="0.2"/>
    <row r="10792" s="166" customFormat="1" x14ac:dyDescent="0.2"/>
    <row r="10793" s="166" customFormat="1" x14ac:dyDescent="0.2"/>
    <row r="10794" s="166" customFormat="1" x14ac:dyDescent="0.2"/>
    <row r="10795" s="166" customFormat="1" x14ac:dyDescent="0.2"/>
    <row r="10796" s="166" customFormat="1" x14ac:dyDescent="0.2"/>
    <row r="10797" s="166" customFormat="1" x14ac:dyDescent="0.2"/>
    <row r="10798" s="166" customFormat="1" x14ac:dyDescent="0.2"/>
    <row r="10799" s="166" customFormat="1" x14ac:dyDescent="0.2"/>
    <row r="10800" s="166" customFormat="1" x14ac:dyDescent="0.2"/>
    <row r="10801" s="166" customFormat="1" x14ac:dyDescent="0.2"/>
    <row r="10802" s="166" customFormat="1" x14ac:dyDescent="0.2"/>
    <row r="10803" s="166" customFormat="1" x14ac:dyDescent="0.2"/>
    <row r="10804" s="166" customFormat="1" x14ac:dyDescent="0.2"/>
    <row r="10805" s="166" customFormat="1" x14ac:dyDescent="0.2"/>
    <row r="10806" s="166" customFormat="1" x14ac:dyDescent="0.2"/>
    <row r="10807" s="166" customFormat="1" x14ac:dyDescent="0.2"/>
    <row r="10808" s="166" customFormat="1" x14ac:dyDescent="0.2"/>
    <row r="10809" s="166" customFormat="1" x14ac:dyDescent="0.2"/>
    <row r="10810" s="166" customFormat="1" x14ac:dyDescent="0.2"/>
    <row r="10811" s="166" customFormat="1" x14ac:dyDescent="0.2"/>
    <row r="10812" s="166" customFormat="1" x14ac:dyDescent="0.2"/>
    <row r="10813" s="166" customFormat="1" x14ac:dyDescent="0.2"/>
    <row r="10814" s="166" customFormat="1" x14ac:dyDescent="0.2"/>
    <row r="10815" s="166" customFormat="1" x14ac:dyDescent="0.2"/>
    <row r="10816" s="166" customFormat="1" x14ac:dyDescent="0.2"/>
    <row r="10817" s="166" customFormat="1" x14ac:dyDescent="0.2"/>
    <row r="10818" s="166" customFormat="1" x14ac:dyDescent="0.2"/>
    <row r="10819" s="166" customFormat="1" x14ac:dyDescent="0.2"/>
    <row r="10820" s="166" customFormat="1" x14ac:dyDescent="0.2"/>
    <row r="10821" s="166" customFormat="1" x14ac:dyDescent="0.2"/>
    <row r="10822" s="166" customFormat="1" x14ac:dyDescent="0.2"/>
    <row r="10823" s="166" customFormat="1" x14ac:dyDescent="0.2"/>
    <row r="10824" s="166" customFormat="1" x14ac:dyDescent="0.2"/>
    <row r="10825" s="166" customFormat="1" x14ac:dyDescent="0.2"/>
    <row r="10826" s="166" customFormat="1" x14ac:dyDescent="0.2"/>
    <row r="10827" s="166" customFormat="1" x14ac:dyDescent="0.2"/>
    <row r="10828" s="166" customFormat="1" x14ac:dyDescent="0.2"/>
    <row r="10829" s="166" customFormat="1" x14ac:dyDescent="0.2"/>
    <row r="10830" s="166" customFormat="1" x14ac:dyDescent="0.2"/>
    <row r="10831" s="166" customFormat="1" x14ac:dyDescent="0.2"/>
    <row r="10832" s="166" customFormat="1" x14ac:dyDescent="0.2"/>
    <row r="10833" s="166" customFormat="1" x14ac:dyDescent="0.2"/>
    <row r="10834" s="166" customFormat="1" x14ac:dyDescent="0.2"/>
    <row r="10835" s="166" customFormat="1" x14ac:dyDescent="0.2"/>
    <row r="10836" s="166" customFormat="1" x14ac:dyDescent="0.2"/>
    <row r="10837" s="166" customFormat="1" x14ac:dyDescent="0.2"/>
    <row r="10838" s="166" customFormat="1" x14ac:dyDescent="0.2"/>
    <row r="10839" s="166" customFormat="1" x14ac:dyDescent="0.2"/>
    <row r="10840" s="166" customFormat="1" x14ac:dyDescent="0.2"/>
    <row r="10841" s="166" customFormat="1" x14ac:dyDescent="0.2"/>
    <row r="10842" s="166" customFormat="1" x14ac:dyDescent="0.2"/>
    <row r="10843" s="166" customFormat="1" x14ac:dyDescent="0.2"/>
    <row r="10844" s="166" customFormat="1" x14ac:dyDescent="0.2"/>
    <row r="10845" s="166" customFormat="1" x14ac:dyDescent="0.2"/>
    <row r="10846" s="166" customFormat="1" x14ac:dyDescent="0.2"/>
    <row r="10847" s="166" customFormat="1" x14ac:dyDescent="0.2"/>
    <row r="10848" s="166" customFormat="1" x14ac:dyDescent="0.2"/>
    <row r="10849" s="166" customFormat="1" x14ac:dyDescent="0.2"/>
    <row r="10850" s="166" customFormat="1" x14ac:dyDescent="0.2"/>
    <row r="10851" s="166" customFormat="1" x14ac:dyDescent="0.2"/>
    <row r="10852" s="166" customFormat="1" x14ac:dyDescent="0.2"/>
    <row r="10853" s="166" customFormat="1" x14ac:dyDescent="0.2"/>
    <row r="10854" s="166" customFormat="1" x14ac:dyDescent="0.2"/>
    <row r="10855" s="166" customFormat="1" x14ac:dyDescent="0.2"/>
    <row r="10856" s="166" customFormat="1" x14ac:dyDescent="0.2"/>
    <row r="10857" s="166" customFormat="1" x14ac:dyDescent="0.2"/>
    <row r="10858" s="166" customFormat="1" x14ac:dyDescent="0.2"/>
    <row r="10859" s="166" customFormat="1" x14ac:dyDescent="0.2"/>
    <row r="10860" s="166" customFormat="1" x14ac:dyDescent="0.2"/>
    <row r="10861" s="166" customFormat="1" x14ac:dyDescent="0.2"/>
    <row r="10862" s="166" customFormat="1" x14ac:dyDescent="0.2"/>
    <row r="10863" s="166" customFormat="1" x14ac:dyDescent="0.2"/>
    <row r="10864" s="166" customFormat="1" x14ac:dyDescent="0.2"/>
    <row r="10865" s="166" customFormat="1" x14ac:dyDescent="0.2"/>
    <row r="10866" s="166" customFormat="1" x14ac:dyDescent="0.2"/>
    <row r="10867" s="166" customFormat="1" x14ac:dyDescent="0.2"/>
    <row r="10868" s="166" customFormat="1" x14ac:dyDescent="0.2"/>
    <row r="10869" s="166" customFormat="1" x14ac:dyDescent="0.2"/>
    <row r="10870" s="166" customFormat="1" x14ac:dyDescent="0.2"/>
    <row r="10871" s="166" customFormat="1" x14ac:dyDescent="0.2"/>
    <row r="10872" s="166" customFormat="1" x14ac:dyDescent="0.2"/>
    <row r="10873" s="166" customFormat="1" x14ac:dyDescent="0.2"/>
    <row r="10874" s="166" customFormat="1" x14ac:dyDescent="0.2"/>
    <row r="10875" s="166" customFormat="1" x14ac:dyDescent="0.2"/>
    <row r="10876" s="166" customFormat="1" x14ac:dyDescent="0.2"/>
    <row r="10877" s="166" customFormat="1" x14ac:dyDescent="0.2"/>
    <row r="10878" s="166" customFormat="1" x14ac:dyDescent="0.2"/>
    <row r="10879" s="166" customFormat="1" x14ac:dyDescent="0.2"/>
    <row r="10880" s="166" customFormat="1" x14ac:dyDescent="0.2"/>
    <row r="10881" s="166" customFormat="1" x14ac:dyDescent="0.2"/>
    <row r="10882" s="166" customFormat="1" x14ac:dyDescent="0.2"/>
    <row r="10883" s="166" customFormat="1" x14ac:dyDescent="0.2"/>
    <row r="10884" s="166" customFormat="1" x14ac:dyDescent="0.2"/>
    <row r="10885" s="166" customFormat="1" x14ac:dyDescent="0.2"/>
    <row r="10886" s="166" customFormat="1" x14ac:dyDescent="0.2"/>
    <row r="10887" s="166" customFormat="1" x14ac:dyDescent="0.2"/>
    <row r="10888" s="166" customFormat="1" x14ac:dyDescent="0.2"/>
    <row r="10889" s="166" customFormat="1" x14ac:dyDescent="0.2"/>
    <row r="10890" s="166" customFormat="1" x14ac:dyDescent="0.2"/>
    <row r="10891" s="166" customFormat="1" x14ac:dyDescent="0.2"/>
    <row r="10892" s="166" customFormat="1" x14ac:dyDescent="0.2"/>
    <row r="10893" s="166" customFormat="1" x14ac:dyDescent="0.2"/>
    <row r="10894" s="166" customFormat="1" x14ac:dyDescent="0.2"/>
    <row r="10895" s="166" customFormat="1" x14ac:dyDescent="0.2"/>
    <row r="10896" s="166" customFormat="1" x14ac:dyDescent="0.2"/>
    <row r="10897" s="166" customFormat="1" x14ac:dyDescent="0.2"/>
    <row r="10898" s="166" customFormat="1" x14ac:dyDescent="0.2"/>
    <row r="10899" s="166" customFormat="1" x14ac:dyDescent="0.2"/>
    <row r="10900" s="166" customFormat="1" x14ac:dyDescent="0.2"/>
    <row r="10901" s="166" customFormat="1" x14ac:dyDescent="0.2"/>
    <row r="10902" s="166" customFormat="1" x14ac:dyDescent="0.2"/>
    <row r="10903" s="166" customFormat="1" x14ac:dyDescent="0.2"/>
    <row r="10904" s="166" customFormat="1" x14ac:dyDescent="0.2"/>
    <row r="10905" s="166" customFormat="1" x14ac:dyDescent="0.2"/>
    <row r="10906" s="166" customFormat="1" x14ac:dyDescent="0.2"/>
    <row r="10907" s="166" customFormat="1" x14ac:dyDescent="0.2"/>
    <row r="10908" s="166" customFormat="1" x14ac:dyDescent="0.2"/>
    <row r="10909" s="166" customFormat="1" x14ac:dyDescent="0.2"/>
    <row r="10910" s="166" customFormat="1" x14ac:dyDescent="0.2"/>
    <row r="10911" s="166" customFormat="1" x14ac:dyDescent="0.2"/>
    <row r="10912" s="166" customFormat="1" x14ac:dyDescent="0.2"/>
    <row r="10913" s="166" customFormat="1" x14ac:dyDescent="0.2"/>
    <row r="10914" s="166" customFormat="1" x14ac:dyDescent="0.2"/>
    <row r="10915" s="166" customFormat="1" x14ac:dyDescent="0.2"/>
    <row r="10916" s="166" customFormat="1" x14ac:dyDescent="0.2"/>
    <row r="10917" s="166" customFormat="1" x14ac:dyDescent="0.2"/>
    <row r="10918" s="166" customFormat="1" x14ac:dyDescent="0.2"/>
    <row r="10919" s="166" customFormat="1" x14ac:dyDescent="0.2"/>
    <row r="10920" s="166" customFormat="1" x14ac:dyDescent="0.2"/>
    <row r="10921" s="166" customFormat="1" x14ac:dyDescent="0.2"/>
    <row r="10922" s="166" customFormat="1" x14ac:dyDescent="0.2"/>
    <row r="10923" s="166" customFormat="1" x14ac:dyDescent="0.2"/>
    <row r="10924" s="166" customFormat="1" x14ac:dyDescent="0.2"/>
    <row r="10925" s="166" customFormat="1" x14ac:dyDescent="0.2"/>
    <row r="10926" s="166" customFormat="1" x14ac:dyDescent="0.2"/>
    <row r="10927" s="166" customFormat="1" x14ac:dyDescent="0.2"/>
    <row r="10928" s="166" customFormat="1" x14ac:dyDescent="0.2"/>
    <row r="10929" s="166" customFormat="1" x14ac:dyDescent="0.2"/>
    <row r="10930" s="166" customFormat="1" x14ac:dyDescent="0.2"/>
    <row r="10931" s="166" customFormat="1" x14ac:dyDescent="0.2"/>
    <row r="10932" s="166" customFormat="1" x14ac:dyDescent="0.2"/>
    <row r="10933" s="166" customFormat="1" x14ac:dyDescent="0.2"/>
    <row r="10934" s="166" customFormat="1" x14ac:dyDescent="0.2"/>
    <row r="10935" s="166" customFormat="1" x14ac:dyDescent="0.2"/>
    <row r="10936" s="166" customFormat="1" x14ac:dyDescent="0.2"/>
    <row r="10937" s="166" customFormat="1" x14ac:dyDescent="0.2"/>
    <row r="10938" s="166" customFormat="1" x14ac:dyDescent="0.2"/>
    <row r="10939" s="166" customFormat="1" x14ac:dyDescent="0.2"/>
    <row r="10940" s="166" customFormat="1" x14ac:dyDescent="0.2"/>
    <row r="10941" s="166" customFormat="1" x14ac:dyDescent="0.2"/>
    <row r="10942" s="166" customFormat="1" x14ac:dyDescent="0.2"/>
    <row r="10943" s="166" customFormat="1" x14ac:dyDescent="0.2"/>
    <row r="10944" s="166" customFormat="1" x14ac:dyDescent="0.2"/>
    <row r="10945" s="166" customFormat="1" x14ac:dyDescent="0.2"/>
    <row r="10946" s="166" customFormat="1" x14ac:dyDescent="0.2"/>
    <row r="10947" s="166" customFormat="1" x14ac:dyDescent="0.2"/>
    <row r="10948" s="166" customFormat="1" x14ac:dyDescent="0.2"/>
    <row r="10949" s="166" customFormat="1" x14ac:dyDescent="0.2"/>
    <row r="10950" s="166" customFormat="1" x14ac:dyDescent="0.2"/>
    <row r="10951" s="166" customFormat="1" x14ac:dyDescent="0.2"/>
    <row r="10952" s="166" customFormat="1" x14ac:dyDescent="0.2"/>
    <row r="10953" s="166" customFormat="1" x14ac:dyDescent="0.2"/>
    <row r="10954" s="166" customFormat="1" x14ac:dyDescent="0.2"/>
    <row r="10955" s="166" customFormat="1" x14ac:dyDescent="0.2"/>
    <row r="10956" s="166" customFormat="1" x14ac:dyDescent="0.2"/>
    <row r="10957" s="166" customFormat="1" x14ac:dyDescent="0.2"/>
    <row r="10958" s="166" customFormat="1" x14ac:dyDescent="0.2"/>
    <row r="10959" s="166" customFormat="1" x14ac:dyDescent="0.2"/>
    <row r="10960" s="166" customFormat="1" x14ac:dyDescent="0.2"/>
    <row r="10961" s="166" customFormat="1" x14ac:dyDescent="0.2"/>
    <row r="10962" s="166" customFormat="1" x14ac:dyDescent="0.2"/>
    <row r="10963" s="166" customFormat="1" x14ac:dyDescent="0.2"/>
    <row r="10964" s="166" customFormat="1" x14ac:dyDescent="0.2"/>
    <row r="10965" s="166" customFormat="1" x14ac:dyDescent="0.2"/>
    <row r="10966" s="166" customFormat="1" x14ac:dyDescent="0.2"/>
    <row r="10967" s="166" customFormat="1" x14ac:dyDescent="0.2"/>
    <row r="10968" s="166" customFormat="1" x14ac:dyDescent="0.2"/>
    <row r="10969" s="166" customFormat="1" x14ac:dyDescent="0.2"/>
    <row r="10970" s="166" customFormat="1" x14ac:dyDescent="0.2"/>
    <row r="10971" s="166" customFormat="1" x14ac:dyDescent="0.2"/>
    <row r="10972" s="166" customFormat="1" x14ac:dyDescent="0.2"/>
    <row r="10973" s="166" customFormat="1" x14ac:dyDescent="0.2"/>
    <row r="10974" s="166" customFormat="1" x14ac:dyDescent="0.2"/>
    <row r="10975" s="166" customFormat="1" x14ac:dyDescent="0.2"/>
    <row r="10976" s="166" customFormat="1" x14ac:dyDescent="0.2"/>
    <row r="10977" s="166" customFormat="1" x14ac:dyDescent="0.2"/>
    <row r="10978" s="166" customFormat="1" x14ac:dyDescent="0.2"/>
    <row r="10979" s="166" customFormat="1" x14ac:dyDescent="0.2"/>
    <row r="10980" s="166" customFormat="1" x14ac:dyDescent="0.2"/>
    <row r="10981" s="166" customFormat="1" x14ac:dyDescent="0.2"/>
    <row r="10982" s="166" customFormat="1" x14ac:dyDescent="0.2"/>
    <row r="10983" s="166" customFormat="1" x14ac:dyDescent="0.2"/>
    <row r="10984" s="166" customFormat="1" x14ac:dyDescent="0.2"/>
    <row r="10985" s="166" customFormat="1" x14ac:dyDescent="0.2"/>
    <row r="10986" s="166" customFormat="1" x14ac:dyDescent="0.2"/>
    <row r="10987" s="166" customFormat="1" x14ac:dyDescent="0.2"/>
    <row r="10988" s="166" customFormat="1" x14ac:dyDescent="0.2"/>
    <row r="10989" s="166" customFormat="1" x14ac:dyDescent="0.2"/>
    <row r="10990" s="166" customFormat="1" x14ac:dyDescent="0.2"/>
    <row r="10991" s="166" customFormat="1" x14ac:dyDescent="0.2"/>
    <row r="10992" s="166" customFormat="1" x14ac:dyDescent="0.2"/>
    <row r="10993" s="166" customFormat="1" x14ac:dyDescent="0.2"/>
    <row r="10994" s="166" customFormat="1" x14ac:dyDescent="0.2"/>
    <row r="10995" s="166" customFormat="1" x14ac:dyDescent="0.2"/>
    <row r="10996" s="166" customFormat="1" x14ac:dyDescent="0.2"/>
    <row r="10997" s="166" customFormat="1" x14ac:dyDescent="0.2"/>
    <row r="10998" s="166" customFormat="1" x14ac:dyDescent="0.2"/>
    <row r="10999" s="166" customFormat="1" x14ac:dyDescent="0.2"/>
    <row r="11000" s="166" customFormat="1" x14ac:dyDescent="0.2"/>
    <row r="11001" s="166" customFormat="1" x14ac:dyDescent="0.2"/>
    <row r="11002" s="166" customFormat="1" x14ac:dyDescent="0.2"/>
    <row r="11003" s="166" customFormat="1" x14ac:dyDescent="0.2"/>
    <row r="11004" s="166" customFormat="1" x14ac:dyDescent="0.2"/>
    <row r="11005" s="166" customFormat="1" x14ac:dyDescent="0.2"/>
    <row r="11006" s="166" customFormat="1" x14ac:dyDescent="0.2"/>
    <row r="11007" s="166" customFormat="1" x14ac:dyDescent="0.2"/>
    <row r="11008" s="166" customFormat="1" x14ac:dyDescent="0.2"/>
    <row r="11009" s="166" customFormat="1" x14ac:dyDescent="0.2"/>
    <row r="11010" s="166" customFormat="1" x14ac:dyDescent="0.2"/>
    <row r="11011" s="166" customFormat="1" x14ac:dyDescent="0.2"/>
    <row r="11012" s="166" customFormat="1" x14ac:dyDescent="0.2"/>
    <row r="11013" s="166" customFormat="1" x14ac:dyDescent="0.2"/>
    <row r="11014" s="166" customFormat="1" x14ac:dyDescent="0.2"/>
    <row r="11015" s="166" customFormat="1" x14ac:dyDescent="0.2"/>
    <row r="11016" s="166" customFormat="1" x14ac:dyDescent="0.2"/>
    <row r="11017" s="166" customFormat="1" x14ac:dyDescent="0.2"/>
    <row r="11018" s="166" customFormat="1" x14ac:dyDescent="0.2"/>
    <row r="11019" s="166" customFormat="1" x14ac:dyDescent="0.2"/>
    <row r="11020" s="166" customFormat="1" x14ac:dyDescent="0.2"/>
    <row r="11021" s="166" customFormat="1" x14ac:dyDescent="0.2"/>
    <row r="11022" s="166" customFormat="1" x14ac:dyDescent="0.2"/>
    <row r="11023" s="166" customFormat="1" x14ac:dyDescent="0.2"/>
    <row r="11024" s="166" customFormat="1" x14ac:dyDescent="0.2"/>
    <row r="11025" s="166" customFormat="1" x14ac:dyDescent="0.2"/>
    <row r="11026" s="166" customFormat="1" x14ac:dyDescent="0.2"/>
    <row r="11027" s="166" customFormat="1" x14ac:dyDescent="0.2"/>
    <row r="11028" s="166" customFormat="1" x14ac:dyDescent="0.2"/>
    <row r="11029" s="166" customFormat="1" x14ac:dyDescent="0.2"/>
    <row r="11030" s="166" customFormat="1" x14ac:dyDescent="0.2"/>
    <row r="11031" s="166" customFormat="1" x14ac:dyDescent="0.2"/>
    <row r="11032" s="166" customFormat="1" x14ac:dyDescent="0.2"/>
    <row r="11033" s="166" customFormat="1" x14ac:dyDescent="0.2"/>
    <row r="11034" s="166" customFormat="1" x14ac:dyDescent="0.2"/>
    <row r="11035" s="166" customFormat="1" x14ac:dyDescent="0.2"/>
    <row r="11036" s="166" customFormat="1" x14ac:dyDescent="0.2"/>
    <row r="11037" s="166" customFormat="1" x14ac:dyDescent="0.2"/>
    <row r="11038" s="166" customFormat="1" x14ac:dyDescent="0.2"/>
    <row r="11039" s="166" customFormat="1" x14ac:dyDescent="0.2"/>
    <row r="11040" s="166" customFormat="1" x14ac:dyDescent="0.2"/>
    <row r="11041" s="166" customFormat="1" x14ac:dyDescent="0.2"/>
    <row r="11042" s="166" customFormat="1" x14ac:dyDescent="0.2"/>
    <row r="11043" s="166" customFormat="1" x14ac:dyDescent="0.2"/>
    <row r="11044" s="166" customFormat="1" x14ac:dyDescent="0.2"/>
    <row r="11045" s="166" customFormat="1" x14ac:dyDescent="0.2"/>
    <row r="11046" s="166" customFormat="1" x14ac:dyDescent="0.2"/>
    <row r="11047" s="166" customFormat="1" x14ac:dyDescent="0.2"/>
    <row r="11048" s="166" customFormat="1" x14ac:dyDescent="0.2"/>
    <row r="11049" s="166" customFormat="1" x14ac:dyDescent="0.2"/>
    <row r="11050" s="166" customFormat="1" x14ac:dyDescent="0.2"/>
    <row r="11051" s="166" customFormat="1" x14ac:dyDescent="0.2"/>
    <row r="11052" s="166" customFormat="1" x14ac:dyDescent="0.2"/>
    <row r="11053" s="166" customFormat="1" x14ac:dyDescent="0.2"/>
    <row r="11054" s="166" customFormat="1" x14ac:dyDescent="0.2"/>
    <row r="11055" s="166" customFormat="1" x14ac:dyDescent="0.2"/>
    <row r="11056" s="166" customFormat="1" x14ac:dyDescent="0.2"/>
    <row r="11057" s="166" customFormat="1" x14ac:dyDescent="0.2"/>
    <row r="11058" s="166" customFormat="1" x14ac:dyDescent="0.2"/>
    <row r="11059" s="166" customFormat="1" x14ac:dyDescent="0.2"/>
    <row r="11060" s="166" customFormat="1" x14ac:dyDescent="0.2"/>
    <row r="11061" s="166" customFormat="1" x14ac:dyDescent="0.2"/>
    <row r="11062" s="166" customFormat="1" x14ac:dyDescent="0.2"/>
    <row r="11063" s="166" customFormat="1" x14ac:dyDescent="0.2"/>
    <row r="11064" s="166" customFormat="1" x14ac:dyDescent="0.2"/>
    <row r="11065" s="166" customFormat="1" x14ac:dyDescent="0.2"/>
    <row r="11066" s="166" customFormat="1" x14ac:dyDescent="0.2"/>
    <row r="11067" s="166" customFormat="1" x14ac:dyDescent="0.2"/>
    <row r="11068" s="166" customFormat="1" x14ac:dyDescent="0.2"/>
    <row r="11069" s="166" customFormat="1" x14ac:dyDescent="0.2"/>
    <row r="11070" s="166" customFormat="1" x14ac:dyDescent="0.2"/>
    <row r="11071" s="166" customFormat="1" x14ac:dyDescent="0.2"/>
    <row r="11072" s="166" customFormat="1" x14ac:dyDescent="0.2"/>
    <row r="11073" s="166" customFormat="1" x14ac:dyDescent="0.2"/>
    <row r="11074" s="166" customFormat="1" x14ac:dyDescent="0.2"/>
    <row r="11075" s="166" customFormat="1" x14ac:dyDescent="0.2"/>
    <row r="11076" s="166" customFormat="1" x14ac:dyDescent="0.2"/>
    <row r="11077" s="166" customFormat="1" x14ac:dyDescent="0.2"/>
    <row r="11078" s="166" customFormat="1" x14ac:dyDescent="0.2"/>
    <row r="11079" s="166" customFormat="1" x14ac:dyDescent="0.2"/>
    <row r="11080" s="166" customFormat="1" x14ac:dyDescent="0.2"/>
    <row r="11081" s="166" customFormat="1" x14ac:dyDescent="0.2"/>
    <row r="11082" s="166" customFormat="1" x14ac:dyDescent="0.2"/>
    <row r="11083" s="166" customFormat="1" x14ac:dyDescent="0.2"/>
    <row r="11084" s="166" customFormat="1" x14ac:dyDescent="0.2"/>
    <row r="11085" s="166" customFormat="1" x14ac:dyDescent="0.2"/>
    <row r="11086" s="166" customFormat="1" x14ac:dyDescent="0.2"/>
    <row r="11087" s="166" customFormat="1" x14ac:dyDescent="0.2"/>
    <row r="11088" s="166" customFormat="1" x14ac:dyDescent="0.2"/>
    <row r="11089" s="166" customFormat="1" x14ac:dyDescent="0.2"/>
    <row r="11090" s="166" customFormat="1" x14ac:dyDescent="0.2"/>
    <row r="11091" s="166" customFormat="1" x14ac:dyDescent="0.2"/>
    <row r="11092" s="166" customFormat="1" x14ac:dyDescent="0.2"/>
    <row r="11093" s="166" customFormat="1" x14ac:dyDescent="0.2"/>
    <row r="11094" s="166" customFormat="1" x14ac:dyDescent="0.2"/>
    <row r="11095" s="166" customFormat="1" x14ac:dyDescent="0.2"/>
    <row r="11096" s="166" customFormat="1" x14ac:dyDescent="0.2"/>
    <row r="11097" s="166" customFormat="1" x14ac:dyDescent="0.2"/>
    <row r="11098" s="166" customFormat="1" x14ac:dyDescent="0.2"/>
    <row r="11099" s="166" customFormat="1" x14ac:dyDescent="0.2"/>
    <row r="11100" s="166" customFormat="1" x14ac:dyDescent="0.2"/>
    <row r="11101" s="166" customFormat="1" x14ac:dyDescent="0.2"/>
    <row r="11102" s="166" customFormat="1" x14ac:dyDescent="0.2"/>
    <row r="11103" s="166" customFormat="1" x14ac:dyDescent="0.2"/>
    <row r="11104" s="166" customFormat="1" x14ac:dyDescent="0.2"/>
    <row r="11105" s="166" customFormat="1" x14ac:dyDescent="0.2"/>
    <row r="11106" s="166" customFormat="1" x14ac:dyDescent="0.2"/>
    <row r="11107" s="166" customFormat="1" x14ac:dyDescent="0.2"/>
    <row r="11108" s="166" customFormat="1" x14ac:dyDescent="0.2"/>
    <row r="11109" s="166" customFormat="1" x14ac:dyDescent="0.2"/>
    <row r="11110" s="166" customFormat="1" x14ac:dyDescent="0.2"/>
    <row r="11111" s="166" customFormat="1" x14ac:dyDescent="0.2"/>
    <row r="11112" s="166" customFormat="1" x14ac:dyDescent="0.2"/>
    <row r="11113" s="166" customFormat="1" x14ac:dyDescent="0.2"/>
    <row r="11114" s="166" customFormat="1" x14ac:dyDescent="0.2"/>
    <row r="11115" s="166" customFormat="1" x14ac:dyDescent="0.2"/>
    <row r="11116" s="166" customFormat="1" x14ac:dyDescent="0.2"/>
    <row r="11117" s="166" customFormat="1" x14ac:dyDescent="0.2"/>
    <row r="11118" s="166" customFormat="1" x14ac:dyDescent="0.2"/>
    <row r="11119" s="166" customFormat="1" x14ac:dyDescent="0.2"/>
    <row r="11120" s="166" customFormat="1" x14ac:dyDescent="0.2"/>
    <row r="11121" s="166" customFormat="1" x14ac:dyDescent="0.2"/>
    <row r="11122" s="166" customFormat="1" x14ac:dyDescent="0.2"/>
    <row r="11123" s="166" customFormat="1" x14ac:dyDescent="0.2"/>
    <row r="11124" s="166" customFormat="1" x14ac:dyDescent="0.2"/>
    <row r="11125" s="166" customFormat="1" x14ac:dyDescent="0.2"/>
    <row r="11126" s="166" customFormat="1" x14ac:dyDescent="0.2"/>
    <row r="11127" s="166" customFormat="1" x14ac:dyDescent="0.2"/>
    <row r="11128" s="166" customFormat="1" x14ac:dyDescent="0.2"/>
    <row r="11129" s="166" customFormat="1" x14ac:dyDescent="0.2"/>
    <row r="11130" s="166" customFormat="1" x14ac:dyDescent="0.2"/>
    <row r="11131" s="166" customFormat="1" x14ac:dyDescent="0.2"/>
    <row r="11132" s="166" customFormat="1" x14ac:dyDescent="0.2"/>
    <row r="11133" s="166" customFormat="1" x14ac:dyDescent="0.2"/>
    <row r="11134" s="166" customFormat="1" x14ac:dyDescent="0.2"/>
    <row r="11135" s="166" customFormat="1" x14ac:dyDescent="0.2"/>
    <row r="11136" s="166" customFormat="1" x14ac:dyDescent="0.2"/>
    <row r="11137" s="166" customFormat="1" x14ac:dyDescent="0.2"/>
    <row r="11138" s="166" customFormat="1" x14ac:dyDescent="0.2"/>
    <row r="11139" s="166" customFormat="1" x14ac:dyDescent="0.2"/>
    <row r="11140" s="166" customFormat="1" x14ac:dyDescent="0.2"/>
    <row r="11141" s="166" customFormat="1" x14ac:dyDescent="0.2"/>
    <row r="11142" s="166" customFormat="1" x14ac:dyDescent="0.2"/>
    <row r="11143" s="166" customFormat="1" x14ac:dyDescent="0.2"/>
    <row r="11144" s="166" customFormat="1" x14ac:dyDescent="0.2"/>
    <row r="11145" s="166" customFormat="1" x14ac:dyDescent="0.2"/>
    <row r="11146" s="166" customFormat="1" x14ac:dyDescent="0.2"/>
    <row r="11147" s="166" customFormat="1" x14ac:dyDescent="0.2"/>
    <row r="11148" s="166" customFormat="1" x14ac:dyDescent="0.2"/>
    <row r="11149" s="166" customFormat="1" x14ac:dyDescent="0.2"/>
    <row r="11150" s="166" customFormat="1" x14ac:dyDescent="0.2"/>
    <row r="11151" s="166" customFormat="1" x14ac:dyDescent="0.2"/>
    <row r="11152" s="166" customFormat="1" x14ac:dyDescent="0.2"/>
    <row r="11153" s="166" customFormat="1" x14ac:dyDescent="0.2"/>
    <row r="11154" s="166" customFormat="1" x14ac:dyDescent="0.2"/>
    <row r="11155" s="166" customFormat="1" x14ac:dyDescent="0.2"/>
    <row r="11156" s="166" customFormat="1" x14ac:dyDescent="0.2"/>
    <row r="11157" s="166" customFormat="1" x14ac:dyDescent="0.2"/>
    <row r="11158" s="166" customFormat="1" x14ac:dyDescent="0.2"/>
    <row r="11159" s="166" customFormat="1" x14ac:dyDescent="0.2"/>
    <row r="11160" s="166" customFormat="1" x14ac:dyDescent="0.2"/>
    <row r="11161" s="166" customFormat="1" x14ac:dyDescent="0.2"/>
    <row r="11162" s="166" customFormat="1" x14ac:dyDescent="0.2"/>
    <row r="11163" s="166" customFormat="1" x14ac:dyDescent="0.2"/>
    <row r="11164" s="166" customFormat="1" x14ac:dyDescent="0.2"/>
    <row r="11165" s="166" customFormat="1" x14ac:dyDescent="0.2"/>
    <row r="11166" s="166" customFormat="1" x14ac:dyDescent="0.2"/>
    <row r="11167" s="166" customFormat="1" x14ac:dyDescent="0.2"/>
    <row r="11168" s="166" customFormat="1" x14ac:dyDescent="0.2"/>
    <row r="11169" s="166" customFormat="1" x14ac:dyDescent="0.2"/>
    <row r="11170" s="166" customFormat="1" x14ac:dyDescent="0.2"/>
    <row r="11171" s="166" customFormat="1" x14ac:dyDescent="0.2"/>
    <row r="11172" s="166" customFormat="1" x14ac:dyDescent="0.2"/>
    <row r="11173" s="166" customFormat="1" x14ac:dyDescent="0.2"/>
    <row r="11174" s="166" customFormat="1" x14ac:dyDescent="0.2"/>
    <row r="11175" s="166" customFormat="1" x14ac:dyDescent="0.2"/>
    <row r="11176" s="166" customFormat="1" x14ac:dyDescent="0.2"/>
    <row r="11177" s="166" customFormat="1" x14ac:dyDescent="0.2"/>
    <row r="11178" s="166" customFormat="1" x14ac:dyDescent="0.2"/>
    <row r="11179" s="166" customFormat="1" x14ac:dyDescent="0.2"/>
    <row r="11180" s="166" customFormat="1" x14ac:dyDescent="0.2"/>
    <row r="11181" s="166" customFormat="1" x14ac:dyDescent="0.2"/>
    <row r="11182" s="166" customFormat="1" x14ac:dyDescent="0.2"/>
    <row r="11183" s="166" customFormat="1" x14ac:dyDescent="0.2"/>
    <row r="11184" s="166" customFormat="1" x14ac:dyDescent="0.2"/>
    <row r="11185" s="166" customFormat="1" x14ac:dyDescent="0.2"/>
    <row r="11186" s="166" customFormat="1" x14ac:dyDescent="0.2"/>
    <row r="11187" s="166" customFormat="1" x14ac:dyDescent="0.2"/>
    <row r="11188" s="166" customFormat="1" x14ac:dyDescent="0.2"/>
    <row r="11189" s="166" customFormat="1" x14ac:dyDescent="0.2"/>
    <row r="11190" s="166" customFormat="1" x14ac:dyDescent="0.2"/>
    <row r="11191" s="166" customFormat="1" x14ac:dyDescent="0.2"/>
    <row r="11192" s="166" customFormat="1" x14ac:dyDescent="0.2"/>
    <row r="11193" s="166" customFormat="1" x14ac:dyDescent="0.2"/>
    <row r="11194" s="166" customFormat="1" x14ac:dyDescent="0.2"/>
    <row r="11195" s="166" customFormat="1" x14ac:dyDescent="0.2"/>
    <row r="11196" s="166" customFormat="1" x14ac:dyDescent="0.2"/>
    <row r="11197" s="166" customFormat="1" x14ac:dyDescent="0.2"/>
    <row r="11198" s="166" customFormat="1" x14ac:dyDescent="0.2"/>
    <row r="11199" s="166" customFormat="1" x14ac:dyDescent="0.2"/>
    <row r="11200" s="166" customFormat="1" x14ac:dyDescent="0.2"/>
    <row r="11201" s="166" customFormat="1" x14ac:dyDescent="0.2"/>
    <row r="11202" s="166" customFormat="1" x14ac:dyDescent="0.2"/>
    <row r="11203" s="166" customFormat="1" x14ac:dyDescent="0.2"/>
    <row r="11204" s="166" customFormat="1" x14ac:dyDescent="0.2"/>
    <row r="11205" s="166" customFormat="1" x14ac:dyDescent="0.2"/>
    <row r="11206" s="166" customFormat="1" x14ac:dyDescent="0.2"/>
    <row r="11207" s="166" customFormat="1" x14ac:dyDescent="0.2"/>
    <row r="11208" s="166" customFormat="1" x14ac:dyDescent="0.2"/>
    <row r="11209" s="166" customFormat="1" x14ac:dyDescent="0.2"/>
    <row r="11210" s="166" customFormat="1" x14ac:dyDescent="0.2"/>
    <row r="11211" s="166" customFormat="1" x14ac:dyDescent="0.2"/>
    <row r="11212" s="166" customFormat="1" x14ac:dyDescent="0.2"/>
    <row r="11213" s="166" customFormat="1" x14ac:dyDescent="0.2"/>
    <row r="11214" s="166" customFormat="1" x14ac:dyDescent="0.2"/>
    <row r="11215" s="166" customFormat="1" x14ac:dyDescent="0.2"/>
    <row r="11216" s="166" customFormat="1" x14ac:dyDescent="0.2"/>
    <row r="11217" s="166" customFormat="1" x14ac:dyDescent="0.2"/>
    <row r="11218" s="166" customFormat="1" x14ac:dyDescent="0.2"/>
    <row r="11219" s="166" customFormat="1" x14ac:dyDescent="0.2"/>
    <row r="11220" s="166" customFormat="1" x14ac:dyDescent="0.2"/>
    <row r="11221" s="166" customFormat="1" x14ac:dyDescent="0.2"/>
    <row r="11222" s="166" customFormat="1" x14ac:dyDescent="0.2"/>
    <row r="11223" s="166" customFormat="1" x14ac:dyDescent="0.2"/>
    <row r="11224" s="166" customFormat="1" x14ac:dyDescent="0.2"/>
    <row r="11225" s="166" customFormat="1" x14ac:dyDescent="0.2"/>
    <row r="11226" s="166" customFormat="1" x14ac:dyDescent="0.2"/>
    <row r="11227" s="166" customFormat="1" x14ac:dyDescent="0.2"/>
    <row r="11228" s="166" customFormat="1" x14ac:dyDescent="0.2"/>
    <row r="11229" s="166" customFormat="1" x14ac:dyDescent="0.2"/>
    <row r="11230" s="166" customFormat="1" x14ac:dyDescent="0.2"/>
    <row r="11231" s="166" customFormat="1" x14ac:dyDescent="0.2"/>
    <row r="11232" s="166" customFormat="1" x14ac:dyDescent="0.2"/>
    <row r="11233" s="166" customFormat="1" x14ac:dyDescent="0.2"/>
    <row r="11234" s="166" customFormat="1" x14ac:dyDescent="0.2"/>
    <row r="11235" s="166" customFormat="1" x14ac:dyDescent="0.2"/>
    <row r="11236" s="166" customFormat="1" x14ac:dyDescent="0.2"/>
    <row r="11237" s="166" customFormat="1" x14ac:dyDescent="0.2"/>
    <row r="11238" s="166" customFormat="1" x14ac:dyDescent="0.2"/>
    <row r="11239" s="166" customFormat="1" x14ac:dyDescent="0.2"/>
    <row r="11240" s="166" customFormat="1" x14ac:dyDescent="0.2"/>
    <row r="11241" s="166" customFormat="1" x14ac:dyDescent="0.2"/>
    <row r="11242" s="166" customFormat="1" x14ac:dyDescent="0.2"/>
    <row r="11243" s="166" customFormat="1" x14ac:dyDescent="0.2"/>
    <row r="11244" s="166" customFormat="1" x14ac:dyDescent="0.2"/>
    <row r="11245" s="166" customFormat="1" x14ac:dyDescent="0.2"/>
    <row r="11246" s="166" customFormat="1" x14ac:dyDescent="0.2"/>
    <row r="11247" s="166" customFormat="1" x14ac:dyDescent="0.2"/>
    <row r="11248" s="166" customFormat="1" x14ac:dyDescent="0.2"/>
    <row r="11249" s="166" customFormat="1" x14ac:dyDescent="0.2"/>
    <row r="11250" s="166" customFormat="1" x14ac:dyDescent="0.2"/>
    <row r="11251" s="166" customFormat="1" x14ac:dyDescent="0.2"/>
    <row r="11252" s="166" customFormat="1" x14ac:dyDescent="0.2"/>
    <row r="11253" s="166" customFormat="1" x14ac:dyDescent="0.2"/>
    <row r="11254" s="166" customFormat="1" x14ac:dyDescent="0.2"/>
    <row r="11255" s="166" customFormat="1" x14ac:dyDescent="0.2"/>
    <row r="11256" s="166" customFormat="1" x14ac:dyDescent="0.2"/>
    <row r="11257" s="166" customFormat="1" x14ac:dyDescent="0.2"/>
    <row r="11258" s="166" customFormat="1" x14ac:dyDescent="0.2"/>
    <row r="11259" s="166" customFormat="1" x14ac:dyDescent="0.2"/>
    <row r="11260" s="166" customFormat="1" x14ac:dyDescent="0.2"/>
    <row r="11261" s="166" customFormat="1" x14ac:dyDescent="0.2"/>
    <row r="11262" s="166" customFormat="1" x14ac:dyDescent="0.2"/>
    <row r="11263" s="166" customFormat="1" x14ac:dyDescent="0.2"/>
    <row r="11264" s="166" customFormat="1" x14ac:dyDescent="0.2"/>
    <row r="11265" s="166" customFormat="1" x14ac:dyDescent="0.2"/>
    <row r="11266" s="166" customFormat="1" x14ac:dyDescent="0.2"/>
    <row r="11267" s="166" customFormat="1" x14ac:dyDescent="0.2"/>
    <row r="11268" s="166" customFormat="1" x14ac:dyDescent="0.2"/>
    <row r="11269" s="166" customFormat="1" x14ac:dyDescent="0.2"/>
    <row r="11270" s="166" customFormat="1" x14ac:dyDescent="0.2"/>
    <row r="11271" s="166" customFormat="1" x14ac:dyDescent="0.2"/>
    <row r="11272" s="166" customFormat="1" x14ac:dyDescent="0.2"/>
    <row r="11273" s="166" customFormat="1" x14ac:dyDescent="0.2"/>
    <row r="11274" s="166" customFormat="1" x14ac:dyDescent="0.2"/>
    <row r="11275" s="166" customFormat="1" x14ac:dyDescent="0.2"/>
    <row r="11276" s="166" customFormat="1" x14ac:dyDescent="0.2"/>
    <row r="11277" s="166" customFormat="1" x14ac:dyDescent="0.2"/>
    <row r="11278" s="166" customFormat="1" x14ac:dyDescent="0.2"/>
    <row r="11279" s="166" customFormat="1" x14ac:dyDescent="0.2"/>
    <row r="11280" s="166" customFormat="1" x14ac:dyDescent="0.2"/>
    <row r="11281" s="166" customFormat="1" x14ac:dyDescent="0.2"/>
    <row r="11282" s="166" customFormat="1" x14ac:dyDescent="0.2"/>
    <row r="11283" s="166" customFormat="1" x14ac:dyDescent="0.2"/>
    <row r="11284" s="166" customFormat="1" x14ac:dyDescent="0.2"/>
    <row r="11285" s="166" customFormat="1" x14ac:dyDescent="0.2"/>
    <row r="11286" s="166" customFormat="1" x14ac:dyDescent="0.2"/>
    <row r="11287" s="166" customFormat="1" x14ac:dyDescent="0.2"/>
    <row r="11288" s="166" customFormat="1" x14ac:dyDescent="0.2"/>
    <row r="11289" s="166" customFormat="1" x14ac:dyDescent="0.2"/>
    <row r="11290" s="166" customFormat="1" x14ac:dyDescent="0.2"/>
    <row r="11291" s="166" customFormat="1" x14ac:dyDescent="0.2"/>
    <row r="11292" s="166" customFormat="1" x14ac:dyDescent="0.2"/>
    <row r="11293" s="166" customFormat="1" x14ac:dyDescent="0.2"/>
    <row r="11294" s="166" customFormat="1" x14ac:dyDescent="0.2"/>
    <row r="11295" s="166" customFormat="1" x14ac:dyDescent="0.2"/>
    <row r="11296" s="166" customFormat="1" x14ac:dyDescent="0.2"/>
    <row r="11297" s="166" customFormat="1" x14ac:dyDescent="0.2"/>
    <row r="11298" s="166" customFormat="1" x14ac:dyDescent="0.2"/>
    <row r="11299" s="166" customFormat="1" x14ac:dyDescent="0.2"/>
    <row r="11300" s="166" customFormat="1" x14ac:dyDescent="0.2"/>
    <row r="11301" s="166" customFormat="1" x14ac:dyDescent="0.2"/>
    <row r="11302" s="166" customFormat="1" x14ac:dyDescent="0.2"/>
    <row r="11303" s="166" customFormat="1" x14ac:dyDescent="0.2"/>
    <row r="11304" s="166" customFormat="1" x14ac:dyDescent="0.2"/>
    <row r="11305" s="166" customFormat="1" x14ac:dyDescent="0.2"/>
    <row r="11306" s="166" customFormat="1" x14ac:dyDescent="0.2"/>
    <row r="11307" s="166" customFormat="1" x14ac:dyDescent="0.2"/>
    <row r="11308" s="166" customFormat="1" x14ac:dyDescent="0.2"/>
    <row r="11309" s="166" customFormat="1" x14ac:dyDescent="0.2"/>
    <row r="11310" s="166" customFormat="1" x14ac:dyDescent="0.2"/>
    <row r="11311" s="166" customFormat="1" x14ac:dyDescent="0.2"/>
    <row r="11312" s="166" customFormat="1" x14ac:dyDescent="0.2"/>
    <row r="11313" s="166" customFormat="1" x14ac:dyDescent="0.2"/>
    <row r="11314" s="166" customFormat="1" x14ac:dyDescent="0.2"/>
    <row r="11315" s="166" customFormat="1" x14ac:dyDescent="0.2"/>
    <row r="11316" s="166" customFormat="1" x14ac:dyDescent="0.2"/>
    <row r="11317" s="166" customFormat="1" x14ac:dyDescent="0.2"/>
    <row r="11318" s="166" customFormat="1" x14ac:dyDescent="0.2"/>
    <row r="11319" s="166" customFormat="1" x14ac:dyDescent="0.2"/>
    <row r="11320" s="166" customFormat="1" x14ac:dyDescent="0.2"/>
    <row r="11321" s="166" customFormat="1" x14ac:dyDescent="0.2"/>
    <row r="11322" s="166" customFormat="1" x14ac:dyDescent="0.2"/>
    <row r="11323" s="166" customFormat="1" x14ac:dyDescent="0.2"/>
    <row r="11324" s="166" customFormat="1" x14ac:dyDescent="0.2"/>
    <row r="11325" s="166" customFormat="1" x14ac:dyDescent="0.2"/>
    <row r="11326" s="166" customFormat="1" x14ac:dyDescent="0.2"/>
    <row r="11327" s="166" customFormat="1" x14ac:dyDescent="0.2"/>
    <row r="11328" s="166" customFormat="1" x14ac:dyDescent="0.2"/>
    <row r="11329" s="166" customFormat="1" x14ac:dyDescent="0.2"/>
    <row r="11330" s="166" customFormat="1" x14ac:dyDescent="0.2"/>
    <row r="11331" s="166" customFormat="1" x14ac:dyDescent="0.2"/>
    <row r="11332" s="166" customFormat="1" x14ac:dyDescent="0.2"/>
    <row r="11333" s="166" customFormat="1" x14ac:dyDescent="0.2"/>
    <row r="11334" s="166" customFormat="1" x14ac:dyDescent="0.2"/>
    <row r="11335" s="166" customFormat="1" x14ac:dyDescent="0.2"/>
    <row r="11336" s="166" customFormat="1" x14ac:dyDescent="0.2"/>
    <row r="11337" s="166" customFormat="1" x14ac:dyDescent="0.2"/>
    <row r="11338" s="166" customFormat="1" x14ac:dyDescent="0.2"/>
    <row r="11339" s="166" customFormat="1" x14ac:dyDescent="0.2"/>
    <row r="11340" s="166" customFormat="1" x14ac:dyDescent="0.2"/>
    <row r="11341" s="166" customFormat="1" x14ac:dyDescent="0.2"/>
    <row r="11342" s="166" customFormat="1" x14ac:dyDescent="0.2"/>
    <row r="11343" s="166" customFormat="1" x14ac:dyDescent="0.2"/>
    <row r="11344" s="166" customFormat="1" x14ac:dyDescent="0.2"/>
    <row r="11345" s="166" customFormat="1" x14ac:dyDescent="0.2"/>
    <row r="11346" s="166" customFormat="1" x14ac:dyDescent="0.2"/>
    <row r="11347" s="166" customFormat="1" x14ac:dyDescent="0.2"/>
    <row r="11348" s="166" customFormat="1" x14ac:dyDescent="0.2"/>
    <row r="11349" s="166" customFormat="1" x14ac:dyDescent="0.2"/>
    <row r="11350" s="166" customFormat="1" x14ac:dyDescent="0.2"/>
    <row r="11351" s="166" customFormat="1" x14ac:dyDescent="0.2"/>
    <row r="11352" s="166" customFormat="1" x14ac:dyDescent="0.2"/>
    <row r="11353" s="166" customFormat="1" x14ac:dyDescent="0.2"/>
    <row r="11354" s="166" customFormat="1" x14ac:dyDescent="0.2"/>
    <row r="11355" s="166" customFormat="1" x14ac:dyDescent="0.2"/>
    <row r="11356" s="166" customFormat="1" x14ac:dyDescent="0.2"/>
    <row r="11357" s="166" customFormat="1" x14ac:dyDescent="0.2"/>
    <row r="11358" s="166" customFormat="1" x14ac:dyDescent="0.2"/>
    <row r="11359" s="166" customFormat="1" x14ac:dyDescent="0.2"/>
    <row r="11360" s="166" customFormat="1" x14ac:dyDescent="0.2"/>
    <row r="11361" s="166" customFormat="1" x14ac:dyDescent="0.2"/>
    <row r="11362" s="166" customFormat="1" x14ac:dyDescent="0.2"/>
    <row r="11363" s="166" customFormat="1" x14ac:dyDescent="0.2"/>
    <row r="11364" s="166" customFormat="1" x14ac:dyDescent="0.2"/>
    <row r="11365" s="166" customFormat="1" x14ac:dyDescent="0.2"/>
    <row r="11366" s="166" customFormat="1" x14ac:dyDescent="0.2"/>
    <row r="11367" s="166" customFormat="1" x14ac:dyDescent="0.2"/>
    <row r="11368" s="166" customFormat="1" x14ac:dyDescent="0.2"/>
    <row r="11369" s="166" customFormat="1" x14ac:dyDescent="0.2"/>
    <row r="11370" s="166" customFormat="1" x14ac:dyDescent="0.2"/>
    <row r="11371" s="166" customFormat="1" x14ac:dyDescent="0.2"/>
    <row r="11372" s="166" customFormat="1" x14ac:dyDescent="0.2"/>
    <row r="11373" s="166" customFormat="1" x14ac:dyDescent="0.2"/>
    <row r="11374" s="166" customFormat="1" x14ac:dyDescent="0.2"/>
    <row r="11375" s="166" customFormat="1" x14ac:dyDescent="0.2"/>
    <row r="11376" s="166" customFormat="1" x14ac:dyDescent="0.2"/>
    <row r="11377" s="166" customFormat="1" x14ac:dyDescent="0.2"/>
    <row r="11378" s="166" customFormat="1" x14ac:dyDescent="0.2"/>
    <row r="11379" s="166" customFormat="1" x14ac:dyDescent="0.2"/>
    <row r="11380" s="166" customFormat="1" x14ac:dyDescent="0.2"/>
    <row r="11381" s="166" customFormat="1" x14ac:dyDescent="0.2"/>
    <row r="11382" s="166" customFormat="1" x14ac:dyDescent="0.2"/>
    <row r="11383" s="166" customFormat="1" x14ac:dyDescent="0.2"/>
    <row r="11384" s="166" customFormat="1" x14ac:dyDescent="0.2"/>
    <row r="11385" s="166" customFormat="1" x14ac:dyDescent="0.2"/>
    <row r="11386" s="166" customFormat="1" x14ac:dyDescent="0.2"/>
    <row r="11387" s="166" customFormat="1" x14ac:dyDescent="0.2"/>
    <row r="11388" s="166" customFormat="1" x14ac:dyDescent="0.2"/>
    <row r="11389" s="166" customFormat="1" x14ac:dyDescent="0.2"/>
    <row r="11390" s="166" customFormat="1" x14ac:dyDescent="0.2"/>
    <row r="11391" s="166" customFormat="1" x14ac:dyDescent="0.2"/>
    <row r="11392" s="166" customFormat="1" x14ac:dyDescent="0.2"/>
    <row r="11393" s="166" customFormat="1" x14ac:dyDescent="0.2"/>
    <row r="11394" s="166" customFormat="1" x14ac:dyDescent="0.2"/>
    <row r="11395" s="166" customFormat="1" x14ac:dyDescent="0.2"/>
    <row r="11396" s="166" customFormat="1" x14ac:dyDescent="0.2"/>
    <row r="11397" s="166" customFormat="1" x14ac:dyDescent="0.2"/>
    <row r="11398" s="166" customFormat="1" x14ac:dyDescent="0.2"/>
    <row r="11399" s="166" customFormat="1" x14ac:dyDescent="0.2"/>
    <row r="11400" s="166" customFormat="1" x14ac:dyDescent="0.2"/>
    <row r="11401" s="166" customFormat="1" x14ac:dyDescent="0.2"/>
    <row r="11402" s="166" customFormat="1" x14ac:dyDescent="0.2"/>
    <row r="11403" s="166" customFormat="1" x14ac:dyDescent="0.2"/>
    <row r="11404" s="166" customFormat="1" x14ac:dyDescent="0.2"/>
    <row r="11405" s="166" customFormat="1" x14ac:dyDescent="0.2"/>
    <row r="11406" s="166" customFormat="1" x14ac:dyDescent="0.2"/>
    <row r="11407" s="166" customFormat="1" x14ac:dyDescent="0.2"/>
    <row r="11408" s="166" customFormat="1" x14ac:dyDescent="0.2"/>
    <row r="11409" s="166" customFormat="1" x14ac:dyDescent="0.2"/>
    <row r="11410" s="166" customFormat="1" x14ac:dyDescent="0.2"/>
    <row r="11411" s="166" customFormat="1" x14ac:dyDescent="0.2"/>
    <row r="11412" s="166" customFormat="1" x14ac:dyDescent="0.2"/>
    <row r="11413" s="166" customFormat="1" x14ac:dyDescent="0.2"/>
    <row r="11414" s="166" customFormat="1" x14ac:dyDescent="0.2"/>
    <row r="11415" s="166" customFormat="1" x14ac:dyDescent="0.2"/>
    <row r="11416" s="166" customFormat="1" x14ac:dyDescent="0.2"/>
    <row r="11417" s="166" customFormat="1" x14ac:dyDescent="0.2"/>
    <row r="11418" s="166" customFormat="1" x14ac:dyDescent="0.2"/>
    <row r="11419" s="166" customFormat="1" x14ac:dyDescent="0.2"/>
    <row r="11420" s="166" customFormat="1" x14ac:dyDescent="0.2"/>
    <row r="11421" s="166" customFormat="1" x14ac:dyDescent="0.2"/>
    <row r="11422" s="166" customFormat="1" x14ac:dyDescent="0.2"/>
    <row r="11423" s="166" customFormat="1" x14ac:dyDescent="0.2"/>
    <row r="11424" s="166" customFormat="1" x14ac:dyDescent="0.2"/>
    <row r="11425" s="166" customFormat="1" x14ac:dyDescent="0.2"/>
    <row r="11426" s="166" customFormat="1" x14ac:dyDescent="0.2"/>
    <row r="11427" s="166" customFormat="1" x14ac:dyDescent="0.2"/>
    <row r="11428" s="166" customFormat="1" x14ac:dyDescent="0.2"/>
    <row r="11429" s="166" customFormat="1" x14ac:dyDescent="0.2"/>
    <row r="11430" s="166" customFormat="1" x14ac:dyDescent="0.2"/>
    <row r="11431" s="166" customFormat="1" x14ac:dyDescent="0.2"/>
    <row r="11432" s="166" customFormat="1" x14ac:dyDescent="0.2"/>
    <row r="11433" s="166" customFormat="1" x14ac:dyDescent="0.2"/>
    <row r="11434" s="166" customFormat="1" x14ac:dyDescent="0.2"/>
    <row r="11435" s="166" customFormat="1" x14ac:dyDescent="0.2"/>
    <row r="11436" s="166" customFormat="1" x14ac:dyDescent="0.2"/>
    <row r="11437" s="166" customFormat="1" x14ac:dyDescent="0.2"/>
    <row r="11438" s="166" customFormat="1" x14ac:dyDescent="0.2"/>
    <row r="11439" s="166" customFormat="1" x14ac:dyDescent="0.2"/>
    <row r="11440" s="166" customFormat="1" x14ac:dyDescent="0.2"/>
    <row r="11441" s="166" customFormat="1" x14ac:dyDescent="0.2"/>
    <row r="11442" s="166" customFormat="1" x14ac:dyDescent="0.2"/>
    <row r="11443" s="166" customFormat="1" x14ac:dyDescent="0.2"/>
    <row r="11444" s="166" customFormat="1" x14ac:dyDescent="0.2"/>
    <row r="11445" s="166" customFormat="1" x14ac:dyDescent="0.2"/>
    <row r="11446" s="166" customFormat="1" x14ac:dyDescent="0.2"/>
    <row r="11447" s="166" customFormat="1" x14ac:dyDescent="0.2"/>
    <row r="11448" s="166" customFormat="1" x14ac:dyDescent="0.2"/>
    <row r="11449" s="166" customFormat="1" x14ac:dyDescent="0.2"/>
    <row r="11450" s="166" customFormat="1" x14ac:dyDescent="0.2"/>
    <row r="11451" s="166" customFormat="1" x14ac:dyDescent="0.2"/>
    <row r="11452" s="166" customFormat="1" x14ac:dyDescent="0.2"/>
    <row r="11453" s="166" customFormat="1" x14ac:dyDescent="0.2"/>
    <row r="11454" s="166" customFormat="1" x14ac:dyDescent="0.2"/>
    <row r="11455" s="166" customFormat="1" x14ac:dyDescent="0.2"/>
    <row r="11456" s="166" customFormat="1" x14ac:dyDescent="0.2"/>
    <row r="11457" s="166" customFormat="1" x14ac:dyDescent="0.2"/>
    <row r="11458" s="166" customFormat="1" x14ac:dyDescent="0.2"/>
    <row r="11459" s="166" customFormat="1" x14ac:dyDescent="0.2"/>
    <row r="11460" s="166" customFormat="1" x14ac:dyDescent="0.2"/>
    <row r="11461" s="166" customFormat="1" x14ac:dyDescent="0.2"/>
    <row r="11462" s="166" customFormat="1" x14ac:dyDescent="0.2"/>
    <row r="11463" s="166" customFormat="1" x14ac:dyDescent="0.2"/>
    <row r="11464" s="166" customFormat="1" x14ac:dyDescent="0.2"/>
    <row r="11465" s="166" customFormat="1" x14ac:dyDescent="0.2"/>
    <row r="11466" s="166" customFormat="1" x14ac:dyDescent="0.2"/>
    <row r="11467" s="166" customFormat="1" x14ac:dyDescent="0.2"/>
    <row r="11468" s="166" customFormat="1" x14ac:dyDescent="0.2"/>
    <row r="11469" s="166" customFormat="1" x14ac:dyDescent="0.2"/>
    <row r="11470" s="166" customFormat="1" x14ac:dyDescent="0.2"/>
    <row r="11471" s="166" customFormat="1" x14ac:dyDescent="0.2"/>
    <row r="11472" s="166" customFormat="1" x14ac:dyDescent="0.2"/>
    <row r="11473" s="166" customFormat="1" x14ac:dyDescent="0.2"/>
    <row r="11474" s="166" customFormat="1" x14ac:dyDescent="0.2"/>
    <row r="11475" s="166" customFormat="1" x14ac:dyDescent="0.2"/>
    <row r="11476" s="166" customFormat="1" x14ac:dyDescent="0.2"/>
    <row r="11477" s="166" customFormat="1" x14ac:dyDescent="0.2"/>
    <row r="11478" s="166" customFormat="1" x14ac:dyDescent="0.2"/>
    <row r="11479" s="166" customFormat="1" x14ac:dyDescent="0.2"/>
    <row r="11480" s="166" customFormat="1" x14ac:dyDescent="0.2"/>
    <row r="11481" s="166" customFormat="1" x14ac:dyDescent="0.2"/>
    <row r="11482" s="166" customFormat="1" x14ac:dyDescent="0.2"/>
    <row r="11483" s="166" customFormat="1" x14ac:dyDescent="0.2"/>
    <row r="11484" s="166" customFormat="1" x14ac:dyDescent="0.2"/>
    <row r="11485" s="166" customFormat="1" x14ac:dyDescent="0.2"/>
    <row r="11486" s="166" customFormat="1" x14ac:dyDescent="0.2"/>
    <row r="11487" s="166" customFormat="1" x14ac:dyDescent="0.2"/>
    <row r="11488" s="166" customFormat="1" x14ac:dyDescent="0.2"/>
    <row r="11489" s="166" customFormat="1" x14ac:dyDescent="0.2"/>
    <row r="11490" s="166" customFormat="1" x14ac:dyDescent="0.2"/>
    <row r="11491" s="166" customFormat="1" x14ac:dyDescent="0.2"/>
    <row r="11492" s="166" customFormat="1" x14ac:dyDescent="0.2"/>
    <row r="11493" s="166" customFormat="1" x14ac:dyDescent="0.2"/>
    <row r="11494" s="166" customFormat="1" x14ac:dyDescent="0.2"/>
    <row r="11495" s="166" customFormat="1" x14ac:dyDescent="0.2"/>
    <row r="11496" s="166" customFormat="1" x14ac:dyDescent="0.2"/>
    <row r="11497" s="166" customFormat="1" x14ac:dyDescent="0.2"/>
    <row r="11498" s="166" customFormat="1" x14ac:dyDescent="0.2"/>
    <row r="11499" s="166" customFormat="1" x14ac:dyDescent="0.2"/>
    <row r="11500" s="166" customFormat="1" x14ac:dyDescent="0.2"/>
    <row r="11501" s="166" customFormat="1" x14ac:dyDescent="0.2"/>
    <row r="11502" s="166" customFormat="1" x14ac:dyDescent="0.2"/>
    <row r="11503" s="166" customFormat="1" x14ac:dyDescent="0.2"/>
    <row r="11504" s="166" customFormat="1" x14ac:dyDescent="0.2"/>
    <row r="11505" s="166" customFormat="1" x14ac:dyDescent="0.2"/>
    <row r="11506" s="166" customFormat="1" x14ac:dyDescent="0.2"/>
    <row r="11507" s="166" customFormat="1" x14ac:dyDescent="0.2"/>
    <row r="11508" s="166" customFormat="1" x14ac:dyDescent="0.2"/>
    <row r="11509" s="166" customFormat="1" x14ac:dyDescent="0.2"/>
    <row r="11510" s="166" customFormat="1" x14ac:dyDescent="0.2"/>
    <row r="11511" s="166" customFormat="1" x14ac:dyDescent="0.2"/>
    <row r="11512" s="166" customFormat="1" x14ac:dyDescent="0.2"/>
    <row r="11513" s="166" customFormat="1" x14ac:dyDescent="0.2"/>
    <row r="11514" s="166" customFormat="1" x14ac:dyDescent="0.2"/>
    <row r="11515" s="166" customFormat="1" x14ac:dyDescent="0.2"/>
    <row r="11516" s="166" customFormat="1" x14ac:dyDescent="0.2"/>
    <row r="11517" s="166" customFormat="1" x14ac:dyDescent="0.2"/>
    <row r="11518" s="166" customFormat="1" x14ac:dyDescent="0.2"/>
    <row r="11519" s="166" customFormat="1" x14ac:dyDescent="0.2"/>
    <row r="11520" s="166" customFormat="1" x14ac:dyDescent="0.2"/>
    <row r="11521" s="166" customFormat="1" x14ac:dyDescent="0.2"/>
    <row r="11522" s="166" customFormat="1" x14ac:dyDescent="0.2"/>
    <row r="11523" s="166" customFormat="1" x14ac:dyDescent="0.2"/>
    <row r="11524" s="166" customFormat="1" x14ac:dyDescent="0.2"/>
    <row r="11525" s="166" customFormat="1" x14ac:dyDescent="0.2"/>
    <row r="11526" s="166" customFormat="1" x14ac:dyDescent="0.2"/>
    <row r="11527" s="166" customFormat="1" x14ac:dyDescent="0.2"/>
    <row r="11528" s="166" customFormat="1" x14ac:dyDescent="0.2"/>
    <row r="11529" s="166" customFormat="1" x14ac:dyDescent="0.2"/>
    <row r="11530" s="166" customFormat="1" x14ac:dyDescent="0.2"/>
    <row r="11531" s="166" customFormat="1" x14ac:dyDescent="0.2"/>
    <row r="11532" s="166" customFormat="1" x14ac:dyDescent="0.2"/>
    <row r="11533" s="166" customFormat="1" x14ac:dyDescent="0.2"/>
    <row r="11534" s="166" customFormat="1" x14ac:dyDescent="0.2"/>
    <row r="11535" s="166" customFormat="1" x14ac:dyDescent="0.2"/>
    <row r="11536" s="166" customFormat="1" x14ac:dyDescent="0.2"/>
    <row r="11537" s="166" customFormat="1" x14ac:dyDescent="0.2"/>
    <row r="11538" s="166" customFormat="1" x14ac:dyDescent="0.2"/>
    <row r="11539" s="166" customFormat="1" x14ac:dyDescent="0.2"/>
    <row r="11540" s="166" customFormat="1" x14ac:dyDescent="0.2"/>
    <row r="11541" s="166" customFormat="1" x14ac:dyDescent="0.2"/>
    <row r="11542" s="166" customFormat="1" x14ac:dyDescent="0.2"/>
    <row r="11543" s="166" customFormat="1" x14ac:dyDescent="0.2"/>
    <row r="11544" s="166" customFormat="1" x14ac:dyDescent="0.2"/>
    <row r="11545" s="166" customFormat="1" x14ac:dyDescent="0.2"/>
    <row r="11546" s="166" customFormat="1" x14ac:dyDescent="0.2"/>
    <row r="11547" s="166" customFormat="1" x14ac:dyDescent="0.2"/>
    <row r="11548" s="166" customFormat="1" x14ac:dyDescent="0.2"/>
    <row r="11549" s="166" customFormat="1" x14ac:dyDescent="0.2"/>
    <row r="11550" s="166" customFormat="1" x14ac:dyDescent="0.2"/>
    <row r="11551" s="166" customFormat="1" x14ac:dyDescent="0.2"/>
    <row r="11552" s="166" customFormat="1" x14ac:dyDescent="0.2"/>
    <row r="11553" s="166" customFormat="1" x14ac:dyDescent="0.2"/>
    <row r="11554" s="166" customFormat="1" x14ac:dyDescent="0.2"/>
    <row r="11555" s="166" customFormat="1" x14ac:dyDescent="0.2"/>
    <row r="11556" s="166" customFormat="1" x14ac:dyDescent="0.2"/>
    <row r="11557" s="166" customFormat="1" x14ac:dyDescent="0.2"/>
    <row r="11558" s="166" customFormat="1" x14ac:dyDescent="0.2"/>
    <row r="11559" s="166" customFormat="1" x14ac:dyDescent="0.2"/>
    <row r="11560" s="166" customFormat="1" x14ac:dyDescent="0.2"/>
    <row r="11561" s="166" customFormat="1" x14ac:dyDescent="0.2"/>
    <row r="11562" s="166" customFormat="1" x14ac:dyDescent="0.2"/>
    <row r="11563" s="166" customFormat="1" x14ac:dyDescent="0.2"/>
    <row r="11564" s="166" customFormat="1" x14ac:dyDescent="0.2"/>
    <row r="11565" s="166" customFormat="1" x14ac:dyDescent="0.2"/>
    <row r="11566" s="166" customFormat="1" x14ac:dyDescent="0.2"/>
    <row r="11567" s="166" customFormat="1" x14ac:dyDescent="0.2"/>
    <row r="11568" s="166" customFormat="1" x14ac:dyDescent="0.2"/>
    <row r="11569" s="166" customFormat="1" x14ac:dyDescent="0.2"/>
    <row r="11570" s="166" customFormat="1" x14ac:dyDescent="0.2"/>
    <row r="11571" s="166" customFormat="1" x14ac:dyDescent="0.2"/>
    <row r="11572" s="166" customFormat="1" x14ac:dyDescent="0.2"/>
    <row r="11573" s="166" customFormat="1" x14ac:dyDescent="0.2"/>
    <row r="11574" s="166" customFormat="1" x14ac:dyDescent="0.2"/>
    <row r="11575" s="166" customFormat="1" x14ac:dyDescent="0.2"/>
    <row r="11576" s="166" customFormat="1" x14ac:dyDescent="0.2"/>
    <row r="11577" s="166" customFormat="1" x14ac:dyDescent="0.2"/>
    <row r="11578" s="166" customFormat="1" x14ac:dyDescent="0.2"/>
    <row r="11579" s="166" customFormat="1" x14ac:dyDescent="0.2"/>
    <row r="11580" s="166" customFormat="1" x14ac:dyDescent="0.2"/>
    <row r="11581" s="166" customFormat="1" x14ac:dyDescent="0.2"/>
    <row r="11582" s="166" customFormat="1" x14ac:dyDescent="0.2"/>
    <row r="11583" s="166" customFormat="1" x14ac:dyDescent="0.2"/>
    <row r="11584" s="166" customFormat="1" x14ac:dyDescent="0.2"/>
    <row r="11585" s="166" customFormat="1" x14ac:dyDescent="0.2"/>
    <row r="11586" s="166" customFormat="1" x14ac:dyDescent="0.2"/>
    <row r="11587" s="166" customFormat="1" x14ac:dyDescent="0.2"/>
    <row r="11588" s="166" customFormat="1" x14ac:dyDescent="0.2"/>
    <row r="11589" s="166" customFormat="1" x14ac:dyDescent="0.2"/>
    <row r="11590" s="166" customFormat="1" x14ac:dyDescent="0.2"/>
    <row r="11591" s="166" customFormat="1" x14ac:dyDescent="0.2"/>
    <row r="11592" s="166" customFormat="1" x14ac:dyDescent="0.2"/>
    <row r="11593" s="166" customFormat="1" x14ac:dyDescent="0.2"/>
    <row r="11594" s="166" customFormat="1" x14ac:dyDescent="0.2"/>
    <row r="11595" s="166" customFormat="1" x14ac:dyDescent="0.2"/>
    <row r="11596" s="166" customFormat="1" x14ac:dyDescent="0.2"/>
    <row r="11597" s="166" customFormat="1" x14ac:dyDescent="0.2"/>
    <row r="11598" s="166" customFormat="1" x14ac:dyDescent="0.2"/>
    <row r="11599" s="166" customFormat="1" x14ac:dyDescent="0.2"/>
    <row r="11600" s="166" customFormat="1" x14ac:dyDescent="0.2"/>
    <row r="11601" s="166" customFormat="1" x14ac:dyDescent="0.2"/>
    <row r="11602" s="166" customFormat="1" x14ac:dyDescent="0.2"/>
    <row r="11603" s="166" customFormat="1" x14ac:dyDescent="0.2"/>
    <row r="11604" s="166" customFormat="1" x14ac:dyDescent="0.2"/>
    <row r="11605" s="166" customFormat="1" x14ac:dyDescent="0.2"/>
    <row r="11606" s="166" customFormat="1" x14ac:dyDescent="0.2"/>
    <row r="11607" s="166" customFormat="1" x14ac:dyDescent="0.2"/>
    <row r="11608" s="166" customFormat="1" x14ac:dyDescent="0.2"/>
    <row r="11609" s="166" customFormat="1" x14ac:dyDescent="0.2"/>
    <row r="11610" s="166" customFormat="1" x14ac:dyDescent="0.2"/>
    <row r="11611" s="166" customFormat="1" x14ac:dyDescent="0.2"/>
    <row r="11612" s="166" customFormat="1" x14ac:dyDescent="0.2"/>
    <row r="11613" s="166" customFormat="1" x14ac:dyDescent="0.2"/>
    <row r="11614" s="166" customFormat="1" x14ac:dyDescent="0.2"/>
    <row r="11615" s="166" customFormat="1" x14ac:dyDescent="0.2"/>
    <row r="11616" s="166" customFormat="1" x14ac:dyDescent="0.2"/>
    <row r="11617" s="166" customFormat="1" x14ac:dyDescent="0.2"/>
    <row r="11618" s="166" customFormat="1" x14ac:dyDescent="0.2"/>
    <row r="11619" s="166" customFormat="1" x14ac:dyDescent="0.2"/>
    <row r="11620" s="166" customFormat="1" x14ac:dyDescent="0.2"/>
    <row r="11621" s="166" customFormat="1" x14ac:dyDescent="0.2"/>
    <row r="11622" s="166" customFormat="1" x14ac:dyDescent="0.2"/>
    <row r="11623" s="166" customFormat="1" x14ac:dyDescent="0.2"/>
    <row r="11624" s="166" customFormat="1" x14ac:dyDescent="0.2"/>
    <row r="11625" s="166" customFormat="1" x14ac:dyDescent="0.2"/>
    <row r="11626" s="166" customFormat="1" x14ac:dyDescent="0.2"/>
    <row r="11627" s="166" customFormat="1" x14ac:dyDescent="0.2"/>
    <row r="11628" s="166" customFormat="1" x14ac:dyDescent="0.2"/>
    <row r="11629" s="166" customFormat="1" x14ac:dyDescent="0.2"/>
    <row r="11630" s="166" customFormat="1" x14ac:dyDescent="0.2"/>
    <row r="11631" s="166" customFormat="1" x14ac:dyDescent="0.2"/>
    <row r="11632" s="166" customFormat="1" x14ac:dyDescent="0.2"/>
    <row r="11633" s="166" customFormat="1" x14ac:dyDescent="0.2"/>
    <row r="11634" s="166" customFormat="1" x14ac:dyDescent="0.2"/>
    <row r="11635" s="166" customFormat="1" x14ac:dyDescent="0.2"/>
    <row r="11636" s="166" customFormat="1" x14ac:dyDescent="0.2"/>
    <row r="11637" s="166" customFormat="1" x14ac:dyDescent="0.2"/>
    <row r="11638" s="166" customFormat="1" x14ac:dyDescent="0.2"/>
    <row r="11639" s="166" customFormat="1" x14ac:dyDescent="0.2"/>
    <row r="11640" s="166" customFormat="1" x14ac:dyDescent="0.2"/>
    <row r="11641" s="166" customFormat="1" x14ac:dyDescent="0.2"/>
    <row r="11642" s="166" customFormat="1" x14ac:dyDescent="0.2"/>
    <row r="11643" s="166" customFormat="1" x14ac:dyDescent="0.2"/>
    <row r="11644" s="166" customFormat="1" x14ac:dyDescent="0.2"/>
    <row r="11645" s="166" customFormat="1" x14ac:dyDescent="0.2"/>
    <row r="11646" s="166" customFormat="1" x14ac:dyDescent="0.2"/>
    <row r="11647" s="166" customFormat="1" x14ac:dyDescent="0.2"/>
    <row r="11648" s="166" customFormat="1" x14ac:dyDescent="0.2"/>
    <row r="11649" s="166" customFormat="1" x14ac:dyDescent="0.2"/>
    <row r="11650" s="166" customFormat="1" x14ac:dyDescent="0.2"/>
    <row r="11651" s="166" customFormat="1" x14ac:dyDescent="0.2"/>
    <row r="11652" s="166" customFormat="1" x14ac:dyDescent="0.2"/>
    <row r="11653" s="166" customFormat="1" x14ac:dyDescent="0.2"/>
    <row r="11654" s="166" customFormat="1" x14ac:dyDescent="0.2"/>
    <row r="11655" s="166" customFormat="1" x14ac:dyDescent="0.2"/>
    <row r="11656" s="166" customFormat="1" x14ac:dyDescent="0.2"/>
    <row r="11657" s="166" customFormat="1" x14ac:dyDescent="0.2"/>
    <row r="11658" s="166" customFormat="1" x14ac:dyDescent="0.2"/>
    <row r="11659" s="166" customFormat="1" x14ac:dyDescent="0.2"/>
    <row r="11660" s="166" customFormat="1" x14ac:dyDescent="0.2"/>
    <row r="11661" s="166" customFormat="1" x14ac:dyDescent="0.2"/>
    <row r="11662" s="166" customFormat="1" x14ac:dyDescent="0.2"/>
    <row r="11663" s="166" customFormat="1" x14ac:dyDescent="0.2"/>
    <row r="11664" s="166" customFormat="1" x14ac:dyDescent="0.2"/>
    <row r="11665" s="166" customFormat="1" x14ac:dyDescent="0.2"/>
    <row r="11666" s="166" customFormat="1" x14ac:dyDescent="0.2"/>
    <row r="11667" s="166" customFormat="1" x14ac:dyDescent="0.2"/>
    <row r="11668" s="166" customFormat="1" x14ac:dyDescent="0.2"/>
    <row r="11669" s="166" customFormat="1" x14ac:dyDescent="0.2"/>
    <row r="11670" s="166" customFormat="1" x14ac:dyDescent="0.2"/>
    <row r="11671" s="166" customFormat="1" x14ac:dyDescent="0.2"/>
    <row r="11672" s="166" customFormat="1" x14ac:dyDescent="0.2"/>
    <row r="11673" s="166" customFormat="1" x14ac:dyDescent="0.2"/>
    <row r="11674" s="166" customFormat="1" x14ac:dyDescent="0.2"/>
    <row r="11675" s="166" customFormat="1" x14ac:dyDescent="0.2"/>
    <row r="11676" s="166" customFormat="1" x14ac:dyDescent="0.2"/>
    <row r="11677" s="166" customFormat="1" x14ac:dyDescent="0.2"/>
    <row r="11678" s="166" customFormat="1" x14ac:dyDescent="0.2"/>
    <row r="11679" s="166" customFormat="1" x14ac:dyDescent="0.2"/>
    <row r="11680" s="166" customFormat="1" x14ac:dyDescent="0.2"/>
    <row r="11681" s="166" customFormat="1" x14ac:dyDescent="0.2"/>
    <row r="11682" s="166" customFormat="1" x14ac:dyDescent="0.2"/>
    <row r="11683" s="166" customFormat="1" x14ac:dyDescent="0.2"/>
    <row r="11684" s="166" customFormat="1" x14ac:dyDescent="0.2"/>
    <row r="11685" s="166" customFormat="1" x14ac:dyDescent="0.2"/>
    <row r="11686" s="166" customFormat="1" x14ac:dyDescent="0.2"/>
    <row r="11687" s="166" customFormat="1" x14ac:dyDescent="0.2"/>
    <row r="11688" s="166" customFormat="1" x14ac:dyDescent="0.2"/>
    <row r="11689" s="166" customFormat="1" x14ac:dyDescent="0.2"/>
    <row r="11690" s="166" customFormat="1" x14ac:dyDescent="0.2"/>
    <row r="11691" s="166" customFormat="1" x14ac:dyDescent="0.2"/>
    <row r="11692" s="166" customFormat="1" x14ac:dyDescent="0.2"/>
    <row r="11693" s="166" customFormat="1" x14ac:dyDescent="0.2"/>
    <row r="11694" s="166" customFormat="1" x14ac:dyDescent="0.2"/>
    <row r="11695" s="166" customFormat="1" x14ac:dyDescent="0.2"/>
    <row r="11696" s="166" customFormat="1" x14ac:dyDescent="0.2"/>
    <row r="11697" s="166" customFormat="1" x14ac:dyDescent="0.2"/>
    <row r="11698" s="166" customFormat="1" x14ac:dyDescent="0.2"/>
    <row r="11699" s="166" customFormat="1" x14ac:dyDescent="0.2"/>
    <row r="11700" s="166" customFormat="1" x14ac:dyDescent="0.2"/>
    <row r="11701" s="166" customFormat="1" x14ac:dyDescent="0.2"/>
    <row r="11702" s="166" customFormat="1" x14ac:dyDescent="0.2"/>
    <row r="11703" s="166" customFormat="1" x14ac:dyDescent="0.2"/>
    <row r="11704" s="166" customFormat="1" x14ac:dyDescent="0.2"/>
    <row r="11705" s="166" customFormat="1" x14ac:dyDescent="0.2"/>
    <row r="11706" s="166" customFormat="1" x14ac:dyDescent="0.2"/>
    <row r="11707" s="166" customFormat="1" x14ac:dyDescent="0.2"/>
    <row r="11708" s="166" customFormat="1" x14ac:dyDescent="0.2"/>
    <row r="11709" s="166" customFormat="1" x14ac:dyDescent="0.2"/>
    <row r="11710" s="166" customFormat="1" x14ac:dyDescent="0.2"/>
    <row r="11711" s="166" customFormat="1" x14ac:dyDescent="0.2"/>
    <row r="11712" s="166" customFormat="1" x14ac:dyDescent="0.2"/>
    <row r="11713" s="166" customFormat="1" x14ac:dyDescent="0.2"/>
    <row r="11714" s="166" customFormat="1" x14ac:dyDescent="0.2"/>
    <row r="11715" s="166" customFormat="1" x14ac:dyDescent="0.2"/>
    <row r="11716" s="166" customFormat="1" x14ac:dyDescent="0.2"/>
    <row r="11717" s="166" customFormat="1" x14ac:dyDescent="0.2"/>
    <row r="11718" s="166" customFormat="1" x14ac:dyDescent="0.2"/>
    <row r="11719" s="166" customFormat="1" x14ac:dyDescent="0.2"/>
    <row r="11720" s="166" customFormat="1" x14ac:dyDescent="0.2"/>
    <row r="11721" s="166" customFormat="1" x14ac:dyDescent="0.2"/>
    <row r="11722" s="166" customFormat="1" x14ac:dyDescent="0.2"/>
    <row r="11723" s="166" customFormat="1" x14ac:dyDescent="0.2"/>
    <row r="11724" s="166" customFormat="1" x14ac:dyDescent="0.2"/>
    <row r="11725" s="166" customFormat="1" x14ac:dyDescent="0.2"/>
    <row r="11726" s="166" customFormat="1" x14ac:dyDescent="0.2"/>
    <row r="11727" s="166" customFormat="1" x14ac:dyDescent="0.2"/>
    <row r="11728" s="166" customFormat="1" x14ac:dyDescent="0.2"/>
    <row r="11729" s="166" customFormat="1" x14ac:dyDescent="0.2"/>
    <row r="11730" s="166" customFormat="1" x14ac:dyDescent="0.2"/>
    <row r="11731" s="166" customFormat="1" x14ac:dyDescent="0.2"/>
    <row r="11732" s="166" customFormat="1" x14ac:dyDescent="0.2"/>
    <row r="11733" s="166" customFormat="1" x14ac:dyDescent="0.2"/>
    <row r="11734" s="166" customFormat="1" x14ac:dyDescent="0.2"/>
    <row r="11735" s="166" customFormat="1" x14ac:dyDescent="0.2"/>
    <row r="11736" s="166" customFormat="1" x14ac:dyDescent="0.2"/>
    <row r="11737" s="166" customFormat="1" x14ac:dyDescent="0.2"/>
    <row r="11738" s="166" customFormat="1" x14ac:dyDescent="0.2"/>
    <row r="11739" s="166" customFormat="1" x14ac:dyDescent="0.2"/>
    <row r="11740" s="166" customFormat="1" x14ac:dyDescent="0.2"/>
    <row r="11741" s="166" customFormat="1" x14ac:dyDescent="0.2"/>
    <row r="11742" s="166" customFormat="1" x14ac:dyDescent="0.2"/>
    <row r="11743" s="166" customFormat="1" x14ac:dyDescent="0.2"/>
    <row r="11744" s="166" customFormat="1" x14ac:dyDescent="0.2"/>
    <row r="11745" s="166" customFormat="1" x14ac:dyDescent="0.2"/>
    <row r="11746" s="166" customFormat="1" x14ac:dyDescent="0.2"/>
    <row r="11747" s="166" customFormat="1" x14ac:dyDescent="0.2"/>
    <row r="11748" s="166" customFormat="1" x14ac:dyDescent="0.2"/>
    <row r="11749" s="166" customFormat="1" x14ac:dyDescent="0.2"/>
    <row r="11750" s="166" customFormat="1" x14ac:dyDescent="0.2"/>
    <row r="11751" s="166" customFormat="1" x14ac:dyDescent="0.2"/>
    <row r="11752" s="166" customFormat="1" x14ac:dyDescent="0.2"/>
    <row r="11753" s="166" customFormat="1" x14ac:dyDescent="0.2"/>
    <row r="11754" s="166" customFormat="1" x14ac:dyDescent="0.2"/>
    <row r="11755" s="166" customFormat="1" x14ac:dyDescent="0.2"/>
    <row r="11756" s="166" customFormat="1" x14ac:dyDescent="0.2"/>
    <row r="11757" s="166" customFormat="1" x14ac:dyDescent="0.2"/>
    <row r="11758" s="166" customFormat="1" x14ac:dyDescent="0.2"/>
    <row r="11759" s="166" customFormat="1" x14ac:dyDescent="0.2"/>
    <row r="11760" s="166" customFormat="1" x14ac:dyDescent="0.2"/>
    <row r="11761" s="166" customFormat="1" x14ac:dyDescent="0.2"/>
    <row r="11762" s="166" customFormat="1" x14ac:dyDescent="0.2"/>
    <row r="11763" s="166" customFormat="1" x14ac:dyDescent="0.2"/>
    <row r="11764" s="166" customFormat="1" x14ac:dyDescent="0.2"/>
    <row r="11765" s="166" customFormat="1" x14ac:dyDescent="0.2"/>
    <row r="11766" s="166" customFormat="1" x14ac:dyDescent="0.2"/>
    <row r="11767" s="166" customFormat="1" x14ac:dyDescent="0.2"/>
    <row r="11768" s="166" customFormat="1" x14ac:dyDescent="0.2"/>
    <row r="11769" s="166" customFormat="1" x14ac:dyDescent="0.2"/>
    <row r="11770" s="166" customFormat="1" x14ac:dyDescent="0.2"/>
    <row r="11771" s="166" customFormat="1" x14ac:dyDescent="0.2"/>
    <row r="11772" s="166" customFormat="1" x14ac:dyDescent="0.2"/>
    <row r="11773" s="166" customFormat="1" x14ac:dyDescent="0.2"/>
    <row r="11774" s="166" customFormat="1" x14ac:dyDescent="0.2"/>
    <row r="11775" s="166" customFormat="1" x14ac:dyDescent="0.2"/>
    <row r="11776" s="166" customFormat="1" x14ac:dyDescent="0.2"/>
    <row r="11777" s="166" customFormat="1" x14ac:dyDescent="0.2"/>
    <row r="11778" s="166" customFormat="1" x14ac:dyDescent="0.2"/>
    <row r="11779" s="166" customFormat="1" x14ac:dyDescent="0.2"/>
    <row r="11780" s="166" customFormat="1" x14ac:dyDescent="0.2"/>
    <row r="11781" s="166" customFormat="1" x14ac:dyDescent="0.2"/>
    <row r="11782" s="166" customFormat="1" x14ac:dyDescent="0.2"/>
    <row r="11783" s="166" customFormat="1" x14ac:dyDescent="0.2"/>
    <row r="11784" s="166" customFormat="1" x14ac:dyDescent="0.2"/>
    <row r="11785" s="166" customFormat="1" x14ac:dyDescent="0.2"/>
    <row r="11786" s="166" customFormat="1" x14ac:dyDescent="0.2"/>
    <row r="11787" s="166" customFormat="1" x14ac:dyDescent="0.2"/>
    <row r="11788" s="166" customFormat="1" x14ac:dyDescent="0.2"/>
    <row r="11789" s="166" customFormat="1" x14ac:dyDescent="0.2"/>
    <row r="11790" s="166" customFormat="1" x14ac:dyDescent="0.2"/>
    <row r="11791" s="166" customFormat="1" x14ac:dyDescent="0.2"/>
    <row r="11792" s="166" customFormat="1" x14ac:dyDescent="0.2"/>
    <row r="11793" s="166" customFormat="1" x14ac:dyDescent="0.2"/>
    <row r="11794" s="166" customFormat="1" x14ac:dyDescent="0.2"/>
    <row r="11795" s="166" customFormat="1" x14ac:dyDescent="0.2"/>
    <row r="11796" s="166" customFormat="1" x14ac:dyDescent="0.2"/>
    <row r="11797" s="166" customFormat="1" x14ac:dyDescent="0.2"/>
    <row r="11798" s="166" customFormat="1" x14ac:dyDescent="0.2"/>
    <row r="11799" s="166" customFormat="1" x14ac:dyDescent="0.2"/>
    <row r="11800" s="166" customFormat="1" x14ac:dyDescent="0.2"/>
    <row r="11801" s="166" customFormat="1" x14ac:dyDescent="0.2"/>
    <row r="11802" s="166" customFormat="1" x14ac:dyDescent="0.2"/>
    <row r="11803" s="166" customFormat="1" x14ac:dyDescent="0.2"/>
    <row r="11804" s="166" customFormat="1" x14ac:dyDescent="0.2"/>
    <row r="11805" s="166" customFormat="1" x14ac:dyDescent="0.2"/>
    <row r="11806" s="166" customFormat="1" x14ac:dyDescent="0.2"/>
    <row r="11807" s="166" customFormat="1" x14ac:dyDescent="0.2"/>
    <row r="11808" s="166" customFormat="1" x14ac:dyDescent="0.2"/>
    <row r="11809" s="166" customFormat="1" x14ac:dyDescent="0.2"/>
    <row r="11810" s="166" customFormat="1" x14ac:dyDescent="0.2"/>
    <row r="11811" s="166" customFormat="1" x14ac:dyDescent="0.2"/>
    <row r="11812" s="166" customFormat="1" x14ac:dyDescent="0.2"/>
    <row r="11813" s="166" customFormat="1" x14ac:dyDescent="0.2"/>
    <row r="11814" s="166" customFormat="1" x14ac:dyDescent="0.2"/>
    <row r="11815" s="166" customFormat="1" x14ac:dyDescent="0.2"/>
    <row r="11816" s="166" customFormat="1" x14ac:dyDescent="0.2"/>
    <row r="11817" s="166" customFormat="1" x14ac:dyDescent="0.2"/>
    <row r="11818" s="166" customFormat="1" x14ac:dyDescent="0.2"/>
    <row r="11819" s="166" customFormat="1" x14ac:dyDescent="0.2"/>
    <row r="11820" s="166" customFormat="1" x14ac:dyDescent="0.2"/>
    <row r="11821" s="166" customFormat="1" x14ac:dyDescent="0.2"/>
    <row r="11822" s="166" customFormat="1" x14ac:dyDescent="0.2"/>
    <row r="11823" s="166" customFormat="1" x14ac:dyDescent="0.2"/>
    <row r="11824" s="166" customFormat="1" x14ac:dyDescent="0.2"/>
    <row r="11825" s="166" customFormat="1" x14ac:dyDescent="0.2"/>
    <row r="11826" s="166" customFormat="1" x14ac:dyDescent="0.2"/>
    <row r="11827" s="166" customFormat="1" x14ac:dyDescent="0.2"/>
    <row r="11828" s="166" customFormat="1" x14ac:dyDescent="0.2"/>
    <row r="11829" s="166" customFormat="1" x14ac:dyDescent="0.2"/>
    <row r="11830" s="166" customFormat="1" x14ac:dyDescent="0.2"/>
    <row r="11831" s="166" customFormat="1" x14ac:dyDescent="0.2"/>
    <row r="11832" s="166" customFormat="1" x14ac:dyDescent="0.2"/>
    <row r="11833" s="166" customFormat="1" x14ac:dyDescent="0.2"/>
    <row r="11834" s="166" customFormat="1" x14ac:dyDescent="0.2"/>
    <row r="11835" s="166" customFormat="1" x14ac:dyDescent="0.2"/>
    <row r="11836" s="166" customFormat="1" x14ac:dyDescent="0.2"/>
    <row r="11837" s="166" customFormat="1" x14ac:dyDescent="0.2"/>
    <row r="11838" s="166" customFormat="1" x14ac:dyDescent="0.2"/>
    <row r="11839" s="166" customFormat="1" x14ac:dyDescent="0.2"/>
    <row r="11840" s="166" customFormat="1" x14ac:dyDescent="0.2"/>
    <row r="11841" s="166" customFormat="1" x14ac:dyDescent="0.2"/>
    <row r="11842" s="166" customFormat="1" x14ac:dyDescent="0.2"/>
    <row r="11843" s="166" customFormat="1" x14ac:dyDescent="0.2"/>
    <row r="11844" s="166" customFormat="1" x14ac:dyDescent="0.2"/>
    <row r="11845" s="166" customFormat="1" x14ac:dyDescent="0.2"/>
    <row r="11846" s="166" customFormat="1" x14ac:dyDescent="0.2"/>
    <row r="11847" s="166" customFormat="1" x14ac:dyDescent="0.2"/>
    <row r="11848" s="166" customFormat="1" x14ac:dyDescent="0.2"/>
    <row r="11849" s="166" customFormat="1" x14ac:dyDescent="0.2"/>
    <row r="11850" s="166" customFormat="1" x14ac:dyDescent="0.2"/>
    <row r="11851" s="166" customFormat="1" x14ac:dyDescent="0.2"/>
    <row r="11852" s="166" customFormat="1" x14ac:dyDescent="0.2"/>
    <row r="11853" s="166" customFormat="1" x14ac:dyDescent="0.2"/>
    <row r="11854" s="166" customFormat="1" x14ac:dyDescent="0.2"/>
    <row r="11855" s="166" customFormat="1" x14ac:dyDescent="0.2"/>
    <row r="11856" s="166" customFormat="1" x14ac:dyDescent="0.2"/>
    <row r="11857" s="166" customFormat="1" x14ac:dyDescent="0.2"/>
    <row r="11858" s="166" customFormat="1" x14ac:dyDescent="0.2"/>
    <row r="11859" s="166" customFormat="1" x14ac:dyDescent="0.2"/>
    <row r="11860" s="166" customFormat="1" x14ac:dyDescent="0.2"/>
    <row r="11861" s="166" customFormat="1" x14ac:dyDescent="0.2"/>
    <row r="11862" s="166" customFormat="1" x14ac:dyDescent="0.2"/>
    <row r="11863" s="166" customFormat="1" x14ac:dyDescent="0.2"/>
    <row r="11864" s="166" customFormat="1" x14ac:dyDescent="0.2"/>
    <row r="11865" s="166" customFormat="1" x14ac:dyDescent="0.2"/>
    <row r="11866" s="166" customFormat="1" x14ac:dyDescent="0.2"/>
    <row r="11867" s="166" customFormat="1" x14ac:dyDescent="0.2"/>
    <row r="11868" s="166" customFormat="1" x14ac:dyDescent="0.2"/>
    <row r="11869" s="166" customFormat="1" x14ac:dyDescent="0.2"/>
    <row r="11870" s="166" customFormat="1" x14ac:dyDescent="0.2"/>
    <row r="11871" s="166" customFormat="1" x14ac:dyDescent="0.2"/>
    <row r="11872" s="166" customFormat="1" x14ac:dyDescent="0.2"/>
    <row r="11873" s="166" customFormat="1" x14ac:dyDescent="0.2"/>
    <row r="11874" s="166" customFormat="1" x14ac:dyDescent="0.2"/>
    <row r="11875" s="166" customFormat="1" x14ac:dyDescent="0.2"/>
    <row r="11876" s="166" customFormat="1" x14ac:dyDescent="0.2"/>
    <row r="11877" s="166" customFormat="1" x14ac:dyDescent="0.2"/>
    <row r="11878" s="166" customFormat="1" x14ac:dyDescent="0.2"/>
    <row r="11879" s="166" customFormat="1" x14ac:dyDescent="0.2"/>
    <row r="11880" s="166" customFormat="1" x14ac:dyDescent="0.2"/>
    <row r="11881" s="166" customFormat="1" x14ac:dyDescent="0.2"/>
    <row r="11882" s="166" customFormat="1" x14ac:dyDescent="0.2"/>
    <row r="11883" s="166" customFormat="1" x14ac:dyDescent="0.2"/>
    <row r="11884" s="166" customFormat="1" x14ac:dyDescent="0.2"/>
    <row r="11885" s="166" customFormat="1" x14ac:dyDescent="0.2"/>
    <row r="11886" s="166" customFormat="1" x14ac:dyDescent="0.2"/>
    <row r="11887" s="166" customFormat="1" x14ac:dyDescent="0.2"/>
    <row r="11888" s="166" customFormat="1" x14ac:dyDescent="0.2"/>
    <row r="11889" s="166" customFormat="1" x14ac:dyDescent="0.2"/>
    <row r="11890" s="166" customFormat="1" x14ac:dyDescent="0.2"/>
    <row r="11891" s="166" customFormat="1" x14ac:dyDescent="0.2"/>
    <row r="11892" s="166" customFormat="1" x14ac:dyDescent="0.2"/>
    <row r="11893" s="166" customFormat="1" x14ac:dyDescent="0.2"/>
    <row r="11894" s="166" customFormat="1" x14ac:dyDescent="0.2"/>
    <row r="11895" s="166" customFormat="1" x14ac:dyDescent="0.2"/>
    <row r="11896" s="166" customFormat="1" x14ac:dyDescent="0.2"/>
    <row r="11897" s="166" customFormat="1" x14ac:dyDescent="0.2"/>
    <row r="11898" s="166" customFormat="1" x14ac:dyDescent="0.2"/>
    <row r="11899" s="166" customFormat="1" x14ac:dyDescent="0.2"/>
    <row r="11900" s="166" customFormat="1" x14ac:dyDescent="0.2"/>
    <row r="11901" s="166" customFormat="1" x14ac:dyDescent="0.2"/>
    <row r="11902" s="166" customFormat="1" x14ac:dyDescent="0.2"/>
    <row r="11903" s="166" customFormat="1" x14ac:dyDescent="0.2"/>
    <row r="11904" s="166" customFormat="1" x14ac:dyDescent="0.2"/>
    <row r="11905" s="166" customFormat="1" x14ac:dyDescent="0.2"/>
    <row r="11906" s="166" customFormat="1" x14ac:dyDescent="0.2"/>
    <row r="11907" s="166" customFormat="1" x14ac:dyDescent="0.2"/>
    <row r="11908" s="166" customFormat="1" x14ac:dyDescent="0.2"/>
    <row r="11909" s="166" customFormat="1" x14ac:dyDescent="0.2"/>
    <row r="11910" s="166" customFormat="1" x14ac:dyDescent="0.2"/>
    <row r="11911" s="166" customFormat="1" x14ac:dyDescent="0.2"/>
    <row r="11912" s="166" customFormat="1" x14ac:dyDescent="0.2"/>
    <row r="11913" s="166" customFormat="1" x14ac:dyDescent="0.2"/>
    <row r="11914" s="166" customFormat="1" x14ac:dyDescent="0.2"/>
    <row r="11915" s="166" customFormat="1" x14ac:dyDescent="0.2"/>
    <row r="11916" s="166" customFormat="1" x14ac:dyDescent="0.2"/>
    <row r="11917" s="166" customFormat="1" x14ac:dyDescent="0.2"/>
    <row r="11918" s="166" customFormat="1" x14ac:dyDescent="0.2"/>
    <row r="11919" s="166" customFormat="1" x14ac:dyDescent="0.2"/>
    <row r="11920" s="166" customFormat="1" x14ac:dyDescent="0.2"/>
    <row r="11921" s="166" customFormat="1" x14ac:dyDescent="0.2"/>
    <row r="11922" s="166" customFormat="1" x14ac:dyDescent="0.2"/>
    <row r="11923" s="166" customFormat="1" x14ac:dyDescent="0.2"/>
    <row r="11924" s="166" customFormat="1" x14ac:dyDescent="0.2"/>
    <row r="11925" s="166" customFormat="1" x14ac:dyDescent="0.2"/>
    <row r="11926" s="166" customFormat="1" x14ac:dyDescent="0.2"/>
    <row r="11927" s="166" customFormat="1" x14ac:dyDescent="0.2"/>
    <row r="11928" s="166" customFormat="1" x14ac:dyDescent="0.2"/>
    <row r="11929" s="166" customFormat="1" x14ac:dyDescent="0.2"/>
    <row r="11930" s="166" customFormat="1" x14ac:dyDescent="0.2"/>
    <row r="11931" s="166" customFormat="1" x14ac:dyDescent="0.2"/>
    <row r="11932" s="166" customFormat="1" x14ac:dyDescent="0.2"/>
    <row r="11933" s="166" customFormat="1" x14ac:dyDescent="0.2"/>
    <row r="11934" s="166" customFormat="1" x14ac:dyDescent="0.2"/>
    <row r="11935" s="166" customFormat="1" x14ac:dyDescent="0.2"/>
    <row r="11936" s="166" customFormat="1" x14ac:dyDescent="0.2"/>
    <row r="11937" s="166" customFormat="1" x14ac:dyDescent="0.2"/>
    <row r="11938" s="166" customFormat="1" x14ac:dyDescent="0.2"/>
    <row r="11939" s="166" customFormat="1" x14ac:dyDescent="0.2"/>
    <row r="11940" s="166" customFormat="1" x14ac:dyDescent="0.2"/>
    <row r="11941" s="166" customFormat="1" x14ac:dyDescent="0.2"/>
    <row r="11942" s="166" customFormat="1" x14ac:dyDescent="0.2"/>
    <row r="11943" s="166" customFormat="1" x14ac:dyDescent="0.2"/>
    <row r="11944" s="166" customFormat="1" x14ac:dyDescent="0.2"/>
    <row r="11945" s="166" customFormat="1" x14ac:dyDescent="0.2"/>
    <row r="11946" s="166" customFormat="1" x14ac:dyDescent="0.2"/>
    <row r="11947" s="166" customFormat="1" x14ac:dyDescent="0.2"/>
    <row r="11948" s="166" customFormat="1" x14ac:dyDescent="0.2"/>
    <row r="11949" s="166" customFormat="1" x14ac:dyDescent="0.2"/>
    <row r="11950" s="166" customFormat="1" x14ac:dyDescent="0.2"/>
    <row r="11951" s="166" customFormat="1" x14ac:dyDescent="0.2"/>
    <row r="11952" s="166" customFormat="1" x14ac:dyDescent="0.2"/>
    <row r="11953" s="166" customFormat="1" x14ac:dyDescent="0.2"/>
    <row r="11954" s="166" customFormat="1" x14ac:dyDescent="0.2"/>
    <row r="11955" s="166" customFormat="1" x14ac:dyDescent="0.2"/>
    <row r="11956" s="166" customFormat="1" x14ac:dyDescent="0.2"/>
    <row r="11957" s="166" customFormat="1" x14ac:dyDescent="0.2"/>
    <row r="11958" s="166" customFormat="1" x14ac:dyDescent="0.2"/>
    <row r="11959" s="166" customFormat="1" x14ac:dyDescent="0.2"/>
    <row r="11960" s="166" customFormat="1" x14ac:dyDescent="0.2"/>
    <row r="11961" s="166" customFormat="1" x14ac:dyDescent="0.2"/>
    <row r="11962" s="166" customFormat="1" x14ac:dyDescent="0.2"/>
    <row r="11963" s="166" customFormat="1" x14ac:dyDescent="0.2"/>
    <row r="11964" s="166" customFormat="1" x14ac:dyDescent="0.2"/>
    <row r="11965" s="166" customFormat="1" x14ac:dyDescent="0.2"/>
    <row r="11966" s="166" customFormat="1" x14ac:dyDescent="0.2"/>
    <row r="11967" s="166" customFormat="1" x14ac:dyDescent="0.2"/>
    <row r="11968" s="166" customFormat="1" x14ac:dyDescent="0.2"/>
    <row r="11969" s="166" customFormat="1" x14ac:dyDescent="0.2"/>
    <row r="11970" s="166" customFormat="1" x14ac:dyDescent="0.2"/>
    <row r="11971" s="166" customFormat="1" x14ac:dyDescent="0.2"/>
    <row r="11972" s="166" customFormat="1" x14ac:dyDescent="0.2"/>
    <row r="11973" s="166" customFormat="1" x14ac:dyDescent="0.2"/>
    <row r="11974" s="166" customFormat="1" x14ac:dyDescent="0.2"/>
    <row r="11975" s="166" customFormat="1" x14ac:dyDescent="0.2"/>
    <row r="11976" s="166" customFormat="1" x14ac:dyDescent="0.2"/>
    <row r="11977" s="166" customFormat="1" x14ac:dyDescent="0.2"/>
    <row r="11978" s="166" customFormat="1" x14ac:dyDescent="0.2"/>
    <row r="11979" s="166" customFormat="1" x14ac:dyDescent="0.2"/>
    <row r="11980" s="166" customFormat="1" x14ac:dyDescent="0.2"/>
    <row r="11981" s="166" customFormat="1" x14ac:dyDescent="0.2"/>
    <row r="11982" s="166" customFormat="1" x14ac:dyDescent="0.2"/>
    <row r="11983" s="166" customFormat="1" x14ac:dyDescent="0.2"/>
    <row r="11984" s="166" customFormat="1" x14ac:dyDescent="0.2"/>
    <row r="11985" s="166" customFormat="1" x14ac:dyDescent="0.2"/>
    <row r="11986" s="166" customFormat="1" x14ac:dyDescent="0.2"/>
    <row r="11987" s="166" customFormat="1" x14ac:dyDescent="0.2"/>
    <row r="11988" s="166" customFormat="1" x14ac:dyDescent="0.2"/>
    <row r="11989" s="166" customFormat="1" x14ac:dyDescent="0.2"/>
    <row r="11990" s="166" customFormat="1" x14ac:dyDescent="0.2"/>
    <row r="11991" s="166" customFormat="1" x14ac:dyDescent="0.2"/>
    <row r="11992" s="166" customFormat="1" x14ac:dyDescent="0.2"/>
    <row r="11993" s="166" customFormat="1" x14ac:dyDescent="0.2"/>
    <row r="11994" s="166" customFormat="1" x14ac:dyDescent="0.2"/>
    <row r="11995" s="166" customFormat="1" x14ac:dyDescent="0.2"/>
    <row r="11996" s="166" customFormat="1" x14ac:dyDescent="0.2"/>
    <row r="11997" s="166" customFormat="1" x14ac:dyDescent="0.2"/>
    <row r="11998" s="166" customFormat="1" x14ac:dyDescent="0.2"/>
    <row r="11999" s="166" customFormat="1" x14ac:dyDescent="0.2"/>
    <row r="12000" s="166" customFormat="1" x14ac:dyDescent="0.2"/>
    <row r="12001" s="166" customFormat="1" x14ac:dyDescent="0.2"/>
    <row r="12002" s="166" customFormat="1" x14ac:dyDescent="0.2"/>
    <row r="12003" s="166" customFormat="1" x14ac:dyDescent="0.2"/>
    <row r="12004" s="166" customFormat="1" x14ac:dyDescent="0.2"/>
    <row r="12005" s="166" customFormat="1" x14ac:dyDescent="0.2"/>
    <row r="12006" s="166" customFormat="1" x14ac:dyDescent="0.2"/>
    <row r="12007" s="166" customFormat="1" x14ac:dyDescent="0.2"/>
    <row r="12008" s="166" customFormat="1" x14ac:dyDescent="0.2"/>
    <row r="12009" s="166" customFormat="1" x14ac:dyDescent="0.2"/>
    <row r="12010" s="166" customFormat="1" x14ac:dyDescent="0.2"/>
    <row r="12011" s="166" customFormat="1" x14ac:dyDescent="0.2"/>
    <row r="12012" s="166" customFormat="1" x14ac:dyDescent="0.2"/>
    <row r="12013" s="166" customFormat="1" x14ac:dyDescent="0.2"/>
    <row r="12014" s="166" customFormat="1" x14ac:dyDescent="0.2"/>
    <row r="12015" s="166" customFormat="1" x14ac:dyDescent="0.2"/>
    <row r="12016" s="166" customFormat="1" x14ac:dyDescent="0.2"/>
    <row r="12017" s="166" customFormat="1" x14ac:dyDescent="0.2"/>
    <row r="12018" s="166" customFormat="1" x14ac:dyDescent="0.2"/>
    <row r="12019" s="166" customFormat="1" x14ac:dyDescent="0.2"/>
    <row r="12020" s="166" customFormat="1" x14ac:dyDescent="0.2"/>
    <row r="12021" s="166" customFormat="1" x14ac:dyDescent="0.2"/>
    <row r="12022" s="166" customFormat="1" x14ac:dyDescent="0.2"/>
    <row r="12023" s="166" customFormat="1" x14ac:dyDescent="0.2"/>
    <row r="12024" s="166" customFormat="1" x14ac:dyDescent="0.2"/>
    <row r="12025" s="166" customFormat="1" x14ac:dyDescent="0.2"/>
    <row r="12026" s="166" customFormat="1" x14ac:dyDescent="0.2"/>
    <row r="12027" s="166" customFormat="1" x14ac:dyDescent="0.2"/>
    <row r="12028" s="166" customFormat="1" x14ac:dyDescent="0.2"/>
    <row r="12029" s="166" customFormat="1" x14ac:dyDescent="0.2"/>
    <row r="12030" s="166" customFormat="1" x14ac:dyDescent="0.2"/>
    <row r="12031" s="166" customFormat="1" x14ac:dyDescent="0.2"/>
    <row r="12032" s="166" customFormat="1" x14ac:dyDescent="0.2"/>
    <row r="12033" s="166" customFormat="1" x14ac:dyDescent="0.2"/>
    <row r="12034" s="166" customFormat="1" x14ac:dyDescent="0.2"/>
    <row r="12035" s="166" customFormat="1" x14ac:dyDescent="0.2"/>
    <row r="12036" s="166" customFormat="1" x14ac:dyDescent="0.2"/>
    <row r="12037" s="166" customFormat="1" x14ac:dyDescent="0.2"/>
    <row r="12038" s="166" customFormat="1" x14ac:dyDescent="0.2"/>
    <row r="12039" s="166" customFormat="1" x14ac:dyDescent="0.2"/>
    <row r="12040" s="166" customFormat="1" x14ac:dyDescent="0.2"/>
    <row r="12041" s="166" customFormat="1" x14ac:dyDescent="0.2"/>
    <row r="12042" s="166" customFormat="1" x14ac:dyDescent="0.2"/>
    <row r="12043" s="166" customFormat="1" x14ac:dyDescent="0.2"/>
    <row r="12044" s="166" customFormat="1" x14ac:dyDescent="0.2"/>
    <row r="12045" s="166" customFormat="1" x14ac:dyDescent="0.2"/>
    <row r="12046" s="166" customFormat="1" x14ac:dyDescent="0.2"/>
    <row r="12047" s="166" customFormat="1" x14ac:dyDescent="0.2"/>
    <row r="12048" s="166" customFormat="1" x14ac:dyDescent="0.2"/>
    <row r="12049" s="166" customFormat="1" x14ac:dyDescent="0.2"/>
    <row r="12050" s="166" customFormat="1" x14ac:dyDescent="0.2"/>
    <row r="12051" s="166" customFormat="1" x14ac:dyDescent="0.2"/>
    <row r="12052" s="166" customFormat="1" x14ac:dyDescent="0.2"/>
    <row r="12053" s="166" customFormat="1" x14ac:dyDescent="0.2"/>
    <row r="12054" s="166" customFormat="1" x14ac:dyDescent="0.2"/>
    <row r="12055" s="166" customFormat="1" x14ac:dyDescent="0.2"/>
    <row r="12056" s="166" customFormat="1" x14ac:dyDescent="0.2"/>
    <row r="12057" s="166" customFormat="1" x14ac:dyDescent="0.2"/>
    <row r="12058" s="166" customFormat="1" x14ac:dyDescent="0.2"/>
    <row r="12059" s="166" customFormat="1" x14ac:dyDescent="0.2"/>
    <row r="12060" s="166" customFormat="1" x14ac:dyDescent="0.2"/>
    <row r="12061" s="166" customFormat="1" x14ac:dyDescent="0.2"/>
    <row r="12062" s="166" customFormat="1" x14ac:dyDescent="0.2"/>
    <row r="12063" s="166" customFormat="1" x14ac:dyDescent="0.2"/>
    <row r="12064" s="166" customFormat="1" x14ac:dyDescent="0.2"/>
    <row r="12065" s="166" customFormat="1" x14ac:dyDescent="0.2"/>
    <row r="12066" s="166" customFormat="1" x14ac:dyDescent="0.2"/>
    <row r="12067" s="166" customFormat="1" x14ac:dyDescent="0.2"/>
    <row r="12068" s="166" customFormat="1" x14ac:dyDescent="0.2"/>
    <row r="12069" s="166" customFormat="1" x14ac:dyDescent="0.2"/>
    <row r="12070" s="166" customFormat="1" x14ac:dyDescent="0.2"/>
    <row r="12071" s="166" customFormat="1" x14ac:dyDescent="0.2"/>
    <row r="12072" s="166" customFormat="1" x14ac:dyDescent="0.2"/>
    <row r="12073" s="166" customFormat="1" x14ac:dyDescent="0.2"/>
    <row r="12074" s="166" customFormat="1" x14ac:dyDescent="0.2"/>
    <row r="12075" s="166" customFormat="1" x14ac:dyDescent="0.2"/>
    <row r="12076" s="166" customFormat="1" x14ac:dyDescent="0.2"/>
    <row r="12077" s="166" customFormat="1" x14ac:dyDescent="0.2"/>
    <row r="12078" s="166" customFormat="1" x14ac:dyDescent="0.2"/>
    <row r="12079" s="166" customFormat="1" x14ac:dyDescent="0.2"/>
    <row r="12080" s="166" customFormat="1" x14ac:dyDescent="0.2"/>
    <row r="12081" s="166" customFormat="1" x14ac:dyDescent="0.2"/>
    <row r="12082" s="166" customFormat="1" x14ac:dyDescent="0.2"/>
    <row r="12083" s="166" customFormat="1" x14ac:dyDescent="0.2"/>
    <row r="12084" s="166" customFormat="1" x14ac:dyDescent="0.2"/>
    <row r="12085" s="166" customFormat="1" x14ac:dyDescent="0.2"/>
    <row r="12086" s="166" customFormat="1" x14ac:dyDescent="0.2"/>
    <row r="12087" s="166" customFormat="1" x14ac:dyDescent="0.2"/>
    <row r="12088" s="166" customFormat="1" x14ac:dyDescent="0.2"/>
    <row r="12089" s="166" customFormat="1" x14ac:dyDescent="0.2"/>
    <row r="12090" s="166" customFormat="1" x14ac:dyDescent="0.2"/>
    <row r="12091" s="166" customFormat="1" x14ac:dyDescent="0.2"/>
    <row r="12092" s="166" customFormat="1" x14ac:dyDescent="0.2"/>
    <row r="12093" s="166" customFormat="1" x14ac:dyDescent="0.2"/>
    <row r="12094" s="166" customFormat="1" x14ac:dyDescent="0.2"/>
    <row r="12095" s="166" customFormat="1" x14ac:dyDescent="0.2"/>
    <row r="12096" s="166" customFormat="1" x14ac:dyDescent="0.2"/>
    <row r="12097" s="166" customFormat="1" x14ac:dyDescent="0.2"/>
    <row r="12098" s="166" customFormat="1" x14ac:dyDescent="0.2"/>
    <row r="12099" s="166" customFormat="1" x14ac:dyDescent="0.2"/>
    <row r="12100" s="166" customFormat="1" x14ac:dyDescent="0.2"/>
    <row r="12101" s="166" customFormat="1" x14ac:dyDescent="0.2"/>
    <row r="12102" s="166" customFormat="1" x14ac:dyDescent="0.2"/>
    <row r="12103" s="166" customFormat="1" x14ac:dyDescent="0.2"/>
    <row r="12104" s="166" customFormat="1" x14ac:dyDescent="0.2"/>
    <row r="12105" s="166" customFormat="1" x14ac:dyDescent="0.2"/>
    <row r="12106" s="166" customFormat="1" x14ac:dyDescent="0.2"/>
    <row r="12107" s="166" customFormat="1" x14ac:dyDescent="0.2"/>
    <row r="12108" s="166" customFormat="1" x14ac:dyDescent="0.2"/>
    <row r="12109" s="166" customFormat="1" x14ac:dyDescent="0.2"/>
    <row r="12110" s="166" customFormat="1" x14ac:dyDescent="0.2"/>
    <row r="12111" s="166" customFormat="1" x14ac:dyDescent="0.2"/>
    <row r="12112" s="166" customFormat="1" x14ac:dyDescent="0.2"/>
    <row r="12113" s="166" customFormat="1" x14ac:dyDescent="0.2"/>
    <row r="12114" s="166" customFormat="1" x14ac:dyDescent="0.2"/>
    <row r="12115" s="166" customFormat="1" x14ac:dyDescent="0.2"/>
    <row r="12116" s="166" customFormat="1" x14ac:dyDescent="0.2"/>
    <row r="12117" s="166" customFormat="1" x14ac:dyDescent="0.2"/>
    <row r="12118" s="166" customFormat="1" x14ac:dyDescent="0.2"/>
    <row r="12119" s="166" customFormat="1" x14ac:dyDescent="0.2"/>
    <row r="12120" s="166" customFormat="1" x14ac:dyDescent="0.2"/>
    <row r="12121" s="166" customFormat="1" x14ac:dyDescent="0.2"/>
    <row r="12122" s="166" customFormat="1" x14ac:dyDescent="0.2"/>
    <row r="12123" s="166" customFormat="1" x14ac:dyDescent="0.2"/>
    <row r="12124" s="166" customFormat="1" x14ac:dyDescent="0.2"/>
    <row r="12125" s="166" customFormat="1" x14ac:dyDescent="0.2"/>
    <row r="12126" s="166" customFormat="1" x14ac:dyDescent="0.2"/>
    <row r="12127" s="166" customFormat="1" x14ac:dyDescent="0.2"/>
    <row r="12128" s="166" customFormat="1" x14ac:dyDescent="0.2"/>
    <row r="12129" s="166" customFormat="1" x14ac:dyDescent="0.2"/>
    <row r="12130" s="166" customFormat="1" x14ac:dyDescent="0.2"/>
    <row r="12131" s="166" customFormat="1" x14ac:dyDescent="0.2"/>
    <row r="12132" s="166" customFormat="1" x14ac:dyDescent="0.2"/>
    <row r="12133" s="166" customFormat="1" x14ac:dyDescent="0.2"/>
    <row r="12134" s="166" customFormat="1" x14ac:dyDescent="0.2"/>
    <row r="12135" s="166" customFormat="1" x14ac:dyDescent="0.2"/>
    <row r="12136" s="166" customFormat="1" x14ac:dyDescent="0.2"/>
    <row r="12137" s="166" customFormat="1" x14ac:dyDescent="0.2"/>
    <row r="12138" s="166" customFormat="1" x14ac:dyDescent="0.2"/>
    <row r="12139" s="166" customFormat="1" x14ac:dyDescent="0.2"/>
    <row r="12140" s="166" customFormat="1" x14ac:dyDescent="0.2"/>
    <row r="12141" s="166" customFormat="1" x14ac:dyDescent="0.2"/>
    <row r="12142" s="166" customFormat="1" x14ac:dyDescent="0.2"/>
    <row r="12143" s="166" customFormat="1" x14ac:dyDescent="0.2"/>
    <row r="12144" s="166" customFormat="1" x14ac:dyDescent="0.2"/>
    <row r="12145" s="166" customFormat="1" x14ac:dyDescent="0.2"/>
    <row r="12146" s="166" customFormat="1" x14ac:dyDescent="0.2"/>
    <row r="12147" s="166" customFormat="1" x14ac:dyDescent="0.2"/>
    <row r="12148" s="166" customFormat="1" x14ac:dyDescent="0.2"/>
    <row r="12149" s="166" customFormat="1" x14ac:dyDescent="0.2"/>
    <row r="12150" s="166" customFormat="1" x14ac:dyDescent="0.2"/>
    <row r="12151" s="166" customFormat="1" x14ac:dyDescent="0.2"/>
    <row r="12152" s="166" customFormat="1" x14ac:dyDescent="0.2"/>
    <row r="12153" s="166" customFormat="1" x14ac:dyDescent="0.2"/>
    <row r="12154" s="166" customFormat="1" x14ac:dyDescent="0.2"/>
    <row r="12155" s="166" customFormat="1" x14ac:dyDescent="0.2"/>
    <row r="12156" s="166" customFormat="1" x14ac:dyDescent="0.2"/>
    <row r="12157" s="166" customFormat="1" x14ac:dyDescent="0.2"/>
    <row r="12158" s="166" customFormat="1" x14ac:dyDescent="0.2"/>
    <row r="12159" s="166" customFormat="1" x14ac:dyDescent="0.2"/>
    <row r="12160" s="166" customFormat="1" x14ac:dyDescent="0.2"/>
    <row r="12161" s="166" customFormat="1" x14ac:dyDescent="0.2"/>
    <row r="12162" s="166" customFormat="1" x14ac:dyDescent="0.2"/>
    <row r="12163" s="166" customFormat="1" x14ac:dyDescent="0.2"/>
    <row r="12164" s="166" customFormat="1" x14ac:dyDescent="0.2"/>
    <row r="12165" s="166" customFormat="1" x14ac:dyDescent="0.2"/>
    <row r="12166" s="166" customFormat="1" x14ac:dyDescent="0.2"/>
    <row r="12167" s="166" customFormat="1" x14ac:dyDescent="0.2"/>
    <row r="12168" s="166" customFormat="1" x14ac:dyDescent="0.2"/>
    <row r="12169" s="166" customFormat="1" x14ac:dyDescent="0.2"/>
    <row r="12170" s="166" customFormat="1" x14ac:dyDescent="0.2"/>
    <row r="12171" s="166" customFormat="1" x14ac:dyDescent="0.2"/>
    <row r="12172" s="166" customFormat="1" x14ac:dyDescent="0.2"/>
    <row r="12173" s="166" customFormat="1" x14ac:dyDescent="0.2"/>
    <row r="12174" s="166" customFormat="1" x14ac:dyDescent="0.2"/>
    <row r="12175" s="166" customFormat="1" x14ac:dyDescent="0.2"/>
    <row r="12176" s="166" customFormat="1" x14ac:dyDescent="0.2"/>
    <row r="12177" s="166" customFormat="1" x14ac:dyDescent="0.2"/>
    <row r="12178" s="166" customFormat="1" x14ac:dyDescent="0.2"/>
    <row r="12179" s="166" customFormat="1" x14ac:dyDescent="0.2"/>
    <row r="12180" s="166" customFormat="1" x14ac:dyDescent="0.2"/>
    <row r="12181" s="166" customFormat="1" x14ac:dyDescent="0.2"/>
    <row r="12182" s="166" customFormat="1" x14ac:dyDescent="0.2"/>
    <row r="12183" s="166" customFormat="1" x14ac:dyDescent="0.2"/>
    <row r="12184" s="166" customFormat="1" x14ac:dyDescent="0.2"/>
    <row r="12185" s="166" customFormat="1" x14ac:dyDescent="0.2"/>
    <row r="12186" s="166" customFormat="1" x14ac:dyDescent="0.2"/>
    <row r="12187" s="166" customFormat="1" x14ac:dyDescent="0.2"/>
    <row r="12188" s="166" customFormat="1" x14ac:dyDescent="0.2"/>
    <row r="12189" s="166" customFormat="1" x14ac:dyDescent="0.2"/>
    <row r="12190" s="166" customFormat="1" x14ac:dyDescent="0.2"/>
    <row r="12191" s="166" customFormat="1" x14ac:dyDescent="0.2"/>
    <row r="12192" s="166" customFormat="1" x14ac:dyDescent="0.2"/>
    <row r="12193" s="166" customFormat="1" x14ac:dyDescent="0.2"/>
    <row r="12194" s="166" customFormat="1" x14ac:dyDescent="0.2"/>
    <row r="12195" s="166" customFormat="1" x14ac:dyDescent="0.2"/>
    <row r="12196" s="166" customFormat="1" x14ac:dyDescent="0.2"/>
    <row r="12197" s="166" customFormat="1" x14ac:dyDescent="0.2"/>
    <row r="12198" s="166" customFormat="1" x14ac:dyDescent="0.2"/>
    <row r="12199" s="166" customFormat="1" x14ac:dyDescent="0.2"/>
    <row r="12200" s="166" customFormat="1" x14ac:dyDescent="0.2"/>
    <row r="12201" s="166" customFormat="1" x14ac:dyDescent="0.2"/>
    <row r="12202" s="166" customFormat="1" x14ac:dyDescent="0.2"/>
    <row r="12203" s="166" customFormat="1" x14ac:dyDescent="0.2"/>
    <row r="12204" s="166" customFormat="1" x14ac:dyDescent="0.2"/>
    <row r="12205" s="166" customFormat="1" x14ac:dyDescent="0.2"/>
    <row r="12206" s="166" customFormat="1" x14ac:dyDescent="0.2"/>
    <row r="12207" s="166" customFormat="1" x14ac:dyDescent="0.2"/>
    <row r="12208" s="166" customFormat="1" x14ac:dyDescent="0.2"/>
    <row r="12209" s="166" customFormat="1" x14ac:dyDescent="0.2"/>
    <row r="12210" s="166" customFormat="1" x14ac:dyDescent="0.2"/>
    <row r="12211" s="166" customFormat="1" x14ac:dyDescent="0.2"/>
    <row r="12212" s="166" customFormat="1" x14ac:dyDescent="0.2"/>
    <row r="12213" s="166" customFormat="1" x14ac:dyDescent="0.2"/>
    <row r="12214" s="166" customFormat="1" x14ac:dyDescent="0.2"/>
    <row r="12215" s="166" customFormat="1" x14ac:dyDescent="0.2"/>
    <row r="12216" s="166" customFormat="1" x14ac:dyDescent="0.2"/>
    <row r="12217" s="166" customFormat="1" x14ac:dyDescent="0.2"/>
    <row r="12218" s="166" customFormat="1" x14ac:dyDescent="0.2"/>
    <row r="12219" s="166" customFormat="1" x14ac:dyDescent="0.2"/>
    <row r="12220" s="166" customFormat="1" x14ac:dyDescent="0.2"/>
    <row r="12221" s="166" customFormat="1" x14ac:dyDescent="0.2"/>
    <row r="12222" s="166" customFormat="1" x14ac:dyDescent="0.2"/>
    <row r="12223" s="166" customFormat="1" x14ac:dyDescent="0.2"/>
    <row r="12224" s="166" customFormat="1" x14ac:dyDescent="0.2"/>
    <row r="12225" s="166" customFormat="1" x14ac:dyDescent="0.2"/>
    <row r="12226" s="166" customFormat="1" x14ac:dyDescent="0.2"/>
    <row r="12227" s="166" customFormat="1" x14ac:dyDescent="0.2"/>
    <row r="12228" s="166" customFormat="1" x14ac:dyDescent="0.2"/>
    <row r="12229" s="166" customFormat="1" x14ac:dyDescent="0.2"/>
    <row r="12230" s="166" customFormat="1" x14ac:dyDescent="0.2"/>
    <row r="12231" s="166" customFormat="1" x14ac:dyDescent="0.2"/>
    <row r="12232" s="166" customFormat="1" x14ac:dyDescent="0.2"/>
    <row r="12233" s="166" customFormat="1" x14ac:dyDescent="0.2"/>
    <row r="12234" s="166" customFormat="1" x14ac:dyDescent="0.2"/>
    <row r="12235" s="166" customFormat="1" x14ac:dyDescent="0.2"/>
    <row r="12236" s="166" customFormat="1" x14ac:dyDescent="0.2"/>
    <row r="12237" s="166" customFormat="1" x14ac:dyDescent="0.2"/>
    <row r="12238" s="166" customFormat="1" x14ac:dyDescent="0.2"/>
    <row r="12239" s="166" customFormat="1" x14ac:dyDescent="0.2"/>
    <row r="12240" s="166" customFormat="1" x14ac:dyDescent="0.2"/>
    <row r="12241" s="166" customFormat="1" x14ac:dyDescent="0.2"/>
    <row r="12242" s="166" customFormat="1" x14ac:dyDescent="0.2"/>
    <row r="12243" s="166" customFormat="1" x14ac:dyDescent="0.2"/>
    <row r="12244" s="166" customFormat="1" x14ac:dyDescent="0.2"/>
    <row r="12245" s="166" customFormat="1" x14ac:dyDescent="0.2"/>
    <row r="12246" s="166" customFormat="1" x14ac:dyDescent="0.2"/>
    <row r="12247" s="166" customFormat="1" x14ac:dyDescent="0.2"/>
    <row r="12248" s="166" customFormat="1" x14ac:dyDescent="0.2"/>
    <row r="12249" s="166" customFormat="1" x14ac:dyDescent="0.2"/>
    <row r="12250" s="166" customFormat="1" x14ac:dyDescent="0.2"/>
    <row r="12251" s="166" customFormat="1" x14ac:dyDescent="0.2"/>
    <row r="12252" s="166" customFormat="1" x14ac:dyDescent="0.2"/>
    <row r="12253" s="166" customFormat="1" x14ac:dyDescent="0.2"/>
    <row r="12254" s="166" customFormat="1" x14ac:dyDescent="0.2"/>
    <row r="12255" s="166" customFormat="1" x14ac:dyDescent="0.2"/>
    <row r="12256" s="166" customFormat="1" x14ac:dyDescent="0.2"/>
    <row r="12257" s="166" customFormat="1" x14ac:dyDescent="0.2"/>
    <row r="12258" s="166" customFormat="1" x14ac:dyDescent="0.2"/>
    <row r="12259" s="166" customFormat="1" x14ac:dyDescent="0.2"/>
    <row r="12260" s="166" customFormat="1" x14ac:dyDescent="0.2"/>
    <row r="12261" s="166" customFormat="1" x14ac:dyDescent="0.2"/>
    <row r="12262" s="166" customFormat="1" x14ac:dyDescent="0.2"/>
    <row r="12263" s="166" customFormat="1" x14ac:dyDescent="0.2"/>
    <row r="12264" s="166" customFormat="1" x14ac:dyDescent="0.2"/>
    <row r="12265" s="166" customFormat="1" x14ac:dyDescent="0.2"/>
    <row r="12266" s="166" customFormat="1" x14ac:dyDescent="0.2"/>
    <row r="12267" s="166" customFormat="1" x14ac:dyDescent="0.2"/>
    <row r="12268" s="166" customFormat="1" x14ac:dyDescent="0.2"/>
    <row r="12269" s="166" customFormat="1" x14ac:dyDescent="0.2"/>
    <row r="12270" s="166" customFormat="1" x14ac:dyDescent="0.2"/>
    <row r="12271" s="166" customFormat="1" x14ac:dyDescent="0.2"/>
    <row r="12272" s="166" customFormat="1" x14ac:dyDescent="0.2"/>
    <row r="12273" s="166" customFormat="1" x14ac:dyDescent="0.2"/>
    <row r="12274" s="166" customFormat="1" x14ac:dyDescent="0.2"/>
    <row r="12275" s="166" customFormat="1" x14ac:dyDescent="0.2"/>
    <row r="12276" s="166" customFormat="1" x14ac:dyDescent="0.2"/>
    <row r="12277" s="166" customFormat="1" x14ac:dyDescent="0.2"/>
    <row r="12278" s="166" customFormat="1" x14ac:dyDescent="0.2"/>
    <row r="12279" s="166" customFormat="1" x14ac:dyDescent="0.2"/>
    <row r="12280" s="166" customFormat="1" x14ac:dyDescent="0.2"/>
    <row r="12281" s="166" customFormat="1" x14ac:dyDescent="0.2"/>
    <row r="12282" s="166" customFormat="1" x14ac:dyDescent="0.2"/>
    <row r="12283" s="166" customFormat="1" x14ac:dyDescent="0.2"/>
    <row r="12284" s="166" customFormat="1" x14ac:dyDescent="0.2"/>
    <row r="12285" s="166" customFormat="1" x14ac:dyDescent="0.2"/>
    <row r="12286" s="166" customFormat="1" x14ac:dyDescent="0.2"/>
    <row r="12287" s="166" customFormat="1" x14ac:dyDescent="0.2"/>
    <row r="12288" s="166" customFormat="1" x14ac:dyDescent="0.2"/>
    <row r="12289" s="166" customFormat="1" x14ac:dyDescent="0.2"/>
    <row r="12290" s="166" customFormat="1" x14ac:dyDescent="0.2"/>
    <row r="12291" s="166" customFormat="1" x14ac:dyDescent="0.2"/>
    <row r="12292" s="166" customFormat="1" x14ac:dyDescent="0.2"/>
    <row r="12293" s="166" customFormat="1" x14ac:dyDescent="0.2"/>
    <row r="12294" s="166" customFormat="1" x14ac:dyDescent="0.2"/>
    <row r="12295" s="166" customFormat="1" x14ac:dyDescent="0.2"/>
    <row r="12296" s="166" customFormat="1" x14ac:dyDescent="0.2"/>
    <row r="12297" s="166" customFormat="1" x14ac:dyDescent="0.2"/>
    <row r="12298" s="166" customFormat="1" x14ac:dyDescent="0.2"/>
    <row r="12299" s="166" customFormat="1" x14ac:dyDescent="0.2"/>
    <row r="12300" s="166" customFormat="1" x14ac:dyDescent="0.2"/>
    <row r="12301" s="166" customFormat="1" x14ac:dyDescent="0.2"/>
    <row r="12302" s="166" customFormat="1" x14ac:dyDescent="0.2"/>
    <row r="12303" s="166" customFormat="1" x14ac:dyDescent="0.2"/>
    <row r="12304" s="166" customFormat="1" x14ac:dyDescent="0.2"/>
    <row r="12305" s="166" customFormat="1" x14ac:dyDescent="0.2"/>
    <row r="12306" s="166" customFormat="1" x14ac:dyDescent="0.2"/>
    <row r="12307" s="166" customFormat="1" x14ac:dyDescent="0.2"/>
    <row r="12308" s="166" customFormat="1" x14ac:dyDescent="0.2"/>
    <row r="12309" s="166" customFormat="1" x14ac:dyDescent="0.2"/>
    <row r="12310" s="166" customFormat="1" x14ac:dyDescent="0.2"/>
    <row r="12311" s="166" customFormat="1" x14ac:dyDescent="0.2"/>
    <row r="12312" s="166" customFormat="1" x14ac:dyDescent="0.2"/>
    <row r="12313" s="166" customFormat="1" x14ac:dyDescent="0.2"/>
    <row r="12314" s="166" customFormat="1" x14ac:dyDescent="0.2"/>
    <row r="12315" s="166" customFormat="1" x14ac:dyDescent="0.2"/>
    <row r="12316" s="166" customFormat="1" x14ac:dyDescent="0.2"/>
    <row r="12317" s="166" customFormat="1" x14ac:dyDescent="0.2"/>
    <row r="12318" s="166" customFormat="1" x14ac:dyDescent="0.2"/>
    <row r="12319" s="166" customFormat="1" x14ac:dyDescent="0.2"/>
    <row r="12320" s="166" customFormat="1" x14ac:dyDescent="0.2"/>
    <row r="12321" s="166" customFormat="1" x14ac:dyDescent="0.2"/>
    <row r="12322" s="166" customFormat="1" x14ac:dyDescent="0.2"/>
    <row r="12323" s="166" customFormat="1" x14ac:dyDescent="0.2"/>
    <row r="12324" s="166" customFormat="1" x14ac:dyDescent="0.2"/>
    <row r="12325" s="166" customFormat="1" x14ac:dyDescent="0.2"/>
    <row r="12326" s="166" customFormat="1" x14ac:dyDescent="0.2"/>
    <row r="12327" s="166" customFormat="1" x14ac:dyDescent="0.2"/>
    <row r="12328" s="166" customFormat="1" x14ac:dyDescent="0.2"/>
    <row r="12329" s="166" customFormat="1" x14ac:dyDescent="0.2"/>
    <row r="12330" s="166" customFormat="1" x14ac:dyDescent="0.2"/>
    <row r="12331" s="166" customFormat="1" x14ac:dyDescent="0.2"/>
    <row r="12332" s="166" customFormat="1" x14ac:dyDescent="0.2"/>
    <row r="12333" s="166" customFormat="1" x14ac:dyDescent="0.2"/>
    <row r="12334" s="166" customFormat="1" x14ac:dyDescent="0.2"/>
    <row r="12335" s="166" customFormat="1" x14ac:dyDescent="0.2"/>
    <row r="12336" s="166" customFormat="1" x14ac:dyDescent="0.2"/>
    <row r="12337" s="166" customFormat="1" x14ac:dyDescent="0.2"/>
    <row r="12338" s="166" customFormat="1" x14ac:dyDescent="0.2"/>
    <row r="12339" s="166" customFormat="1" x14ac:dyDescent="0.2"/>
    <row r="12340" s="166" customFormat="1" x14ac:dyDescent="0.2"/>
    <row r="12341" s="166" customFormat="1" x14ac:dyDescent="0.2"/>
    <row r="12342" s="166" customFormat="1" x14ac:dyDescent="0.2"/>
    <row r="12343" s="166" customFormat="1" x14ac:dyDescent="0.2"/>
    <row r="12344" s="166" customFormat="1" x14ac:dyDescent="0.2"/>
    <row r="12345" s="166" customFormat="1" x14ac:dyDescent="0.2"/>
    <row r="12346" s="166" customFormat="1" x14ac:dyDescent="0.2"/>
    <row r="12347" s="166" customFormat="1" x14ac:dyDescent="0.2"/>
    <row r="12348" s="166" customFormat="1" x14ac:dyDescent="0.2"/>
    <row r="12349" s="166" customFormat="1" x14ac:dyDescent="0.2"/>
    <row r="12350" s="166" customFormat="1" x14ac:dyDescent="0.2"/>
    <row r="12351" s="166" customFormat="1" x14ac:dyDescent="0.2"/>
    <row r="12352" s="166" customFormat="1" x14ac:dyDescent="0.2"/>
    <row r="12353" s="166" customFormat="1" x14ac:dyDescent="0.2"/>
    <row r="12354" s="166" customFormat="1" x14ac:dyDescent="0.2"/>
    <row r="12355" s="166" customFormat="1" x14ac:dyDescent="0.2"/>
    <row r="12356" s="166" customFormat="1" x14ac:dyDescent="0.2"/>
    <row r="12357" s="166" customFormat="1" x14ac:dyDescent="0.2"/>
    <row r="12358" s="166" customFormat="1" x14ac:dyDescent="0.2"/>
    <row r="12359" s="166" customFormat="1" x14ac:dyDescent="0.2"/>
    <row r="12360" s="166" customFormat="1" x14ac:dyDescent="0.2"/>
    <row r="12361" s="166" customFormat="1" x14ac:dyDescent="0.2"/>
    <row r="12362" s="166" customFormat="1" x14ac:dyDescent="0.2"/>
    <row r="12363" s="166" customFormat="1" x14ac:dyDescent="0.2"/>
    <row r="12364" s="166" customFormat="1" x14ac:dyDescent="0.2"/>
    <row r="12365" s="166" customFormat="1" x14ac:dyDescent="0.2"/>
    <row r="12366" s="166" customFormat="1" x14ac:dyDescent="0.2"/>
    <row r="12367" s="166" customFormat="1" x14ac:dyDescent="0.2"/>
    <row r="12368" s="166" customFormat="1" x14ac:dyDescent="0.2"/>
    <row r="12369" s="166" customFormat="1" x14ac:dyDescent="0.2"/>
    <row r="12370" s="166" customFormat="1" x14ac:dyDescent="0.2"/>
    <row r="12371" s="166" customFormat="1" x14ac:dyDescent="0.2"/>
    <row r="12372" s="166" customFormat="1" x14ac:dyDescent="0.2"/>
    <row r="12373" s="166" customFormat="1" x14ac:dyDescent="0.2"/>
    <row r="12374" s="166" customFormat="1" x14ac:dyDescent="0.2"/>
    <row r="12375" s="166" customFormat="1" x14ac:dyDescent="0.2"/>
    <row r="12376" s="166" customFormat="1" x14ac:dyDescent="0.2"/>
    <row r="12377" s="166" customFormat="1" x14ac:dyDescent="0.2"/>
    <row r="12378" s="166" customFormat="1" x14ac:dyDescent="0.2"/>
    <row r="12379" s="166" customFormat="1" x14ac:dyDescent="0.2"/>
    <row r="12380" s="166" customFormat="1" x14ac:dyDescent="0.2"/>
    <row r="12381" s="166" customFormat="1" x14ac:dyDescent="0.2"/>
    <row r="12382" s="166" customFormat="1" x14ac:dyDescent="0.2"/>
    <row r="12383" s="166" customFormat="1" x14ac:dyDescent="0.2"/>
    <row r="12384" s="166" customFormat="1" x14ac:dyDescent="0.2"/>
    <row r="12385" s="166" customFormat="1" x14ac:dyDescent="0.2"/>
    <row r="12386" s="166" customFormat="1" x14ac:dyDescent="0.2"/>
    <row r="12387" s="166" customFormat="1" x14ac:dyDescent="0.2"/>
    <row r="12388" s="166" customFormat="1" x14ac:dyDescent="0.2"/>
    <row r="12389" s="166" customFormat="1" x14ac:dyDescent="0.2"/>
    <row r="12390" s="166" customFormat="1" x14ac:dyDescent="0.2"/>
    <row r="12391" s="166" customFormat="1" x14ac:dyDescent="0.2"/>
    <row r="12392" s="166" customFormat="1" x14ac:dyDescent="0.2"/>
    <row r="12393" s="166" customFormat="1" x14ac:dyDescent="0.2"/>
    <row r="12394" s="166" customFormat="1" x14ac:dyDescent="0.2"/>
    <row r="12395" s="166" customFormat="1" x14ac:dyDescent="0.2"/>
    <row r="12396" s="166" customFormat="1" x14ac:dyDescent="0.2"/>
    <row r="12397" s="166" customFormat="1" x14ac:dyDescent="0.2"/>
    <row r="12398" s="166" customFormat="1" x14ac:dyDescent="0.2"/>
    <row r="12399" s="166" customFormat="1" x14ac:dyDescent="0.2"/>
    <row r="12400" s="166" customFormat="1" x14ac:dyDescent="0.2"/>
    <row r="12401" s="166" customFormat="1" x14ac:dyDescent="0.2"/>
    <row r="12402" s="166" customFormat="1" x14ac:dyDescent="0.2"/>
    <row r="12403" s="166" customFormat="1" x14ac:dyDescent="0.2"/>
    <row r="12404" s="166" customFormat="1" x14ac:dyDescent="0.2"/>
    <row r="12405" s="166" customFormat="1" x14ac:dyDescent="0.2"/>
    <row r="12406" s="166" customFormat="1" x14ac:dyDescent="0.2"/>
    <row r="12407" s="166" customFormat="1" x14ac:dyDescent="0.2"/>
    <row r="12408" s="166" customFormat="1" x14ac:dyDescent="0.2"/>
    <row r="12409" s="166" customFormat="1" x14ac:dyDescent="0.2"/>
    <row r="12410" s="166" customFormat="1" x14ac:dyDescent="0.2"/>
    <row r="12411" s="166" customFormat="1" x14ac:dyDescent="0.2"/>
    <row r="12412" s="166" customFormat="1" x14ac:dyDescent="0.2"/>
    <row r="12413" s="166" customFormat="1" x14ac:dyDescent="0.2"/>
    <row r="12414" s="166" customFormat="1" x14ac:dyDescent="0.2"/>
    <row r="12415" s="166" customFormat="1" x14ac:dyDescent="0.2"/>
    <row r="12416" s="166" customFormat="1" x14ac:dyDescent="0.2"/>
    <row r="12417" s="166" customFormat="1" x14ac:dyDescent="0.2"/>
    <row r="12418" s="166" customFormat="1" x14ac:dyDescent="0.2"/>
    <row r="12419" s="166" customFormat="1" x14ac:dyDescent="0.2"/>
    <row r="12420" s="166" customFormat="1" x14ac:dyDescent="0.2"/>
    <row r="12421" s="166" customFormat="1" x14ac:dyDescent="0.2"/>
    <row r="12422" s="166" customFormat="1" x14ac:dyDescent="0.2"/>
    <row r="12423" s="166" customFormat="1" x14ac:dyDescent="0.2"/>
    <row r="12424" s="166" customFormat="1" x14ac:dyDescent="0.2"/>
    <row r="12425" s="166" customFormat="1" x14ac:dyDescent="0.2"/>
    <row r="12426" s="166" customFormat="1" x14ac:dyDescent="0.2"/>
    <row r="12427" s="166" customFormat="1" x14ac:dyDescent="0.2"/>
    <row r="12428" s="166" customFormat="1" x14ac:dyDescent="0.2"/>
    <row r="12429" s="166" customFormat="1" x14ac:dyDescent="0.2"/>
    <row r="12430" s="166" customFormat="1" x14ac:dyDescent="0.2"/>
    <row r="12431" s="166" customFormat="1" x14ac:dyDescent="0.2"/>
    <row r="12432" s="166" customFormat="1" x14ac:dyDescent="0.2"/>
    <row r="12433" s="166" customFormat="1" x14ac:dyDescent="0.2"/>
    <row r="12434" s="166" customFormat="1" x14ac:dyDescent="0.2"/>
    <row r="12435" s="166" customFormat="1" x14ac:dyDescent="0.2"/>
    <row r="12436" s="166" customFormat="1" x14ac:dyDescent="0.2"/>
    <row r="12437" s="166" customFormat="1" x14ac:dyDescent="0.2"/>
    <row r="12438" s="166" customFormat="1" x14ac:dyDescent="0.2"/>
    <row r="12439" s="166" customFormat="1" x14ac:dyDescent="0.2"/>
    <row r="12440" s="166" customFormat="1" x14ac:dyDescent="0.2"/>
    <row r="12441" s="166" customFormat="1" x14ac:dyDescent="0.2"/>
    <row r="12442" s="166" customFormat="1" x14ac:dyDescent="0.2"/>
    <row r="12443" s="166" customFormat="1" x14ac:dyDescent="0.2"/>
    <row r="12444" s="166" customFormat="1" x14ac:dyDescent="0.2"/>
    <row r="12445" s="166" customFormat="1" x14ac:dyDescent="0.2"/>
    <row r="12446" s="166" customFormat="1" x14ac:dyDescent="0.2"/>
    <row r="12447" s="166" customFormat="1" x14ac:dyDescent="0.2"/>
    <row r="12448" s="166" customFormat="1" x14ac:dyDescent="0.2"/>
    <row r="12449" s="166" customFormat="1" x14ac:dyDescent="0.2"/>
    <row r="12450" s="166" customFormat="1" x14ac:dyDescent="0.2"/>
    <row r="12451" s="166" customFormat="1" x14ac:dyDescent="0.2"/>
    <row r="12452" s="166" customFormat="1" x14ac:dyDescent="0.2"/>
    <row r="12453" s="166" customFormat="1" x14ac:dyDescent="0.2"/>
    <row r="12454" s="166" customFormat="1" x14ac:dyDescent="0.2"/>
    <row r="12455" s="166" customFormat="1" x14ac:dyDescent="0.2"/>
    <row r="12456" s="166" customFormat="1" x14ac:dyDescent="0.2"/>
    <row r="12457" s="166" customFormat="1" x14ac:dyDescent="0.2"/>
    <row r="12458" s="166" customFormat="1" x14ac:dyDescent="0.2"/>
    <row r="12459" s="166" customFormat="1" x14ac:dyDescent="0.2"/>
    <row r="12460" s="166" customFormat="1" x14ac:dyDescent="0.2"/>
    <row r="12461" s="166" customFormat="1" x14ac:dyDescent="0.2"/>
    <row r="12462" s="166" customFormat="1" x14ac:dyDescent="0.2"/>
    <row r="12463" s="166" customFormat="1" x14ac:dyDescent="0.2"/>
    <row r="12464" s="166" customFormat="1" x14ac:dyDescent="0.2"/>
    <row r="12465" s="166" customFormat="1" x14ac:dyDescent="0.2"/>
    <row r="12466" s="166" customFormat="1" x14ac:dyDescent="0.2"/>
    <row r="12467" s="166" customFormat="1" x14ac:dyDescent="0.2"/>
    <row r="12468" s="166" customFormat="1" x14ac:dyDescent="0.2"/>
    <row r="12469" s="166" customFormat="1" x14ac:dyDescent="0.2"/>
    <row r="12470" s="166" customFormat="1" x14ac:dyDescent="0.2"/>
    <row r="12471" s="166" customFormat="1" x14ac:dyDescent="0.2"/>
    <row r="12472" s="166" customFormat="1" x14ac:dyDescent="0.2"/>
    <row r="12473" s="166" customFormat="1" x14ac:dyDescent="0.2"/>
    <row r="12474" s="166" customFormat="1" x14ac:dyDescent="0.2"/>
    <row r="12475" s="166" customFormat="1" x14ac:dyDescent="0.2"/>
    <row r="12476" s="166" customFormat="1" x14ac:dyDescent="0.2"/>
    <row r="12477" s="166" customFormat="1" x14ac:dyDescent="0.2"/>
    <row r="12478" s="166" customFormat="1" x14ac:dyDescent="0.2"/>
    <row r="12479" s="166" customFormat="1" x14ac:dyDescent="0.2"/>
    <row r="12480" s="166" customFormat="1" x14ac:dyDescent="0.2"/>
    <row r="12481" s="166" customFormat="1" x14ac:dyDescent="0.2"/>
    <row r="12482" s="166" customFormat="1" x14ac:dyDescent="0.2"/>
    <row r="12483" s="166" customFormat="1" x14ac:dyDescent="0.2"/>
    <row r="12484" s="166" customFormat="1" x14ac:dyDescent="0.2"/>
    <row r="12485" s="166" customFormat="1" x14ac:dyDescent="0.2"/>
    <row r="12486" s="166" customFormat="1" x14ac:dyDescent="0.2"/>
    <row r="12487" s="166" customFormat="1" x14ac:dyDescent="0.2"/>
    <row r="12488" s="166" customFormat="1" x14ac:dyDescent="0.2"/>
    <row r="12489" s="166" customFormat="1" x14ac:dyDescent="0.2"/>
    <row r="12490" s="166" customFormat="1" x14ac:dyDescent="0.2"/>
    <row r="12491" s="166" customFormat="1" x14ac:dyDescent="0.2"/>
    <row r="12492" s="166" customFormat="1" x14ac:dyDescent="0.2"/>
    <row r="12493" s="166" customFormat="1" x14ac:dyDescent="0.2"/>
    <row r="12494" s="166" customFormat="1" x14ac:dyDescent="0.2"/>
    <row r="12495" s="166" customFormat="1" x14ac:dyDescent="0.2"/>
    <row r="12496" s="166" customFormat="1" x14ac:dyDescent="0.2"/>
    <row r="12497" s="166" customFormat="1" x14ac:dyDescent="0.2"/>
    <row r="12498" s="166" customFormat="1" x14ac:dyDescent="0.2"/>
    <row r="12499" s="166" customFormat="1" x14ac:dyDescent="0.2"/>
    <row r="12500" s="166" customFormat="1" x14ac:dyDescent="0.2"/>
    <row r="12501" s="166" customFormat="1" x14ac:dyDescent="0.2"/>
    <row r="12502" s="166" customFormat="1" x14ac:dyDescent="0.2"/>
    <row r="12503" s="166" customFormat="1" x14ac:dyDescent="0.2"/>
    <row r="12504" s="166" customFormat="1" x14ac:dyDescent="0.2"/>
    <row r="12505" s="166" customFormat="1" x14ac:dyDescent="0.2"/>
    <row r="12506" s="166" customFormat="1" x14ac:dyDescent="0.2"/>
    <row r="12507" s="166" customFormat="1" x14ac:dyDescent="0.2"/>
    <row r="12508" s="166" customFormat="1" x14ac:dyDescent="0.2"/>
    <row r="12509" s="166" customFormat="1" x14ac:dyDescent="0.2"/>
    <row r="12510" s="166" customFormat="1" x14ac:dyDescent="0.2"/>
    <row r="12511" s="166" customFormat="1" x14ac:dyDescent="0.2"/>
    <row r="12512" s="166" customFormat="1" x14ac:dyDescent="0.2"/>
    <row r="12513" s="166" customFormat="1" x14ac:dyDescent="0.2"/>
    <row r="12514" s="166" customFormat="1" x14ac:dyDescent="0.2"/>
    <row r="12515" s="166" customFormat="1" x14ac:dyDescent="0.2"/>
    <row r="12516" s="166" customFormat="1" x14ac:dyDescent="0.2"/>
    <row r="12517" s="166" customFormat="1" x14ac:dyDescent="0.2"/>
    <row r="12518" s="166" customFormat="1" x14ac:dyDescent="0.2"/>
    <row r="12519" s="166" customFormat="1" x14ac:dyDescent="0.2"/>
    <row r="12520" s="166" customFormat="1" x14ac:dyDescent="0.2"/>
    <row r="12521" s="166" customFormat="1" x14ac:dyDescent="0.2"/>
    <row r="12522" s="166" customFormat="1" x14ac:dyDescent="0.2"/>
    <row r="12523" s="166" customFormat="1" x14ac:dyDescent="0.2"/>
    <row r="12524" s="166" customFormat="1" x14ac:dyDescent="0.2"/>
    <row r="12525" s="166" customFormat="1" x14ac:dyDescent="0.2"/>
    <row r="12526" s="166" customFormat="1" x14ac:dyDescent="0.2"/>
    <row r="12527" s="166" customFormat="1" x14ac:dyDescent="0.2"/>
    <row r="12528" s="166" customFormat="1" x14ac:dyDescent="0.2"/>
    <row r="12529" s="166" customFormat="1" x14ac:dyDescent="0.2"/>
    <row r="12530" s="166" customFormat="1" x14ac:dyDescent="0.2"/>
    <row r="12531" s="166" customFormat="1" x14ac:dyDescent="0.2"/>
    <row r="12532" s="166" customFormat="1" x14ac:dyDescent="0.2"/>
    <row r="12533" s="166" customFormat="1" x14ac:dyDescent="0.2"/>
    <row r="12534" s="166" customFormat="1" x14ac:dyDescent="0.2"/>
    <row r="12535" s="166" customFormat="1" x14ac:dyDescent="0.2"/>
    <row r="12536" s="166" customFormat="1" x14ac:dyDescent="0.2"/>
    <row r="12537" s="166" customFormat="1" x14ac:dyDescent="0.2"/>
    <row r="12538" s="166" customFormat="1" x14ac:dyDescent="0.2"/>
    <row r="12539" s="166" customFormat="1" x14ac:dyDescent="0.2"/>
    <row r="12540" s="166" customFormat="1" x14ac:dyDescent="0.2"/>
    <row r="12541" s="166" customFormat="1" x14ac:dyDescent="0.2"/>
    <row r="12542" s="166" customFormat="1" x14ac:dyDescent="0.2"/>
    <row r="12543" s="166" customFormat="1" x14ac:dyDescent="0.2"/>
    <row r="12544" s="166" customFormat="1" x14ac:dyDescent="0.2"/>
    <row r="12545" s="166" customFormat="1" x14ac:dyDescent="0.2"/>
    <row r="12546" s="166" customFormat="1" x14ac:dyDescent="0.2"/>
    <row r="12547" s="166" customFormat="1" x14ac:dyDescent="0.2"/>
    <row r="12548" s="166" customFormat="1" x14ac:dyDescent="0.2"/>
    <row r="12549" s="166" customFormat="1" x14ac:dyDescent="0.2"/>
    <row r="12550" s="166" customFormat="1" x14ac:dyDescent="0.2"/>
    <row r="12551" s="166" customFormat="1" x14ac:dyDescent="0.2"/>
    <row r="12552" s="166" customFormat="1" x14ac:dyDescent="0.2"/>
    <row r="12553" s="166" customFormat="1" x14ac:dyDescent="0.2"/>
    <row r="12554" s="166" customFormat="1" x14ac:dyDescent="0.2"/>
    <row r="12555" s="166" customFormat="1" x14ac:dyDescent="0.2"/>
    <row r="12556" s="166" customFormat="1" x14ac:dyDescent="0.2"/>
    <row r="12557" s="166" customFormat="1" x14ac:dyDescent="0.2"/>
    <row r="12558" s="166" customFormat="1" x14ac:dyDescent="0.2"/>
    <row r="12559" s="166" customFormat="1" x14ac:dyDescent="0.2"/>
    <row r="12560" s="166" customFormat="1" x14ac:dyDescent="0.2"/>
    <row r="12561" s="166" customFormat="1" x14ac:dyDescent="0.2"/>
    <row r="12562" s="166" customFormat="1" x14ac:dyDescent="0.2"/>
    <row r="12563" s="166" customFormat="1" x14ac:dyDescent="0.2"/>
    <row r="12564" s="166" customFormat="1" x14ac:dyDescent="0.2"/>
    <row r="12565" s="166" customFormat="1" x14ac:dyDescent="0.2"/>
    <row r="12566" s="166" customFormat="1" x14ac:dyDescent="0.2"/>
    <row r="12567" s="166" customFormat="1" x14ac:dyDescent="0.2"/>
    <row r="12568" s="166" customFormat="1" x14ac:dyDescent="0.2"/>
    <row r="12569" s="166" customFormat="1" x14ac:dyDescent="0.2"/>
    <row r="12570" s="166" customFormat="1" x14ac:dyDescent="0.2"/>
    <row r="12571" s="166" customFormat="1" x14ac:dyDescent="0.2"/>
    <row r="12572" s="166" customFormat="1" x14ac:dyDescent="0.2"/>
    <row r="12573" s="166" customFormat="1" x14ac:dyDescent="0.2"/>
    <row r="12574" s="166" customFormat="1" x14ac:dyDescent="0.2"/>
    <row r="12575" s="166" customFormat="1" x14ac:dyDescent="0.2"/>
    <row r="12576" s="166" customFormat="1" x14ac:dyDescent="0.2"/>
    <row r="12577" s="166" customFormat="1" x14ac:dyDescent="0.2"/>
    <row r="12578" s="166" customFormat="1" x14ac:dyDescent="0.2"/>
    <row r="12579" s="166" customFormat="1" x14ac:dyDescent="0.2"/>
    <row r="12580" s="166" customFormat="1" x14ac:dyDescent="0.2"/>
    <row r="12581" s="166" customFormat="1" x14ac:dyDescent="0.2"/>
    <row r="12582" s="166" customFormat="1" x14ac:dyDescent="0.2"/>
    <row r="12583" s="166" customFormat="1" x14ac:dyDescent="0.2"/>
    <row r="12584" s="166" customFormat="1" x14ac:dyDescent="0.2"/>
    <row r="12585" s="166" customFormat="1" x14ac:dyDescent="0.2"/>
    <row r="12586" s="166" customFormat="1" x14ac:dyDescent="0.2"/>
    <row r="12587" s="166" customFormat="1" x14ac:dyDescent="0.2"/>
    <row r="12588" s="166" customFormat="1" x14ac:dyDescent="0.2"/>
    <row r="12589" s="166" customFormat="1" x14ac:dyDescent="0.2"/>
    <row r="12590" s="166" customFormat="1" x14ac:dyDescent="0.2"/>
    <row r="12591" s="166" customFormat="1" x14ac:dyDescent="0.2"/>
    <row r="12592" s="166" customFormat="1" x14ac:dyDescent="0.2"/>
    <row r="12593" s="166" customFormat="1" x14ac:dyDescent="0.2"/>
    <row r="12594" s="166" customFormat="1" x14ac:dyDescent="0.2"/>
    <row r="12595" s="166" customFormat="1" x14ac:dyDescent="0.2"/>
    <row r="12596" s="166" customFormat="1" x14ac:dyDescent="0.2"/>
    <row r="12597" s="166" customFormat="1" x14ac:dyDescent="0.2"/>
    <row r="12598" s="166" customFormat="1" x14ac:dyDescent="0.2"/>
    <row r="12599" s="166" customFormat="1" x14ac:dyDescent="0.2"/>
    <row r="12600" s="166" customFormat="1" x14ac:dyDescent="0.2"/>
    <row r="12601" s="166" customFormat="1" x14ac:dyDescent="0.2"/>
    <row r="12602" s="166" customFormat="1" x14ac:dyDescent="0.2"/>
    <row r="12603" s="166" customFormat="1" x14ac:dyDescent="0.2"/>
    <row r="12604" s="166" customFormat="1" x14ac:dyDescent="0.2"/>
    <row r="12605" s="166" customFormat="1" x14ac:dyDescent="0.2"/>
    <row r="12606" s="166" customFormat="1" x14ac:dyDescent="0.2"/>
    <row r="12607" s="166" customFormat="1" x14ac:dyDescent="0.2"/>
    <row r="12608" s="166" customFormat="1" x14ac:dyDescent="0.2"/>
    <row r="12609" s="166" customFormat="1" x14ac:dyDescent="0.2"/>
    <row r="12610" s="166" customFormat="1" x14ac:dyDescent="0.2"/>
    <row r="12611" s="166" customFormat="1" x14ac:dyDescent="0.2"/>
    <row r="12612" s="166" customFormat="1" x14ac:dyDescent="0.2"/>
    <row r="12613" s="166" customFormat="1" x14ac:dyDescent="0.2"/>
    <row r="12614" s="166" customFormat="1" x14ac:dyDescent="0.2"/>
    <row r="12615" s="166" customFormat="1" x14ac:dyDescent="0.2"/>
    <row r="12616" s="166" customFormat="1" x14ac:dyDescent="0.2"/>
    <row r="12617" s="166" customFormat="1" x14ac:dyDescent="0.2"/>
    <row r="12618" s="166" customFormat="1" x14ac:dyDescent="0.2"/>
    <row r="12619" s="166" customFormat="1" x14ac:dyDescent="0.2"/>
    <row r="12620" s="166" customFormat="1" x14ac:dyDescent="0.2"/>
    <row r="12621" s="166" customFormat="1" x14ac:dyDescent="0.2"/>
    <row r="12622" s="166" customFormat="1" x14ac:dyDescent="0.2"/>
    <row r="12623" s="166" customFormat="1" x14ac:dyDescent="0.2"/>
    <row r="12624" s="166" customFormat="1" x14ac:dyDescent="0.2"/>
    <row r="12625" s="166" customFormat="1" x14ac:dyDescent="0.2"/>
    <row r="12626" s="166" customFormat="1" x14ac:dyDescent="0.2"/>
    <row r="12627" s="166" customFormat="1" x14ac:dyDescent="0.2"/>
    <row r="12628" s="166" customFormat="1" x14ac:dyDescent="0.2"/>
    <row r="12629" s="166" customFormat="1" x14ac:dyDescent="0.2"/>
    <row r="12630" s="166" customFormat="1" x14ac:dyDescent="0.2"/>
    <row r="12631" s="166" customFormat="1" x14ac:dyDescent="0.2"/>
    <row r="12632" s="166" customFormat="1" x14ac:dyDescent="0.2"/>
    <row r="12633" s="166" customFormat="1" x14ac:dyDescent="0.2"/>
    <row r="12634" s="166" customFormat="1" x14ac:dyDescent="0.2"/>
    <row r="12635" s="166" customFormat="1" x14ac:dyDescent="0.2"/>
    <row r="12636" s="166" customFormat="1" x14ac:dyDescent="0.2"/>
    <row r="12637" s="166" customFormat="1" x14ac:dyDescent="0.2"/>
    <row r="12638" s="166" customFormat="1" x14ac:dyDescent="0.2"/>
    <row r="12639" s="166" customFormat="1" x14ac:dyDescent="0.2"/>
    <row r="12640" s="166" customFormat="1" x14ac:dyDescent="0.2"/>
    <row r="12641" s="166" customFormat="1" x14ac:dyDescent="0.2"/>
    <row r="12642" s="166" customFormat="1" x14ac:dyDescent="0.2"/>
    <row r="12643" s="166" customFormat="1" x14ac:dyDescent="0.2"/>
    <row r="12644" s="166" customFormat="1" x14ac:dyDescent="0.2"/>
    <row r="12645" s="166" customFormat="1" x14ac:dyDescent="0.2"/>
    <row r="12646" s="166" customFormat="1" x14ac:dyDescent="0.2"/>
    <row r="12647" s="166" customFormat="1" x14ac:dyDescent="0.2"/>
    <row r="12648" s="166" customFormat="1" x14ac:dyDescent="0.2"/>
    <row r="12649" s="166" customFormat="1" x14ac:dyDescent="0.2"/>
    <row r="12650" s="166" customFormat="1" x14ac:dyDescent="0.2"/>
    <row r="12651" s="166" customFormat="1" x14ac:dyDescent="0.2"/>
    <row r="12652" s="166" customFormat="1" x14ac:dyDescent="0.2"/>
    <row r="12653" s="166" customFormat="1" x14ac:dyDescent="0.2"/>
    <row r="12654" s="166" customFormat="1" x14ac:dyDescent="0.2"/>
    <row r="12655" s="166" customFormat="1" x14ac:dyDescent="0.2"/>
    <row r="12656" s="166" customFormat="1" x14ac:dyDescent="0.2"/>
    <row r="12657" s="166" customFormat="1" x14ac:dyDescent="0.2"/>
    <row r="12658" s="166" customFormat="1" x14ac:dyDescent="0.2"/>
    <row r="12659" s="166" customFormat="1" x14ac:dyDescent="0.2"/>
    <row r="12660" s="166" customFormat="1" x14ac:dyDescent="0.2"/>
    <row r="12661" s="166" customFormat="1" x14ac:dyDescent="0.2"/>
    <row r="12662" s="166" customFormat="1" x14ac:dyDescent="0.2"/>
    <row r="12663" s="166" customFormat="1" x14ac:dyDescent="0.2"/>
    <row r="12664" s="166" customFormat="1" x14ac:dyDescent="0.2"/>
    <row r="12665" s="166" customFormat="1" x14ac:dyDescent="0.2"/>
    <row r="12666" s="166" customFormat="1" x14ac:dyDescent="0.2"/>
    <row r="12667" s="166" customFormat="1" x14ac:dyDescent="0.2"/>
    <row r="12668" s="166" customFormat="1" x14ac:dyDescent="0.2"/>
    <row r="12669" s="166" customFormat="1" x14ac:dyDescent="0.2"/>
    <row r="12670" s="166" customFormat="1" x14ac:dyDescent="0.2"/>
    <row r="12671" s="166" customFormat="1" x14ac:dyDescent="0.2"/>
    <row r="12672" s="166" customFormat="1" x14ac:dyDescent="0.2"/>
    <row r="12673" s="166" customFormat="1" x14ac:dyDescent="0.2"/>
    <row r="12674" s="166" customFormat="1" x14ac:dyDescent="0.2"/>
    <row r="12675" s="166" customFormat="1" x14ac:dyDescent="0.2"/>
    <row r="12676" s="166" customFormat="1" x14ac:dyDescent="0.2"/>
    <row r="12677" s="166" customFormat="1" x14ac:dyDescent="0.2"/>
    <row r="12678" s="166" customFormat="1" x14ac:dyDescent="0.2"/>
    <row r="12679" s="166" customFormat="1" x14ac:dyDescent="0.2"/>
    <row r="12680" s="166" customFormat="1" x14ac:dyDescent="0.2"/>
    <row r="12681" s="166" customFormat="1" x14ac:dyDescent="0.2"/>
    <row r="12682" s="166" customFormat="1" x14ac:dyDescent="0.2"/>
    <row r="12683" s="166" customFormat="1" x14ac:dyDescent="0.2"/>
    <row r="12684" s="166" customFormat="1" x14ac:dyDescent="0.2"/>
    <row r="12685" s="166" customFormat="1" x14ac:dyDescent="0.2"/>
    <row r="12686" s="166" customFormat="1" x14ac:dyDescent="0.2"/>
    <row r="12687" s="166" customFormat="1" x14ac:dyDescent="0.2"/>
    <row r="12688" s="166" customFormat="1" x14ac:dyDescent="0.2"/>
    <row r="12689" s="166" customFormat="1" x14ac:dyDescent="0.2"/>
    <row r="12690" s="166" customFormat="1" x14ac:dyDescent="0.2"/>
    <row r="12691" s="166" customFormat="1" x14ac:dyDescent="0.2"/>
    <row r="12692" s="166" customFormat="1" x14ac:dyDescent="0.2"/>
    <row r="12693" s="166" customFormat="1" x14ac:dyDescent="0.2"/>
    <row r="12694" s="166" customFormat="1" x14ac:dyDescent="0.2"/>
    <row r="12695" s="166" customFormat="1" x14ac:dyDescent="0.2"/>
    <row r="12696" s="166" customFormat="1" x14ac:dyDescent="0.2"/>
    <row r="12697" s="166" customFormat="1" x14ac:dyDescent="0.2"/>
    <row r="12698" s="166" customFormat="1" x14ac:dyDescent="0.2"/>
    <row r="12699" s="166" customFormat="1" x14ac:dyDescent="0.2"/>
    <row r="12700" s="166" customFormat="1" x14ac:dyDescent="0.2"/>
    <row r="12701" s="166" customFormat="1" x14ac:dyDescent="0.2"/>
    <row r="12702" s="166" customFormat="1" x14ac:dyDescent="0.2"/>
    <row r="12703" s="166" customFormat="1" x14ac:dyDescent="0.2"/>
    <row r="12704" s="166" customFormat="1" x14ac:dyDescent="0.2"/>
    <row r="12705" s="166" customFormat="1" x14ac:dyDescent="0.2"/>
    <row r="12706" s="166" customFormat="1" x14ac:dyDescent="0.2"/>
    <row r="12707" s="166" customFormat="1" x14ac:dyDescent="0.2"/>
    <row r="12708" s="166" customFormat="1" x14ac:dyDescent="0.2"/>
    <row r="12709" s="166" customFormat="1" x14ac:dyDescent="0.2"/>
    <row r="12710" s="166" customFormat="1" x14ac:dyDescent="0.2"/>
    <row r="12711" s="166" customFormat="1" x14ac:dyDescent="0.2"/>
    <row r="12712" s="166" customFormat="1" x14ac:dyDescent="0.2"/>
    <row r="12713" s="166" customFormat="1" x14ac:dyDescent="0.2"/>
    <row r="12714" s="166" customFormat="1" x14ac:dyDescent="0.2"/>
    <row r="12715" s="166" customFormat="1" x14ac:dyDescent="0.2"/>
    <row r="12716" s="166" customFormat="1" x14ac:dyDescent="0.2"/>
    <row r="12717" s="166" customFormat="1" x14ac:dyDescent="0.2"/>
    <row r="12718" s="166" customFormat="1" x14ac:dyDescent="0.2"/>
    <row r="12719" s="166" customFormat="1" x14ac:dyDescent="0.2"/>
    <row r="12720" s="166" customFormat="1" x14ac:dyDescent="0.2"/>
    <row r="12721" s="166" customFormat="1" x14ac:dyDescent="0.2"/>
    <row r="12722" s="166" customFormat="1" x14ac:dyDescent="0.2"/>
    <row r="12723" s="166" customFormat="1" x14ac:dyDescent="0.2"/>
    <row r="12724" s="166" customFormat="1" x14ac:dyDescent="0.2"/>
    <row r="12725" s="166" customFormat="1" x14ac:dyDescent="0.2"/>
    <row r="12726" s="166" customFormat="1" x14ac:dyDescent="0.2"/>
    <row r="12727" s="166" customFormat="1" x14ac:dyDescent="0.2"/>
    <row r="12728" s="166" customFormat="1" x14ac:dyDescent="0.2"/>
    <row r="12729" s="166" customFormat="1" x14ac:dyDescent="0.2"/>
    <row r="12730" s="166" customFormat="1" x14ac:dyDescent="0.2"/>
    <row r="12731" s="166" customFormat="1" x14ac:dyDescent="0.2"/>
    <row r="12732" s="166" customFormat="1" x14ac:dyDescent="0.2"/>
    <row r="12733" s="166" customFormat="1" x14ac:dyDescent="0.2"/>
    <row r="12734" s="166" customFormat="1" x14ac:dyDescent="0.2"/>
    <row r="12735" s="166" customFormat="1" x14ac:dyDescent="0.2"/>
    <row r="12736" s="166" customFormat="1" x14ac:dyDescent="0.2"/>
    <row r="12737" s="166" customFormat="1" x14ac:dyDescent="0.2"/>
    <row r="12738" s="166" customFormat="1" x14ac:dyDescent="0.2"/>
    <row r="12739" s="166" customFormat="1" x14ac:dyDescent="0.2"/>
    <row r="12740" s="166" customFormat="1" x14ac:dyDescent="0.2"/>
    <row r="12741" s="166" customFormat="1" x14ac:dyDescent="0.2"/>
    <row r="12742" s="166" customFormat="1" x14ac:dyDescent="0.2"/>
    <row r="12743" s="166" customFormat="1" x14ac:dyDescent="0.2"/>
    <row r="12744" s="166" customFormat="1" x14ac:dyDescent="0.2"/>
    <row r="12745" s="166" customFormat="1" x14ac:dyDescent="0.2"/>
    <row r="12746" s="166" customFormat="1" x14ac:dyDescent="0.2"/>
    <row r="12747" s="166" customFormat="1" x14ac:dyDescent="0.2"/>
    <row r="12748" s="166" customFormat="1" x14ac:dyDescent="0.2"/>
    <row r="12749" s="166" customFormat="1" x14ac:dyDescent="0.2"/>
    <row r="12750" s="166" customFormat="1" x14ac:dyDescent="0.2"/>
    <row r="12751" s="166" customFormat="1" x14ac:dyDescent="0.2"/>
    <row r="12752" s="166" customFormat="1" x14ac:dyDescent="0.2"/>
    <row r="12753" s="166" customFormat="1" x14ac:dyDescent="0.2"/>
    <row r="12754" s="166" customFormat="1" x14ac:dyDescent="0.2"/>
    <row r="12755" s="166" customFormat="1" x14ac:dyDescent="0.2"/>
    <row r="12756" s="166" customFormat="1" x14ac:dyDescent="0.2"/>
    <row r="12757" s="166" customFormat="1" x14ac:dyDescent="0.2"/>
    <row r="12758" s="166" customFormat="1" x14ac:dyDescent="0.2"/>
    <row r="12759" s="166" customFormat="1" x14ac:dyDescent="0.2"/>
    <row r="12760" s="166" customFormat="1" x14ac:dyDescent="0.2"/>
    <row r="12761" s="166" customFormat="1" x14ac:dyDescent="0.2"/>
    <row r="12762" s="166" customFormat="1" x14ac:dyDescent="0.2"/>
    <row r="12763" s="166" customFormat="1" x14ac:dyDescent="0.2"/>
    <row r="12764" s="166" customFormat="1" x14ac:dyDescent="0.2"/>
    <row r="12765" s="166" customFormat="1" x14ac:dyDescent="0.2"/>
    <row r="12766" s="166" customFormat="1" x14ac:dyDescent="0.2"/>
    <row r="12767" s="166" customFormat="1" x14ac:dyDescent="0.2"/>
    <row r="12768" s="166" customFormat="1" x14ac:dyDescent="0.2"/>
    <row r="12769" s="166" customFormat="1" x14ac:dyDescent="0.2"/>
    <row r="12770" s="166" customFormat="1" x14ac:dyDescent="0.2"/>
    <row r="12771" s="166" customFormat="1" x14ac:dyDescent="0.2"/>
    <row r="12772" s="166" customFormat="1" x14ac:dyDescent="0.2"/>
    <row r="12773" s="166" customFormat="1" x14ac:dyDescent="0.2"/>
    <row r="12774" s="166" customFormat="1" x14ac:dyDescent="0.2"/>
    <row r="12775" s="166" customFormat="1" x14ac:dyDescent="0.2"/>
    <row r="12776" s="166" customFormat="1" x14ac:dyDescent="0.2"/>
    <row r="12777" s="166" customFormat="1" x14ac:dyDescent="0.2"/>
    <row r="12778" s="166" customFormat="1" x14ac:dyDescent="0.2"/>
    <row r="12779" s="166" customFormat="1" x14ac:dyDescent="0.2"/>
    <row r="12780" s="166" customFormat="1" x14ac:dyDescent="0.2"/>
    <row r="12781" s="166" customFormat="1" x14ac:dyDescent="0.2"/>
    <row r="12782" s="166" customFormat="1" x14ac:dyDescent="0.2"/>
    <row r="12783" s="166" customFormat="1" x14ac:dyDescent="0.2"/>
    <row r="12784" s="166" customFormat="1" x14ac:dyDescent="0.2"/>
    <row r="12785" s="166" customFormat="1" x14ac:dyDescent="0.2"/>
    <row r="12786" s="166" customFormat="1" x14ac:dyDescent="0.2"/>
    <row r="12787" s="166" customFormat="1" x14ac:dyDescent="0.2"/>
    <row r="12788" s="166" customFormat="1" x14ac:dyDescent="0.2"/>
    <row r="12789" s="166" customFormat="1" x14ac:dyDescent="0.2"/>
    <row r="12790" s="166" customFormat="1" x14ac:dyDescent="0.2"/>
    <row r="12791" s="166" customFormat="1" x14ac:dyDescent="0.2"/>
    <row r="12792" s="166" customFormat="1" x14ac:dyDescent="0.2"/>
    <row r="12793" s="166" customFormat="1" x14ac:dyDescent="0.2"/>
    <row r="12794" s="166" customFormat="1" x14ac:dyDescent="0.2"/>
    <row r="12795" s="166" customFormat="1" x14ac:dyDescent="0.2"/>
    <row r="12796" s="166" customFormat="1" x14ac:dyDescent="0.2"/>
    <row r="12797" s="166" customFormat="1" x14ac:dyDescent="0.2"/>
    <row r="12798" s="166" customFormat="1" x14ac:dyDescent="0.2"/>
    <row r="12799" s="166" customFormat="1" x14ac:dyDescent="0.2"/>
    <row r="12800" s="166" customFormat="1" x14ac:dyDescent="0.2"/>
    <row r="12801" s="166" customFormat="1" x14ac:dyDescent="0.2"/>
    <row r="12802" s="166" customFormat="1" x14ac:dyDescent="0.2"/>
    <row r="12803" s="166" customFormat="1" x14ac:dyDescent="0.2"/>
    <row r="12804" s="166" customFormat="1" x14ac:dyDescent="0.2"/>
    <row r="12805" s="166" customFormat="1" x14ac:dyDescent="0.2"/>
    <row r="12806" s="166" customFormat="1" x14ac:dyDescent="0.2"/>
    <row r="12807" s="166" customFormat="1" x14ac:dyDescent="0.2"/>
    <row r="12808" s="166" customFormat="1" x14ac:dyDescent="0.2"/>
    <row r="12809" s="166" customFormat="1" x14ac:dyDescent="0.2"/>
    <row r="12810" s="166" customFormat="1" x14ac:dyDescent="0.2"/>
    <row r="12811" s="166" customFormat="1" x14ac:dyDescent="0.2"/>
    <row r="12812" s="166" customFormat="1" x14ac:dyDescent="0.2"/>
    <row r="12813" s="166" customFormat="1" x14ac:dyDescent="0.2"/>
    <row r="12814" s="166" customFormat="1" x14ac:dyDescent="0.2"/>
    <row r="12815" s="166" customFormat="1" x14ac:dyDescent="0.2"/>
    <row r="12816" s="166" customFormat="1" x14ac:dyDescent="0.2"/>
    <row r="12817" s="166" customFormat="1" x14ac:dyDescent="0.2"/>
    <row r="12818" s="166" customFormat="1" x14ac:dyDescent="0.2"/>
    <row r="12819" s="166" customFormat="1" x14ac:dyDescent="0.2"/>
    <row r="12820" s="166" customFormat="1" x14ac:dyDescent="0.2"/>
    <row r="12821" s="166" customFormat="1" x14ac:dyDescent="0.2"/>
    <row r="12822" s="166" customFormat="1" x14ac:dyDescent="0.2"/>
    <row r="12823" s="166" customFormat="1" x14ac:dyDescent="0.2"/>
    <row r="12824" s="166" customFormat="1" x14ac:dyDescent="0.2"/>
    <row r="12825" s="166" customFormat="1" x14ac:dyDescent="0.2"/>
    <row r="12826" s="166" customFormat="1" x14ac:dyDescent="0.2"/>
    <row r="12827" s="166" customFormat="1" x14ac:dyDescent="0.2"/>
    <row r="12828" s="166" customFormat="1" x14ac:dyDescent="0.2"/>
    <row r="12829" s="166" customFormat="1" x14ac:dyDescent="0.2"/>
    <row r="12830" s="166" customFormat="1" x14ac:dyDescent="0.2"/>
    <row r="12831" s="166" customFormat="1" x14ac:dyDescent="0.2"/>
    <row r="12832" s="166" customFormat="1" x14ac:dyDescent="0.2"/>
    <row r="12833" s="166" customFormat="1" x14ac:dyDescent="0.2"/>
    <row r="12834" s="166" customFormat="1" x14ac:dyDescent="0.2"/>
    <row r="12835" s="166" customFormat="1" x14ac:dyDescent="0.2"/>
    <row r="12836" s="166" customFormat="1" x14ac:dyDescent="0.2"/>
    <row r="12837" s="166" customFormat="1" x14ac:dyDescent="0.2"/>
    <row r="12838" s="166" customFormat="1" x14ac:dyDescent="0.2"/>
    <row r="12839" s="166" customFormat="1" x14ac:dyDescent="0.2"/>
    <row r="12840" s="166" customFormat="1" x14ac:dyDescent="0.2"/>
    <row r="12841" s="166" customFormat="1" x14ac:dyDescent="0.2"/>
    <row r="12842" s="166" customFormat="1" x14ac:dyDescent="0.2"/>
    <row r="12843" s="166" customFormat="1" x14ac:dyDescent="0.2"/>
    <row r="12844" s="166" customFormat="1" x14ac:dyDescent="0.2"/>
    <row r="12845" s="166" customFormat="1" x14ac:dyDescent="0.2"/>
    <row r="12846" s="166" customFormat="1" x14ac:dyDescent="0.2"/>
    <row r="12847" s="166" customFormat="1" x14ac:dyDescent="0.2"/>
    <row r="12848" s="166" customFormat="1" x14ac:dyDescent="0.2"/>
    <row r="12849" s="166" customFormat="1" x14ac:dyDescent="0.2"/>
    <row r="12850" s="166" customFormat="1" x14ac:dyDescent="0.2"/>
    <row r="12851" s="166" customFormat="1" x14ac:dyDescent="0.2"/>
    <row r="12852" s="166" customFormat="1" x14ac:dyDescent="0.2"/>
    <row r="12853" s="166" customFormat="1" x14ac:dyDescent="0.2"/>
    <row r="12854" s="166" customFormat="1" x14ac:dyDescent="0.2"/>
    <row r="12855" s="166" customFormat="1" x14ac:dyDescent="0.2"/>
    <row r="12856" s="166" customFormat="1" x14ac:dyDescent="0.2"/>
    <row r="12857" s="166" customFormat="1" x14ac:dyDescent="0.2"/>
    <row r="12858" s="166" customFormat="1" x14ac:dyDescent="0.2"/>
    <row r="12859" s="166" customFormat="1" x14ac:dyDescent="0.2"/>
    <row r="12860" s="166" customFormat="1" x14ac:dyDescent="0.2"/>
    <row r="12861" s="166" customFormat="1" x14ac:dyDescent="0.2"/>
    <row r="12862" s="166" customFormat="1" x14ac:dyDescent="0.2"/>
    <row r="12863" s="166" customFormat="1" x14ac:dyDescent="0.2"/>
    <row r="12864" s="166" customFormat="1" x14ac:dyDescent="0.2"/>
    <row r="12865" s="166" customFormat="1" x14ac:dyDescent="0.2"/>
    <row r="12866" s="166" customFormat="1" x14ac:dyDescent="0.2"/>
    <row r="12867" s="166" customFormat="1" x14ac:dyDescent="0.2"/>
    <row r="12868" s="166" customFormat="1" x14ac:dyDescent="0.2"/>
    <row r="12869" s="166" customFormat="1" x14ac:dyDescent="0.2"/>
    <row r="12870" s="166" customFormat="1" x14ac:dyDescent="0.2"/>
    <row r="12871" s="166" customFormat="1" x14ac:dyDescent="0.2"/>
    <row r="12872" s="166" customFormat="1" x14ac:dyDescent="0.2"/>
    <row r="12873" s="166" customFormat="1" x14ac:dyDescent="0.2"/>
    <row r="12874" s="166" customFormat="1" x14ac:dyDescent="0.2"/>
    <row r="12875" s="166" customFormat="1" x14ac:dyDescent="0.2"/>
    <row r="12876" s="166" customFormat="1" x14ac:dyDescent="0.2"/>
    <row r="12877" s="166" customFormat="1" x14ac:dyDescent="0.2"/>
    <row r="12878" s="166" customFormat="1" x14ac:dyDescent="0.2"/>
    <row r="12879" s="166" customFormat="1" x14ac:dyDescent="0.2"/>
    <row r="12880" s="166" customFormat="1" x14ac:dyDescent="0.2"/>
    <row r="12881" s="166" customFormat="1" x14ac:dyDescent="0.2"/>
    <row r="12882" s="166" customFormat="1" x14ac:dyDescent="0.2"/>
    <row r="12883" s="166" customFormat="1" x14ac:dyDescent="0.2"/>
    <row r="12884" s="166" customFormat="1" x14ac:dyDescent="0.2"/>
    <row r="12885" s="166" customFormat="1" x14ac:dyDescent="0.2"/>
    <row r="12886" s="166" customFormat="1" x14ac:dyDescent="0.2"/>
    <row r="12887" s="166" customFormat="1" x14ac:dyDescent="0.2"/>
    <row r="12888" s="166" customFormat="1" x14ac:dyDescent="0.2"/>
    <row r="12889" s="166" customFormat="1" x14ac:dyDescent="0.2"/>
    <row r="12890" s="166" customFormat="1" x14ac:dyDescent="0.2"/>
    <row r="12891" s="166" customFormat="1" x14ac:dyDescent="0.2"/>
    <row r="12892" s="166" customFormat="1" x14ac:dyDescent="0.2"/>
    <row r="12893" s="166" customFormat="1" x14ac:dyDescent="0.2"/>
    <row r="12894" s="166" customFormat="1" x14ac:dyDescent="0.2"/>
    <row r="12895" s="166" customFormat="1" x14ac:dyDescent="0.2"/>
    <row r="12896" s="166" customFormat="1" x14ac:dyDescent="0.2"/>
    <row r="12897" s="166" customFormat="1" x14ac:dyDescent="0.2"/>
    <row r="12898" s="166" customFormat="1" x14ac:dyDescent="0.2"/>
    <row r="12899" s="166" customFormat="1" x14ac:dyDescent="0.2"/>
    <row r="12900" s="166" customFormat="1" x14ac:dyDescent="0.2"/>
    <row r="12901" s="166" customFormat="1" x14ac:dyDescent="0.2"/>
    <row r="12902" s="166" customFormat="1" x14ac:dyDescent="0.2"/>
    <row r="12903" s="166" customFormat="1" x14ac:dyDescent="0.2"/>
    <row r="12904" s="166" customFormat="1" x14ac:dyDescent="0.2"/>
    <row r="12905" s="166" customFormat="1" x14ac:dyDescent="0.2"/>
    <row r="12906" s="166" customFormat="1" x14ac:dyDescent="0.2"/>
    <row r="12907" s="166" customFormat="1" x14ac:dyDescent="0.2"/>
    <row r="12908" s="166" customFormat="1" x14ac:dyDescent="0.2"/>
    <row r="12909" s="166" customFormat="1" x14ac:dyDescent="0.2"/>
    <row r="12910" s="166" customFormat="1" x14ac:dyDescent="0.2"/>
    <row r="12911" s="166" customFormat="1" x14ac:dyDescent="0.2"/>
    <row r="12912" s="166" customFormat="1" x14ac:dyDescent="0.2"/>
    <row r="12913" s="166" customFormat="1" x14ac:dyDescent="0.2"/>
    <row r="12914" s="166" customFormat="1" x14ac:dyDescent="0.2"/>
    <row r="12915" s="166" customFormat="1" x14ac:dyDescent="0.2"/>
    <row r="12916" s="166" customFormat="1" x14ac:dyDescent="0.2"/>
    <row r="12917" s="166" customFormat="1" x14ac:dyDescent="0.2"/>
    <row r="12918" s="166" customFormat="1" x14ac:dyDescent="0.2"/>
    <row r="12919" s="166" customFormat="1" x14ac:dyDescent="0.2"/>
    <row r="12920" s="166" customFormat="1" x14ac:dyDescent="0.2"/>
    <row r="12921" s="166" customFormat="1" x14ac:dyDescent="0.2"/>
    <row r="12922" s="166" customFormat="1" x14ac:dyDescent="0.2"/>
    <row r="12923" s="166" customFormat="1" x14ac:dyDescent="0.2"/>
    <row r="12924" s="166" customFormat="1" x14ac:dyDescent="0.2"/>
    <row r="12925" s="166" customFormat="1" x14ac:dyDescent="0.2"/>
    <row r="12926" s="166" customFormat="1" x14ac:dyDescent="0.2"/>
    <row r="12927" s="166" customFormat="1" x14ac:dyDescent="0.2"/>
    <row r="12928" s="166" customFormat="1" x14ac:dyDescent="0.2"/>
    <row r="12929" s="166" customFormat="1" x14ac:dyDescent="0.2"/>
    <row r="12930" s="166" customFormat="1" x14ac:dyDescent="0.2"/>
    <row r="12931" s="166" customFormat="1" x14ac:dyDescent="0.2"/>
    <row r="12932" s="166" customFormat="1" x14ac:dyDescent="0.2"/>
    <row r="12933" s="166" customFormat="1" x14ac:dyDescent="0.2"/>
    <row r="12934" s="166" customFormat="1" x14ac:dyDescent="0.2"/>
    <row r="12935" s="166" customFormat="1" x14ac:dyDescent="0.2"/>
    <row r="12936" s="166" customFormat="1" x14ac:dyDescent="0.2"/>
    <row r="12937" s="166" customFormat="1" x14ac:dyDescent="0.2"/>
    <row r="12938" s="166" customFormat="1" x14ac:dyDescent="0.2"/>
    <row r="12939" s="166" customFormat="1" x14ac:dyDescent="0.2"/>
    <row r="12940" s="166" customFormat="1" x14ac:dyDescent="0.2"/>
    <row r="12941" s="166" customFormat="1" x14ac:dyDescent="0.2"/>
    <row r="12942" s="166" customFormat="1" x14ac:dyDescent="0.2"/>
    <row r="12943" s="166" customFormat="1" x14ac:dyDescent="0.2"/>
    <row r="12944" s="166" customFormat="1" x14ac:dyDescent="0.2"/>
    <row r="12945" s="166" customFormat="1" x14ac:dyDescent="0.2"/>
    <row r="12946" s="166" customFormat="1" x14ac:dyDescent="0.2"/>
    <row r="12947" s="166" customFormat="1" x14ac:dyDescent="0.2"/>
    <row r="12948" s="166" customFormat="1" x14ac:dyDescent="0.2"/>
    <row r="12949" s="166" customFormat="1" x14ac:dyDescent="0.2"/>
    <row r="12950" s="166" customFormat="1" x14ac:dyDescent="0.2"/>
    <row r="12951" s="166" customFormat="1" x14ac:dyDescent="0.2"/>
    <row r="12952" s="166" customFormat="1" x14ac:dyDescent="0.2"/>
    <row r="12953" s="166" customFormat="1" x14ac:dyDescent="0.2"/>
    <row r="12954" s="166" customFormat="1" x14ac:dyDescent="0.2"/>
    <row r="12955" s="166" customFormat="1" x14ac:dyDescent="0.2"/>
    <row r="12956" s="166" customFormat="1" x14ac:dyDescent="0.2"/>
    <row r="12957" s="166" customFormat="1" x14ac:dyDescent="0.2"/>
    <row r="12958" s="166" customFormat="1" x14ac:dyDescent="0.2"/>
    <row r="12959" s="166" customFormat="1" x14ac:dyDescent="0.2"/>
    <row r="12960" s="166" customFormat="1" x14ac:dyDescent="0.2"/>
    <row r="12961" s="166" customFormat="1" x14ac:dyDescent="0.2"/>
    <row r="12962" s="166" customFormat="1" x14ac:dyDescent="0.2"/>
    <row r="12963" s="166" customFormat="1" x14ac:dyDescent="0.2"/>
    <row r="12964" s="166" customFormat="1" x14ac:dyDescent="0.2"/>
    <row r="12965" s="166" customFormat="1" x14ac:dyDescent="0.2"/>
    <row r="12966" s="166" customFormat="1" x14ac:dyDescent="0.2"/>
    <row r="12967" s="166" customFormat="1" x14ac:dyDescent="0.2"/>
    <row r="12968" s="166" customFormat="1" x14ac:dyDescent="0.2"/>
    <row r="12969" s="166" customFormat="1" x14ac:dyDescent="0.2"/>
    <row r="12970" s="166" customFormat="1" x14ac:dyDescent="0.2"/>
    <row r="12971" s="166" customFormat="1" x14ac:dyDescent="0.2"/>
    <row r="12972" s="166" customFormat="1" x14ac:dyDescent="0.2"/>
    <row r="12973" s="166" customFormat="1" x14ac:dyDescent="0.2"/>
    <row r="12974" s="166" customFormat="1" x14ac:dyDescent="0.2"/>
    <row r="12975" s="166" customFormat="1" x14ac:dyDescent="0.2"/>
    <row r="12976" s="166" customFormat="1" x14ac:dyDescent="0.2"/>
    <row r="12977" s="166" customFormat="1" x14ac:dyDescent="0.2"/>
    <row r="12978" s="166" customFormat="1" x14ac:dyDescent="0.2"/>
    <row r="12979" s="166" customFormat="1" x14ac:dyDescent="0.2"/>
    <row r="12980" s="166" customFormat="1" x14ac:dyDescent="0.2"/>
    <row r="12981" s="166" customFormat="1" x14ac:dyDescent="0.2"/>
    <row r="12982" s="166" customFormat="1" x14ac:dyDescent="0.2"/>
    <row r="12983" s="166" customFormat="1" x14ac:dyDescent="0.2"/>
    <row r="12984" s="166" customFormat="1" x14ac:dyDescent="0.2"/>
    <row r="12985" s="166" customFormat="1" x14ac:dyDescent="0.2"/>
    <row r="12986" s="166" customFormat="1" x14ac:dyDescent="0.2"/>
    <row r="12987" s="166" customFormat="1" x14ac:dyDescent="0.2"/>
    <row r="12988" s="166" customFormat="1" x14ac:dyDescent="0.2"/>
    <row r="12989" s="166" customFormat="1" x14ac:dyDescent="0.2"/>
    <row r="12990" s="166" customFormat="1" x14ac:dyDescent="0.2"/>
    <row r="12991" s="166" customFormat="1" x14ac:dyDescent="0.2"/>
    <row r="12992" s="166" customFormat="1" x14ac:dyDescent="0.2"/>
    <row r="12993" s="166" customFormat="1" x14ac:dyDescent="0.2"/>
    <row r="12994" s="166" customFormat="1" x14ac:dyDescent="0.2"/>
    <row r="12995" s="166" customFormat="1" x14ac:dyDescent="0.2"/>
    <row r="12996" s="166" customFormat="1" x14ac:dyDescent="0.2"/>
    <row r="12997" s="166" customFormat="1" x14ac:dyDescent="0.2"/>
    <row r="12998" s="166" customFormat="1" x14ac:dyDescent="0.2"/>
    <row r="12999" s="166" customFormat="1" x14ac:dyDescent="0.2"/>
    <row r="13000" s="166" customFormat="1" x14ac:dyDescent="0.2"/>
    <row r="13001" s="166" customFormat="1" x14ac:dyDescent="0.2"/>
    <row r="13002" s="166" customFormat="1" x14ac:dyDescent="0.2"/>
    <row r="13003" s="166" customFormat="1" x14ac:dyDescent="0.2"/>
    <row r="13004" s="166" customFormat="1" x14ac:dyDescent="0.2"/>
    <row r="13005" s="166" customFormat="1" x14ac:dyDescent="0.2"/>
    <row r="13006" s="166" customFormat="1" x14ac:dyDescent="0.2"/>
    <row r="13007" s="166" customFormat="1" x14ac:dyDescent="0.2"/>
    <row r="13008" s="166" customFormat="1" x14ac:dyDescent="0.2"/>
    <row r="13009" s="166" customFormat="1" x14ac:dyDescent="0.2"/>
    <row r="13010" s="166" customFormat="1" x14ac:dyDescent="0.2"/>
    <row r="13011" s="166" customFormat="1" x14ac:dyDescent="0.2"/>
    <row r="13012" s="166" customFormat="1" x14ac:dyDescent="0.2"/>
    <row r="13013" s="166" customFormat="1" x14ac:dyDescent="0.2"/>
    <row r="13014" s="166" customFormat="1" x14ac:dyDescent="0.2"/>
    <row r="13015" s="166" customFormat="1" x14ac:dyDescent="0.2"/>
    <row r="13016" s="166" customFormat="1" x14ac:dyDescent="0.2"/>
    <row r="13017" s="166" customFormat="1" x14ac:dyDescent="0.2"/>
    <row r="13018" s="166" customFormat="1" x14ac:dyDescent="0.2"/>
    <row r="13019" s="166" customFormat="1" x14ac:dyDescent="0.2"/>
    <row r="13020" s="166" customFormat="1" x14ac:dyDescent="0.2"/>
    <row r="13021" s="166" customFormat="1" x14ac:dyDescent="0.2"/>
    <row r="13022" s="166" customFormat="1" x14ac:dyDescent="0.2"/>
    <row r="13023" s="166" customFormat="1" x14ac:dyDescent="0.2"/>
    <row r="13024" s="166" customFormat="1" x14ac:dyDescent="0.2"/>
    <row r="13025" s="166" customFormat="1" x14ac:dyDescent="0.2"/>
    <row r="13026" s="166" customFormat="1" x14ac:dyDescent="0.2"/>
    <row r="13027" s="166" customFormat="1" x14ac:dyDescent="0.2"/>
    <row r="13028" s="166" customFormat="1" x14ac:dyDescent="0.2"/>
    <row r="13029" s="166" customFormat="1" x14ac:dyDescent="0.2"/>
    <row r="13030" s="166" customFormat="1" x14ac:dyDescent="0.2"/>
    <row r="13031" s="166" customFormat="1" x14ac:dyDescent="0.2"/>
    <row r="13032" s="166" customFormat="1" x14ac:dyDescent="0.2"/>
    <row r="13033" s="166" customFormat="1" x14ac:dyDescent="0.2"/>
    <row r="13034" s="166" customFormat="1" x14ac:dyDescent="0.2"/>
    <row r="13035" s="166" customFormat="1" x14ac:dyDescent="0.2"/>
    <row r="13036" s="166" customFormat="1" x14ac:dyDescent="0.2"/>
    <row r="13037" s="166" customFormat="1" x14ac:dyDescent="0.2"/>
    <row r="13038" s="166" customFormat="1" x14ac:dyDescent="0.2"/>
    <row r="13039" s="166" customFormat="1" x14ac:dyDescent="0.2"/>
    <row r="13040" s="166" customFormat="1" x14ac:dyDescent="0.2"/>
    <row r="13041" s="166" customFormat="1" x14ac:dyDescent="0.2"/>
    <row r="13042" s="166" customFormat="1" x14ac:dyDescent="0.2"/>
    <row r="13043" s="166" customFormat="1" x14ac:dyDescent="0.2"/>
    <row r="13044" s="166" customFormat="1" x14ac:dyDescent="0.2"/>
    <row r="13045" s="166" customFormat="1" x14ac:dyDescent="0.2"/>
    <row r="13046" s="166" customFormat="1" x14ac:dyDescent="0.2"/>
    <row r="13047" s="166" customFormat="1" x14ac:dyDescent="0.2"/>
    <row r="13048" s="166" customFormat="1" x14ac:dyDescent="0.2"/>
    <row r="13049" s="166" customFormat="1" x14ac:dyDescent="0.2"/>
    <row r="13050" s="166" customFormat="1" x14ac:dyDescent="0.2"/>
    <row r="13051" s="166" customFormat="1" x14ac:dyDescent="0.2"/>
    <row r="13052" s="166" customFormat="1" x14ac:dyDescent="0.2"/>
    <row r="13053" s="166" customFormat="1" x14ac:dyDescent="0.2"/>
    <row r="13054" s="166" customFormat="1" x14ac:dyDescent="0.2"/>
    <row r="13055" s="166" customFormat="1" x14ac:dyDescent="0.2"/>
    <row r="13056" s="166" customFormat="1" x14ac:dyDescent="0.2"/>
    <row r="13057" s="166" customFormat="1" x14ac:dyDescent="0.2"/>
    <row r="13058" s="166" customFormat="1" x14ac:dyDescent="0.2"/>
    <row r="13059" s="166" customFormat="1" x14ac:dyDescent="0.2"/>
    <row r="13060" s="166" customFormat="1" x14ac:dyDescent="0.2"/>
    <row r="13061" s="166" customFormat="1" x14ac:dyDescent="0.2"/>
    <row r="13062" s="166" customFormat="1" x14ac:dyDescent="0.2"/>
    <row r="13063" s="166" customFormat="1" x14ac:dyDescent="0.2"/>
    <row r="13064" s="166" customFormat="1" x14ac:dyDescent="0.2"/>
    <row r="13065" s="166" customFormat="1" x14ac:dyDescent="0.2"/>
    <row r="13066" s="166" customFormat="1" x14ac:dyDescent="0.2"/>
    <row r="13067" s="166" customFormat="1" x14ac:dyDescent="0.2"/>
    <row r="13068" s="166" customFormat="1" x14ac:dyDescent="0.2"/>
    <row r="13069" s="166" customFormat="1" x14ac:dyDescent="0.2"/>
    <row r="13070" s="166" customFormat="1" x14ac:dyDescent="0.2"/>
    <row r="13071" s="166" customFormat="1" x14ac:dyDescent="0.2"/>
    <row r="13072" s="166" customFormat="1" x14ac:dyDescent="0.2"/>
    <row r="13073" s="166" customFormat="1" x14ac:dyDescent="0.2"/>
    <row r="13074" s="166" customFormat="1" x14ac:dyDescent="0.2"/>
    <row r="13075" s="166" customFormat="1" x14ac:dyDescent="0.2"/>
    <row r="13076" s="166" customFormat="1" x14ac:dyDescent="0.2"/>
    <row r="13077" s="166" customFormat="1" x14ac:dyDescent="0.2"/>
    <row r="13078" s="166" customFormat="1" x14ac:dyDescent="0.2"/>
    <row r="13079" s="166" customFormat="1" x14ac:dyDescent="0.2"/>
    <row r="13080" s="166" customFormat="1" x14ac:dyDescent="0.2"/>
    <row r="13081" s="166" customFormat="1" x14ac:dyDescent="0.2"/>
    <row r="13082" s="166" customFormat="1" x14ac:dyDescent="0.2"/>
    <row r="13083" s="166" customFormat="1" x14ac:dyDescent="0.2"/>
    <row r="13084" s="166" customFormat="1" x14ac:dyDescent="0.2"/>
    <row r="13085" s="166" customFormat="1" x14ac:dyDescent="0.2"/>
    <row r="13086" s="166" customFormat="1" x14ac:dyDescent="0.2"/>
    <row r="13087" s="166" customFormat="1" x14ac:dyDescent="0.2"/>
    <row r="13088" s="166" customFormat="1" x14ac:dyDescent="0.2"/>
    <row r="13089" s="166" customFormat="1" x14ac:dyDescent="0.2"/>
    <row r="13090" s="166" customFormat="1" x14ac:dyDescent="0.2"/>
    <row r="13091" s="166" customFormat="1" x14ac:dyDescent="0.2"/>
    <row r="13092" s="166" customFormat="1" x14ac:dyDescent="0.2"/>
    <row r="13093" s="166" customFormat="1" x14ac:dyDescent="0.2"/>
    <row r="13094" s="166" customFormat="1" x14ac:dyDescent="0.2"/>
    <row r="13095" s="166" customFormat="1" x14ac:dyDescent="0.2"/>
    <row r="13096" s="166" customFormat="1" x14ac:dyDescent="0.2"/>
    <row r="13097" s="166" customFormat="1" x14ac:dyDescent="0.2"/>
    <row r="13098" s="166" customFormat="1" x14ac:dyDescent="0.2"/>
    <row r="13099" s="166" customFormat="1" x14ac:dyDescent="0.2"/>
    <row r="13100" s="166" customFormat="1" x14ac:dyDescent="0.2"/>
    <row r="13101" s="166" customFormat="1" x14ac:dyDescent="0.2"/>
    <row r="13102" s="166" customFormat="1" x14ac:dyDescent="0.2"/>
    <row r="13103" s="166" customFormat="1" x14ac:dyDescent="0.2"/>
    <row r="13104" s="166" customFormat="1" x14ac:dyDescent="0.2"/>
    <row r="13105" s="166" customFormat="1" x14ac:dyDescent="0.2"/>
    <row r="13106" s="166" customFormat="1" x14ac:dyDescent="0.2"/>
    <row r="13107" s="166" customFormat="1" x14ac:dyDescent="0.2"/>
    <row r="13108" s="166" customFormat="1" x14ac:dyDescent="0.2"/>
    <row r="13109" s="166" customFormat="1" x14ac:dyDescent="0.2"/>
    <row r="13110" s="166" customFormat="1" x14ac:dyDescent="0.2"/>
    <row r="13111" s="166" customFormat="1" x14ac:dyDescent="0.2"/>
    <row r="13112" s="166" customFormat="1" x14ac:dyDescent="0.2"/>
    <row r="13113" s="166" customFormat="1" x14ac:dyDescent="0.2"/>
    <row r="13114" s="166" customFormat="1" x14ac:dyDescent="0.2"/>
    <row r="13115" s="166" customFormat="1" x14ac:dyDescent="0.2"/>
    <row r="13116" s="166" customFormat="1" x14ac:dyDescent="0.2"/>
    <row r="13117" s="166" customFormat="1" x14ac:dyDescent="0.2"/>
    <row r="13118" s="166" customFormat="1" x14ac:dyDescent="0.2"/>
    <row r="13119" s="166" customFormat="1" x14ac:dyDescent="0.2"/>
    <row r="13120" s="166" customFormat="1" x14ac:dyDescent="0.2"/>
    <row r="13121" s="166" customFormat="1" x14ac:dyDescent="0.2"/>
    <row r="13122" s="166" customFormat="1" x14ac:dyDescent="0.2"/>
    <row r="13123" s="166" customFormat="1" x14ac:dyDescent="0.2"/>
    <row r="13124" s="166" customFormat="1" x14ac:dyDescent="0.2"/>
    <row r="13125" s="166" customFormat="1" x14ac:dyDescent="0.2"/>
    <row r="13126" s="166" customFormat="1" x14ac:dyDescent="0.2"/>
    <row r="13127" s="166" customFormat="1" x14ac:dyDescent="0.2"/>
    <row r="13128" s="166" customFormat="1" x14ac:dyDescent="0.2"/>
    <row r="13129" s="166" customFormat="1" x14ac:dyDescent="0.2"/>
    <row r="13130" s="166" customFormat="1" x14ac:dyDescent="0.2"/>
    <row r="13131" s="166" customFormat="1" x14ac:dyDescent="0.2"/>
    <row r="13132" s="166" customFormat="1" x14ac:dyDescent="0.2"/>
    <row r="13133" s="166" customFormat="1" x14ac:dyDescent="0.2"/>
    <row r="13134" s="166" customFormat="1" x14ac:dyDescent="0.2"/>
    <row r="13135" s="166" customFormat="1" x14ac:dyDescent="0.2"/>
    <row r="13136" s="166" customFormat="1" x14ac:dyDescent="0.2"/>
    <row r="13137" s="166" customFormat="1" x14ac:dyDescent="0.2"/>
    <row r="13138" s="166" customFormat="1" x14ac:dyDescent="0.2"/>
    <row r="13139" s="166" customFormat="1" x14ac:dyDescent="0.2"/>
    <row r="13140" s="166" customFormat="1" x14ac:dyDescent="0.2"/>
    <row r="13141" s="166" customFormat="1" x14ac:dyDescent="0.2"/>
    <row r="13142" s="166" customFormat="1" x14ac:dyDescent="0.2"/>
    <row r="13143" s="166" customFormat="1" x14ac:dyDescent="0.2"/>
    <row r="13144" s="166" customFormat="1" x14ac:dyDescent="0.2"/>
    <row r="13145" s="166" customFormat="1" x14ac:dyDescent="0.2"/>
    <row r="13146" s="166" customFormat="1" x14ac:dyDescent="0.2"/>
    <row r="13147" s="166" customFormat="1" x14ac:dyDescent="0.2"/>
    <row r="13148" s="166" customFormat="1" x14ac:dyDescent="0.2"/>
    <row r="13149" s="166" customFormat="1" x14ac:dyDescent="0.2"/>
    <row r="13150" s="166" customFormat="1" x14ac:dyDescent="0.2"/>
    <row r="13151" s="166" customFormat="1" x14ac:dyDescent="0.2"/>
    <row r="13152" s="166" customFormat="1" x14ac:dyDescent="0.2"/>
    <row r="13153" s="166" customFormat="1" x14ac:dyDescent="0.2"/>
    <row r="13154" s="166" customFormat="1" x14ac:dyDescent="0.2"/>
    <row r="13155" s="166" customFormat="1" x14ac:dyDescent="0.2"/>
    <row r="13156" s="166" customFormat="1" x14ac:dyDescent="0.2"/>
    <row r="13157" s="166" customFormat="1" x14ac:dyDescent="0.2"/>
    <row r="13158" s="166" customFormat="1" x14ac:dyDescent="0.2"/>
    <row r="13159" s="166" customFormat="1" x14ac:dyDescent="0.2"/>
    <row r="13160" s="166" customFormat="1" x14ac:dyDescent="0.2"/>
    <row r="13161" s="166" customFormat="1" x14ac:dyDescent="0.2"/>
    <row r="13162" s="166" customFormat="1" x14ac:dyDescent="0.2"/>
    <row r="13163" s="166" customFormat="1" x14ac:dyDescent="0.2"/>
    <row r="13164" s="166" customFormat="1" x14ac:dyDescent="0.2"/>
    <row r="13165" s="166" customFormat="1" x14ac:dyDescent="0.2"/>
    <row r="13166" s="166" customFormat="1" x14ac:dyDescent="0.2"/>
    <row r="13167" s="166" customFormat="1" x14ac:dyDescent="0.2"/>
    <row r="13168" s="166" customFormat="1" x14ac:dyDescent="0.2"/>
    <row r="13169" s="166" customFormat="1" x14ac:dyDescent="0.2"/>
    <row r="13170" s="166" customFormat="1" x14ac:dyDescent="0.2"/>
    <row r="13171" s="166" customFormat="1" x14ac:dyDescent="0.2"/>
    <row r="13172" s="166" customFormat="1" x14ac:dyDescent="0.2"/>
    <row r="13173" s="166" customFormat="1" x14ac:dyDescent="0.2"/>
    <row r="13174" s="166" customFormat="1" x14ac:dyDescent="0.2"/>
    <row r="13175" s="166" customFormat="1" x14ac:dyDescent="0.2"/>
    <row r="13176" s="166" customFormat="1" x14ac:dyDescent="0.2"/>
    <row r="13177" s="166" customFormat="1" x14ac:dyDescent="0.2"/>
    <row r="13178" s="166" customFormat="1" x14ac:dyDescent="0.2"/>
    <row r="13179" s="166" customFormat="1" x14ac:dyDescent="0.2"/>
    <row r="13180" s="166" customFormat="1" x14ac:dyDescent="0.2"/>
    <row r="13181" s="166" customFormat="1" x14ac:dyDescent="0.2"/>
    <row r="13182" s="166" customFormat="1" x14ac:dyDescent="0.2"/>
    <row r="13183" s="166" customFormat="1" x14ac:dyDescent="0.2"/>
    <row r="13184" s="166" customFormat="1" x14ac:dyDescent="0.2"/>
    <row r="13185" s="166" customFormat="1" x14ac:dyDescent="0.2"/>
    <row r="13186" s="166" customFormat="1" x14ac:dyDescent="0.2"/>
    <row r="13187" s="166" customFormat="1" x14ac:dyDescent="0.2"/>
    <row r="13188" s="166" customFormat="1" x14ac:dyDescent="0.2"/>
    <row r="13189" s="166" customFormat="1" x14ac:dyDescent="0.2"/>
    <row r="13190" s="166" customFormat="1" x14ac:dyDescent="0.2"/>
    <row r="13191" s="166" customFormat="1" x14ac:dyDescent="0.2"/>
    <row r="13192" s="166" customFormat="1" x14ac:dyDescent="0.2"/>
    <row r="13193" s="166" customFormat="1" x14ac:dyDescent="0.2"/>
    <row r="13194" s="166" customFormat="1" x14ac:dyDescent="0.2"/>
    <row r="13195" s="166" customFormat="1" x14ac:dyDescent="0.2"/>
    <row r="13196" s="166" customFormat="1" x14ac:dyDescent="0.2"/>
    <row r="13197" s="166" customFormat="1" x14ac:dyDescent="0.2"/>
    <row r="13198" s="166" customFormat="1" x14ac:dyDescent="0.2"/>
    <row r="13199" s="166" customFormat="1" x14ac:dyDescent="0.2"/>
    <row r="13200" s="166" customFormat="1" x14ac:dyDescent="0.2"/>
    <row r="13201" s="166" customFormat="1" x14ac:dyDescent="0.2"/>
    <row r="13202" s="166" customFormat="1" x14ac:dyDescent="0.2"/>
    <row r="13203" s="166" customFormat="1" x14ac:dyDescent="0.2"/>
    <row r="13204" s="166" customFormat="1" x14ac:dyDescent="0.2"/>
    <row r="13205" s="166" customFormat="1" x14ac:dyDescent="0.2"/>
    <row r="13206" s="166" customFormat="1" x14ac:dyDescent="0.2"/>
    <row r="13207" s="166" customFormat="1" x14ac:dyDescent="0.2"/>
    <row r="13208" s="166" customFormat="1" x14ac:dyDescent="0.2"/>
    <row r="13209" s="166" customFormat="1" x14ac:dyDescent="0.2"/>
    <row r="13210" s="166" customFormat="1" x14ac:dyDescent="0.2"/>
    <row r="13211" s="166" customFormat="1" x14ac:dyDescent="0.2"/>
    <row r="13212" s="166" customFormat="1" x14ac:dyDescent="0.2"/>
    <row r="13213" s="166" customFormat="1" x14ac:dyDescent="0.2"/>
    <row r="13214" s="166" customFormat="1" x14ac:dyDescent="0.2"/>
    <row r="13215" s="166" customFormat="1" x14ac:dyDescent="0.2"/>
    <row r="13216" s="166" customFormat="1" x14ac:dyDescent="0.2"/>
    <row r="13217" s="166" customFormat="1" x14ac:dyDescent="0.2"/>
    <row r="13218" s="166" customFormat="1" x14ac:dyDescent="0.2"/>
    <row r="13219" s="166" customFormat="1" x14ac:dyDescent="0.2"/>
    <row r="13220" s="166" customFormat="1" x14ac:dyDescent="0.2"/>
    <row r="13221" s="166" customFormat="1" x14ac:dyDescent="0.2"/>
    <row r="13222" s="166" customFormat="1" x14ac:dyDescent="0.2"/>
    <row r="13223" s="166" customFormat="1" x14ac:dyDescent="0.2"/>
    <row r="13224" s="166" customFormat="1" x14ac:dyDescent="0.2"/>
    <row r="13225" s="166" customFormat="1" x14ac:dyDescent="0.2"/>
    <row r="13226" s="166" customFormat="1" x14ac:dyDescent="0.2"/>
    <row r="13227" s="166" customFormat="1" x14ac:dyDescent="0.2"/>
    <row r="13228" s="166" customFormat="1" x14ac:dyDescent="0.2"/>
    <row r="13229" s="166" customFormat="1" x14ac:dyDescent="0.2"/>
    <row r="13230" s="166" customFormat="1" x14ac:dyDescent="0.2"/>
    <row r="13231" s="166" customFormat="1" x14ac:dyDescent="0.2"/>
    <row r="13232" s="166" customFormat="1" x14ac:dyDescent="0.2"/>
    <row r="13233" s="166" customFormat="1" x14ac:dyDescent="0.2"/>
    <row r="13234" s="166" customFormat="1" x14ac:dyDescent="0.2"/>
    <row r="13235" s="166" customFormat="1" x14ac:dyDescent="0.2"/>
    <row r="13236" s="166" customFormat="1" x14ac:dyDescent="0.2"/>
    <row r="13237" s="166" customFormat="1" x14ac:dyDescent="0.2"/>
    <row r="13238" s="166" customFormat="1" x14ac:dyDescent="0.2"/>
    <row r="13239" s="166" customFormat="1" x14ac:dyDescent="0.2"/>
    <row r="13240" s="166" customFormat="1" x14ac:dyDescent="0.2"/>
    <row r="13241" s="166" customFormat="1" x14ac:dyDescent="0.2"/>
    <row r="13242" s="166" customFormat="1" x14ac:dyDescent="0.2"/>
    <row r="13243" s="166" customFormat="1" x14ac:dyDescent="0.2"/>
    <row r="13244" s="166" customFormat="1" x14ac:dyDescent="0.2"/>
    <row r="13245" s="166" customFormat="1" x14ac:dyDescent="0.2"/>
    <row r="13246" s="166" customFormat="1" x14ac:dyDescent="0.2"/>
    <row r="13247" s="166" customFormat="1" x14ac:dyDescent="0.2"/>
    <row r="13248" s="166" customFormat="1" x14ac:dyDescent="0.2"/>
    <row r="13249" s="166" customFormat="1" x14ac:dyDescent="0.2"/>
    <row r="13250" s="166" customFormat="1" x14ac:dyDescent="0.2"/>
    <row r="13251" s="166" customFormat="1" x14ac:dyDescent="0.2"/>
    <row r="13252" s="166" customFormat="1" x14ac:dyDescent="0.2"/>
    <row r="13253" s="166" customFormat="1" x14ac:dyDescent="0.2"/>
    <row r="13254" s="166" customFormat="1" x14ac:dyDescent="0.2"/>
    <row r="13255" s="166" customFormat="1" x14ac:dyDescent="0.2"/>
    <row r="13256" s="166" customFormat="1" x14ac:dyDescent="0.2"/>
    <row r="13257" s="166" customFormat="1" x14ac:dyDescent="0.2"/>
    <row r="13258" s="166" customFormat="1" x14ac:dyDescent="0.2"/>
    <row r="13259" s="166" customFormat="1" x14ac:dyDescent="0.2"/>
    <row r="13260" s="166" customFormat="1" x14ac:dyDescent="0.2"/>
    <row r="13261" s="166" customFormat="1" x14ac:dyDescent="0.2"/>
    <row r="13262" s="166" customFormat="1" x14ac:dyDescent="0.2"/>
    <row r="13263" s="166" customFormat="1" x14ac:dyDescent="0.2"/>
    <row r="13264" s="166" customFormat="1" x14ac:dyDescent="0.2"/>
    <row r="13265" s="166" customFormat="1" x14ac:dyDescent="0.2"/>
    <row r="13266" s="166" customFormat="1" x14ac:dyDescent="0.2"/>
    <row r="13267" s="166" customFormat="1" x14ac:dyDescent="0.2"/>
    <row r="13268" s="166" customFormat="1" x14ac:dyDescent="0.2"/>
    <row r="13269" s="166" customFormat="1" x14ac:dyDescent="0.2"/>
    <row r="13270" s="166" customFormat="1" x14ac:dyDescent="0.2"/>
    <row r="13271" s="166" customFormat="1" x14ac:dyDescent="0.2"/>
    <row r="13272" s="166" customFormat="1" x14ac:dyDescent="0.2"/>
    <row r="13273" s="166" customFormat="1" x14ac:dyDescent="0.2"/>
    <row r="13274" s="166" customFormat="1" x14ac:dyDescent="0.2"/>
    <row r="13275" s="166" customFormat="1" x14ac:dyDescent="0.2"/>
    <row r="13276" s="166" customFormat="1" x14ac:dyDescent="0.2"/>
    <row r="13277" s="166" customFormat="1" x14ac:dyDescent="0.2"/>
    <row r="13278" s="166" customFormat="1" x14ac:dyDescent="0.2"/>
    <row r="13279" s="166" customFormat="1" x14ac:dyDescent="0.2"/>
    <row r="13280" s="166" customFormat="1" x14ac:dyDescent="0.2"/>
    <row r="13281" s="166" customFormat="1" x14ac:dyDescent="0.2"/>
    <row r="13282" s="166" customFormat="1" x14ac:dyDescent="0.2"/>
    <row r="13283" s="166" customFormat="1" x14ac:dyDescent="0.2"/>
    <row r="13284" s="166" customFormat="1" x14ac:dyDescent="0.2"/>
    <row r="13285" s="166" customFormat="1" x14ac:dyDescent="0.2"/>
    <row r="13286" s="166" customFormat="1" x14ac:dyDescent="0.2"/>
    <row r="13287" s="166" customFormat="1" x14ac:dyDescent="0.2"/>
    <row r="13288" s="166" customFormat="1" x14ac:dyDescent="0.2"/>
    <row r="13289" s="166" customFormat="1" x14ac:dyDescent="0.2"/>
    <row r="13290" s="166" customFormat="1" x14ac:dyDescent="0.2"/>
    <row r="13291" s="166" customFormat="1" x14ac:dyDescent="0.2"/>
    <row r="13292" s="166" customFormat="1" x14ac:dyDescent="0.2"/>
    <row r="13293" s="166" customFormat="1" x14ac:dyDescent="0.2"/>
    <row r="13294" s="166" customFormat="1" x14ac:dyDescent="0.2"/>
    <row r="13295" s="166" customFormat="1" x14ac:dyDescent="0.2"/>
    <row r="13296" s="166" customFormat="1" x14ac:dyDescent="0.2"/>
    <row r="13297" s="166" customFormat="1" x14ac:dyDescent="0.2"/>
    <row r="13298" s="166" customFormat="1" x14ac:dyDescent="0.2"/>
    <row r="13299" s="166" customFormat="1" x14ac:dyDescent="0.2"/>
    <row r="13300" s="166" customFormat="1" x14ac:dyDescent="0.2"/>
    <row r="13301" s="166" customFormat="1" x14ac:dyDescent="0.2"/>
    <row r="13302" s="166" customFormat="1" x14ac:dyDescent="0.2"/>
    <row r="13303" s="166" customFormat="1" x14ac:dyDescent="0.2"/>
    <row r="13304" s="166" customFormat="1" x14ac:dyDescent="0.2"/>
    <row r="13305" s="166" customFormat="1" x14ac:dyDescent="0.2"/>
    <row r="13306" s="166" customFormat="1" x14ac:dyDescent="0.2"/>
    <row r="13307" s="166" customFormat="1" x14ac:dyDescent="0.2"/>
    <row r="13308" s="166" customFormat="1" x14ac:dyDescent="0.2"/>
    <row r="13309" s="166" customFormat="1" x14ac:dyDescent="0.2"/>
    <row r="13310" s="166" customFormat="1" x14ac:dyDescent="0.2"/>
    <row r="13311" s="166" customFormat="1" x14ac:dyDescent="0.2"/>
    <row r="13312" s="166" customFormat="1" x14ac:dyDescent="0.2"/>
    <row r="13313" s="166" customFormat="1" x14ac:dyDescent="0.2"/>
    <row r="13314" s="166" customFormat="1" x14ac:dyDescent="0.2"/>
    <row r="13315" s="166" customFormat="1" x14ac:dyDescent="0.2"/>
    <row r="13316" s="166" customFormat="1" x14ac:dyDescent="0.2"/>
    <row r="13317" s="166" customFormat="1" x14ac:dyDescent="0.2"/>
    <row r="13318" s="166" customFormat="1" x14ac:dyDescent="0.2"/>
    <row r="13319" s="166" customFormat="1" x14ac:dyDescent="0.2"/>
    <row r="13320" s="166" customFormat="1" x14ac:dyDescent="0.2"/>
    <row r="13321" s="166" customFormat="1" x14ac:dyDescent="0.2"/>
    <row r="13322" s="166" customFormat="1" x14ac:dyDescent="0.2"/>
    <row r="13323" s="166" customFormat="1" x14ac:dyDescent="0.2"/>
    <row r="13324" s="166" customFormat="1" x14ac:dyDescent="0.2"/>
    <row r="13325" s="166" customFormat="1" x14ac:dyDescent="0.2"/>
    <row r="13326" s="166" customFormat="1" x14ac:dyDescent="0.2"/>
    <row r="13327" s="166" customFormat="1" x14ac:dyDescent="0.2"/>
    <row r="13328" s="166" customFormat="1" x14ac:dyDescent="0.2"/>
    <row r="13329" s="166" customFormat="1" x14ac:dyDescent="0.2"/>
    <row r="13330" s="166" customFormat="1" x14ac:dyDescent="0.2"/>
    <row r="13331" s="166" customFormat="1" x14ac:dyDescent="0.2"/>
    <row r="13332" s="166" customFormat="1" x14ac:dyDescent="0.2"/>
    <row r="13333" s="166" customFormat="1" x14ac:dyDescent="0.2"/>
    <row r="13334" s="166" customFormat="1" x14ac:dyDescent="0.2"/>
    <row r="13335" s="166" customFormat="1" x14ac:dyDescent="0.2"/>
    <row r="13336" s="166" customFormat="1" x14ac:dyDescent="0.2"/>
    <row r="13337" s="166" customFormat="1" x14ac:dyDescent="0.2"/>
    <row r="13338" s="166" customFormat="1" x14ac:dyDescent="0.2"/>
    <row r="13339" s="166" customFormat="1" x14ac:dyDescent="0.2"/>
    <row r="13340" s="166" customFormat="1" x14ac:dyDescent="0.2"/>
    <row r="13341" s="166" customFormat="1" x14ac:dyDescent="0.2"/>
    <row r="13342" s="166" customFormat="1" x14ac:dyDescent="0.2"/>
    <row r="13343" s="166" customFormat="1" x14ac:dyDescent="0.2"/>
    <row r="13344" s="166" customFormat="1" x14ac:dyDescent="0.2"/>
    <row r="13345" s="166" customFormat="1" x14ac:dyDescent="0.2"/>
    <row r="13346" s="166" customFormat="1" x14ac:dyDescent="0.2"/>
    <row r="13347" s="166" customFormat="1" x14ac:dyDescent="0.2"/>
    <row r="13348" s="166" customFormat="1" x14ac:dyDescent="0.2"/>
    <row r="13349" s="166" customFormat="1" x14ac:dyDescent="0.2"/>
    <row r="13350" s="166" customFormat="1" x14ac:dyDescent="0.2"/>
    <row r="13351" s="166" customFormat="1" x14ac:dyDescent="0.2"/>
    <row r="13352" s="166" customFormat="1" x14ac:dyDescent="0.2"/>
    <row r="13353" s="166" customFormat="1" x14ac:dyDescent="0.2"/>
    <row r="13354" s="166" customFormat="1" x14ac:dyDescent="0.2"/>
    <row r="13355" s="166" customFormat="1" x14ac:dyDescent="0.2"/>
    <row r="13356" s="166" customFormat="1" x14ac:dyDescent="0.2"/>
    <row r="13357" s="166" customFormat="1" x14ac:dyDescent="0.2"/>
    <row r="13358" s="166" customFormat="1" x14ac:dyDescent="0.2"/>
    <row r="13359" s="166" customFormat="1" x14ac:dyDescent="0.2"/>
    <row r="13360" s="166" customFormat="1" x14ac:dyDescent="0.2"/>
    <row r="13361" s="166" customFormat="1" x14ac:dyDescent="0.2"/>
    <row r="13362" s="166" customFormat="1" x14ac:dyDescent="0.2"/>
    <row r="13363" s="166" customFormat="1" x14ac:dyDescent="0.2"/>
    <row r="13364" s="166" customFormat="1" x14ac:dyDescent="0.2"/>
    <row r="13365" s="166" customFormat="1" x14ac:dyDescent="0.2"/>
    <row r="13366" s="166" customFormat="1" x14ac:dyDescent="0.2"/>
    <row r="13367" s="166" customFormat="1" x14ac:dyDescent="0.2"/>
    <row r="13368" s="166" customFormat="1" x14ac:dyDescent="0.2"/>
    <row r="13369" s="166" customFormat="1" x14ac:dyDescent="0.2"/>
    <row r="13370" s="166" customFormat="1" x14ac:dyDescent="0.2"/>
    <row r="13371" s="166" customFormat="1" x14ac:dyDescent="0.2"/>
    <row r="13372" s="166" customFormat="1" x14ac:dyDescent="0.2"/>
    <row r="13373" s="166" customFormat="1" x14ac:dyDescent="0.2"/>
    <row r="13374" s="166" customFormat="1" x14ac:dyDescent="0.2"/>
    <row r="13375" s="166" customFormat="1" x14ac:dyDescent="0.2"/>
    <row r="13376" s="166" customFormat="1" x14ac:dyDescent="0.2"/>
    <row r="13377" s="166" customFormat="1" x14ac:dyDescent="0.2"/>
    <row r="13378" s="166" customFormat="1" x14ac:dyDescent="0.2"/>
    <row r="13379" s="166" customFormat="1" x14ac:dyDescent="0.2"/>
    <row r="13380" s="166" customFormat="1" x14ac:dyDescent="0.2"/>
    <row r="13381" s="166" customFormat="1" x14ac:dyDescent="0.2"/>
    <row r="13382" s="166" customFormat="1" x14ac:dyDescent="0.2"/>
    <row r="13383" s="166" customFormat="1" x14ac:dyDescent="0.2"/>
    <row r="13384" s="166" customFormat="1" x14ac:dyDescent="0.2"/>
    <row r="13385" s="166" customFormat="1" x14ac:dyDescent="0.2"/>
    <row r="13386" s="166" customFormat="1" x14ac:dyDescent="0.2"/>
    <row r="13387" s="166" customFormat="1" x14ac:dyDescent="0.2"/>
    <row r="13388" s="166" customFormat="1" x14ac:dyDescent="0.2"/>
    <row r="13389" s="166" customFormat="1" x14ac:dyDescent="0.2"/>
    <row r="13390" s="166" customFormat="1" x14ac:dyDescent="0.2"/>
    <row r="13391" s="166" customFormat="1" x14ac:dyDescent="0.2"/>
    <row r="13392" s="166" customFormat="1" x14ac:dyDescent="0.2"/>
    <row r="13393" s="166" customFormat="1" x14ac:dyDescent="0.2"/>
    <row r="13394" s="166" customFormat="1" x14ac:dyDescent="0.2"/>
    <row r="13395" s="166" customFormat="1" x14ac:dyDescent="0.2"/>
    <row r="13396" s="166" customFormat="1" x14ac:dyDescent="0.2"/>
    <row r="13397" s="166" customFormat="1" x14ac:dyDescent="0.2"/>
    <row r="13398" s="166" customFormat="1" x14ac:dyDescent="0.2"/>
    <row r="13399" s="166" customFormat="1" x14ac:dyDescent="0.2"/>
    <row r="13400" s="166" customFormat="1" x14ac:dyDescent="0.2"/>
    <row r="13401" s="166" customFormat="1" x14ac:dyDescent="0.2"/>
    <row r="13402" s="166" customFormat="1" x14ac:dyDescent="0.2"/>
    <row r="13403" s="166" customFormat="1" x14ac:dyDescent="0.2"/>
    <row r="13404" s="166" customFormat="1" x14ac:dyDescent="0.2"/>
    <row r="13405" s="166" customFormat="1" x14ac:dyDescent="0.2"/>
    <row r="13406" s="166" customFormat="1" x14ac:dyDescent="0.2"/>
    <row r="13407" s="166" customFormat="1" x14ac:dyDescent="0.2"/>
    <row r="13408" s="166" customFormat="1" x14ac:dyDescent="0.2"/>
    <row r="13409" s="166" customFormat="1" x14ac:dyDescent="0.2"/>
    <row r="13410" s="166" customFormat="1" x14ac:dyDescent="0.2"/>
    <row r="13411" s="166" customFormat="1" x14ac:dyDescent="0.2"/>
    <row r="13412" s="166" customFormat="1" x14ac:dyDescent="0.2"/>
    <row r="13413" s="166" customFormat="1" x14ac:dyDescent="0.2"/>
    <row r="13414" s="166" customFormat="1" x14ac:dyDescent="0.2"/>
    <row r="13415" s="166" customFormat="1" x14ac:dyDescent="0.2"/>
    <row r="13416" s="166" customFormat="1" x14ac:dyDescent="0.2"/>
    <row r="13417" s="166" customFormat="1" x14ac:dyDescent="0.2"/>
    <row r="13418" s="166" customFormat="1" x14ac:dyDescent="0.2"/>
    <row r="13419" s="166" customFormat="1" x14ac:dyDescent="0.2"/>
    <row r="13420" s="166" customFormat="1" x14ac:dyDescent="0.2"/>
    <row r="13421" s="166" customFormat="1" x14ac:dyDescent="0.2"/>
    <row r="13422" s="166" customFormat="1" x14ac:dyDescent="0.2"/>
    <row r="13423" s="166" customFormat="1" x14ac:dyDescent="0.2"/>
    <row r="13424" s="166" customFormat="1" x14ac:dyDescent="0.2"/>
    <row r="13425" s="166" customFormat="1" x14ac:dyDescent="0.2"/>
    <row r="13426" s="166" customFormat="1" x14ac:dyDescent="0.2"/>
    <row r="13427" s="166" customFormat="1" x14ac:dyDescent="0.2"/>
    <row r="13428" s="166" customFormat="1" x14ac:dyDescent="0.2"/>
    <row r="13429" s="166" customFormat="1" x14ac:dyDescent="0.2"/>
    <row r="13430" s="166" customFormat="1" x14ac:dyDescent="0.2"/>
    <row r="13431" s="166" customFormat="1" x14ac:dyDescent="0.2"/>
    <row r="13432" s="166" customFormat="1" x14ac:dyDescent="0.2"/>
    <row r="13433" s="166" customFormat="1" x14ac:dyDescent="0.2"/>
    <row r="13434" s="166" customFormat="1" x14ac:dyDescent="0.2"/>
    <row r="13435" s="166" customFormat="1" x14ac:dyDescent="0.2"/>
    <row r="13436" s="166" customFormat="1" x14ac:dyDescent="0.2"/>
    <row r="13437" s="166" customFormat="1" x14ac:dyDescent="0.2"/>
    <row r="13438" s="166" customFormat="1" x14ac:dyDescent="0.2"/>
    <row r="13439" s="166" customFormat="1" x14ac:dyDescent="0.2"/>
    <row r="13440" s="166" customFormat="1" x14ac:dyDescent="0.2"/>
    <row r="13441" s="166" customFormat="1" x14ac:dyDescent="0.2"/>
    <row r="13442" s="166" customFormat="1" x14ac:dyDescent="0.2"/>
    <row r="13443" s="166" customFormat="1" x14ac:dyDescent="0.2"/>
    <row r="13444" s="166" customFormat="1" x14ac:dyDescent="0.2"/>
    <row r="13445" s="166" customFormat="1" x14ac:dyDescent="0.2"/>
    <row r="13446" s="166" customFormat="1" x14ac:dyDescent="0.2"/>
    <row r="13447" s="166" customFormat="1" x14ac:dyDescent="0.2"/>
    <row r="13448" s="166" customFormat="1" x14ac:dyDescent="0.2"/>
    <row r="13449" s="166" customFormat="1" x14ac:dyDescent="0.2"/>
    <row r="13450" s="166" customFormat="1" x14ac:dyDescent="0.2"/>
    <row r="13451" s="166" customFormat="1" x14ac:dyDescent="0.2"/>
    <row r="13452" s="166" customFormat="1" x14ac:dyDescent="0.2"/>
    <row r="13453" s="166" customFormat="1" x14ac:dyDescent="0.2"/>
    <row r="13454" s="166" customFormat="1" x14ac:dyDescent="0.2"/>
    <row r="13455" s="166" customFormat="1" x14ac:dyDescent="0.2"/>
    <row r="13456" s="166" customFormat="1" x14ac:dyDescent="0.2"/>
    <row r="13457" s="166" customFormat="1" x14ac:dyDescent="0.2"/>
    <row r="13458" s="166" customFormat="1" x14ac:dyDescent="0.2"/>
    <row r="13459" s="166" customFormat="1" x14ac:dyDescent="0.2"/>
    <row r="13460" s="166" customFormat="1" x14ac:dyDescent="0.2"/>
    <row r="13461" s="166" customFormat="1" x14ac:dyDescent="0.2"/>
    <row r="13462" s="166" customFormat="1" x14ac:dyDescent="0.2"/>
    <row r="13463" s="166" customFormat="1" x14ac:dyDescent="0.2"/>
    <row r="13464" s="166" customFormat="1" x14ac:dyDescent="0.2"/>
    <row r="13465" s="166" customFormat="1" x14ac:dyDescent="0.2"/>
    <row r="13466" s="166" customFormat="1" x14ac:dyDescent="0.2"/>
    <row r="13467" s="166" customFormat="1" x14ac:dyDescent="0.2"/>
    <row r="13468" s="166" customFormat="1" x14ac:dyDescent="0.2"/>
    <row r="13469" s="166" customFormat="1" x14ac:dyDescent="0.2"/>
    <row r="13470" s="166" customFormat="1" x14ac:dyDescent="0.2"/>
    <row r="13471" s="166" customFormat="1" x14ac:dyDescent="0.2"/>
    <row r="13472" s="166" customFormat="1" x14ac:dyDescent="0.2"/>
    <row r="13473" s="166" customFormat="1" x14ac:dyDescent="0.2"/>
    <row r="13474" s="166" customFormat="1" x14ac:dyDescent="0.2"/>
    <row r="13475" s="166" customFormat="1" x14ac:dyDescent="0.2"/>
    <row r="13476" s="166" customFormat="1" x14ac:dyDescent="0.2"/>
    <row r="13477" s="166" customFormat="1" x14ac:dyDescent="0.2"/>
    <row r="13478" s="166" customFormat="1" x14ac:dyDescent="0.2"/>
    <row r="13479" s="166" customFormat="1" x14ac:dyDescent="0.2"/>
    <row r="13480" s="166" customFormat="1" x14ac:dyDescent="0.2"/>
    <row r="13481" s="166" customFormat="1" x14ac:dyDescent="0.2"/>
    <row r="13482" s="166" customFormat="1" x14ac:dyDescent="0.2"/>
    <row r="13483" s="166" customFormat="1" x14ac:dyDescent="0.2"/>
    <row r="13484" s="166" customFormat="1" x14ac:dyDescent="0.2"/>
    <row r="13485" s="166" customFormat="1" x14ac:dyDescent="0.2"/>
    <row r="13486" s="166" customFormat="1" x14ac:dyDescent="0.2"/>
    <row r="13487" s="166" customFormat="1" x14ac:dyDescent="0.2"/>
    <row r="13488" s="166" customFormat="1" x14ac:dyDescent="0.2"/>
    <row r="13489" s="166" customFormat="1" x14ac:dyDescent="0.2"/>
    <row r="13490" s="166" customFormat="1" x14ac:dyDescent="0.2"/>
    <row r="13491" s="166" customFormat="1" x14ac:dyDescent="0.2"/>
    <row r="13492" s="166" customFormat="1" x14ac:dyDescent="0.2"/>
    <row r="13493" s="166" customFormat="1" x14ac:dyDescent="0.2"/>
    <row r="13494" s="166" customFormat="1" x14ac:dyDescent="0.2"/>
    <row r="13495" s="166" customFormat="1" x14ac:dyDescent="0.2"/>
    <row r="13496" s="166" customFormat="1" x14ac:dyDescent="0.2"/>
    <row r="13497" s="166" customFormat="1" x14ac:dyDescent="0.2"/>
    <row r="13498" s="166" customFormat="1" x14ac:dyDescent="0.2"/>
    <row r="13499" s="166" customFormat="1" x14ac:dyDescent="0.2"/>
    <row r="13500" s="166" customFormat="1" x14ac:dyDescent="0.2"/>
    <row r="13501" s="166" customFormat="1" x14ac:dyDescent="0.2"/>
    <row r="13502" s="166" customFormat="1" x14ac:dyDescent="0.2"/>
    <row r="13503" s="166" customFormat="1" x14ac:dyDescent="0.2"/>
    <row r="13504" s="166" customFormat="1" x14ac:dyDescent="0.2"/>
    <row r="13505" s="166" customFormat="1" x14ac:dyDescent="0.2"/>
    <row r="13506" s="166" customFormat="1" x14ac:dyDescent="0.2"/>
    <row r="13507" s="166" customFormat="1" x14ac:dyDescent="0.2"/>
    <row r="13508" s="166" customFormat="1" x14ac:dyDescent="0.2"/>
    <row r="13509" s="166" customFormat="1" x14ac:dyDescent="0.2"/>
    <row r="13510" s="166" customFormat="1" x14ac:dyDescent="0.2"/>
    <row r="13511" s="166" customFormat="1" x14ac:dyDescent="0.2"/>
    <row r="13512" s="166" customFormat="1" x14ac:dyDescent="0.2"/>
    <row r="13513" s="166" customFormat="1" x14ac:dyDescent="0.2"/>
    <row r="13514" s="166" customFormat="1" x14ac:dyDescent="0.2"/>
    <row r="13515" s="166" customFormat="1" x14ac:dyDescent="0.2"/>
    <row r="13516" s="166" customFormat="1" x14ac:dyDescent="0.2"/>
    <row r="13517" s="166" customFormat="1" x14ac:dyDescent="0.2"/>
    <row r="13518" s="166" customFormat="1" x14ac:dyDescent="0.2"/>
    <row r="13519" s="166" customFormat="1" x14ac:dyDescent="0.2"/>
    <row r="13520" s="166" customFormat="1" x14ac:dyDescent="0.2"/>
    <row r="13521" s="166" customFormat="1" x14ac:dyDescent="0.2"/>
    <row r="13522" s="166" customFormat="1" x14ac:dyDescent="0.2"/>
    <row r="13523" s="166" customFormat="1" x14ac:dyDescent="0.2"/>
    <row r="13524" s="166" customFormat="1" x14ac:dyDescent="0.2"/>
    <row r="13525" s="166" customFormat="1" x14ac:dyDescent="0.2"/>
    <row r="13526" s="166" customFormat="1" x14ac:dyDescent="0.2"/>
    <row r="13527" s="166" customFormat="1" x14ac:dyDescent="0.2"/>
    <row r="13528" s="166" customFormat="1" x14ac:dyDescent="0.2"/>
    <row r="13529" s="166" customFormat="1" x14ac:dyDescent="0.2"/>
    <row r="13530" s="166" customFormat="1" x14ac:dyDescent="0.2"/>
    <row r="13531" s="166" customFormat="1" x14ac:dyDescent="0.2"/>
    <row r="13532" s="166" customFormat="1" x14ac:dyDescent="0.2"/>
    <row r="13533" s="166" customFormat="1" x14ac:dyDescent="0.2"/>
    <row r="13534" s="166" customFormat="1" x14ac:dyDescent="0.2"/>
    <row r="13535" s="166" customFormat="1" x14ac:dyDescent="0.2"/>
    <row r="13536" s="166" customFormat="1" x14ac:dyDescent="0.2"/>
    <row r="13537" s="166" customFormat="1" x14ac:dyDescent="0.2"/>
    <row r="13538" s="166" customFormat="1" x14ac:dyDescent="0.2"/>
    <row r="13539" s="166" customFormat="1" x14ac:dyDescent="0.2"/>
    <row r="13540" s="166" customFormat="1" x14ac:dyDescent="0.2"/>
    <row r="13541" s="166" customFormat="1" x14ac:dyDescent="0.2"/>
    <row r="13542" s="166" customFormat="1" x14ac:dyDescent="0.2"/>
    <row r="13543" s="166" customFormat="1" x14ac:dyDescent="0.2"/>
    <row r="13544" s="166" customFormat="1" x14ac:dyDescent="0.2"/>
    <row r="13545" s="166" customFormat="1" x14ac:dyDescent="0.2"/>
    <row r="13546" s="166" customFormat="1" x14ac:dyDescent="0.2"/>
    <row r="13547" s="166" customFormat="1" x14ac:dyDescent="0.2"/>
    <row r="13548" s="166" customFormat="1" x14ac:dyDescent="0.2"/>
    <row r="13549" s="166" customFormat="1" x14ac:dyDescent="0.2"/>
    <row r="13550" s="166" customFormat="1" x14ac:dyDescent="0.2"/>
    <row r="13551" s="166" customFormat="1" x14ac:dyDescent="0.2"/>
    <row r="13552" s="166" customFormat="1" x14ac:dyDescent="0.2"/>
    <row r="13553" s="166" customFormat="1" x14ac:dyDescent="0.2"/>
    <row r="13554" s="166" customFormat="1" x14ac:dyDescent="0.2"/>
    <row r="13555" s="166" customFormat="1" x14ac:dyDescent="0.2"/>
    <row r="13556" s="166" customFormat="1" x14ac:dyDescent="0.2"/>
    <row r="13557" s="166" customFormat="1" x14ac:dyDescent="0.2"/>
    <row r="13558" s="166" customFormat="1" x14ac:dyDescent="0.2"/>
    <row r="13559" s="166" customFormat="1" x14ac:dyDescent="0.2"/>
    <row r="13560" s="166" customFormat="1" x14ac:dyDescent="0.2"/>
    <row r="13561" s="166" customFormat="1" x14ac:dyDescent="0.2"/>
    <row r="13562" s="166" customFormat="1" x14ac:dyDescent="0.2"/>
    <row r="13563" s="166" customFormat="1" x14ac:dyDescent="0.2"/>
    <row r="13564" s="166" customFormat="1" x14ac:dyDescent="0.2"/>
    <row r="13565" s="166" customFormat="1" x14ac:dyDescent="0.2"/>
    <row r="13566" s="166" customFormat="1" x14ac:dyDescent="0.2"/>
    <row r="13567" s="166" customFormat="1" x14ac:dyDescent="0.2"/>
    <row r="13568" s="166" customFormat="1" x14ac:dyDescent="0.2"/>
    <row r="13569" s="166" customFormat="1" x14ac:dyDescent="0.2"/>
    <row r="13570" s="166" customFormat="1" x14ac:dyDescent="0.2"/>
    <row r="13571" s="166" customFormat="1" x14ac:dyDescent="0.2"/>
    <row r="13572" s="166" customFormat="1" x14ac:dyDescent="0.2"/>
    <row r="13573" s="166" customFormat="1" x14ac:dyDescent="0.2"/>
    <row r="13574" s="166" customFormat="1" x14ac:dyDescent="0.2"/>
    <row r="13575" s="166" customFormat="1" x14ac:dyDescent="0.2"/>
    <row r="13576" s="166" customFormat="1" x14ac:dyDescent="0.2"/>
    <row r="13577" s="166" customFormat="1" x14ac:dyDescent="0.2"/>
    <row r="13578" s="166" customFormat="1" x14ac:dyDescent="0.2"/>
    <row r="13579" s="166" customFormat="1" x14ac:dyDescent="0.2"/>
    <row r="13580" s="166" customFormat="1" x14ac:dyDescent="0.2"/>
    <row r="13581" s="166" customFormat="1" x14ac:dyDescent="0.2"/>
    <row r="13582" s="166" customFormat="1" x14ac:dyDescent="0.2"/>
    <row r="13583" s="166" customFormat="1" x14ac:dyDescent="0.2"/>
    <row r="13584" s="166" customFormat="1" x14ac:dyDescent="0.2"/>
    <row r="13585" s="166" customFormat="1" x14ac:dyDescent="0.2"/>
    <row r="13586" s="166" customFormat="1" x14ac:dyDescent="0.2"/>
    <row r="13587" s="166" customFormat="1" x14ac:dyDescent="0.2"/>
    <row r="13588" s="166" customFormat="1" x14ac:dyDescent="0.2"/>
    <row r="13589" s="166" customFormat="1" x14ac:dyDescent="0.2"/>
    <row r="13590" s="166" customFormat="1" x14ac:dyDescent="0.2"/>
    <row r="13591" s="166" customFormat="1" x14ac:dyDescent="0.2"/>
    <row r="13592" s="166" customFormat="1" x14ac:dyDescent="0.2"/>
    <row r="13593" s="166" customFormat="1" x14ac:dyDescent="0.2"/>
    <row r="13594" s="166" customFormat="1" x14ac:dyDescent="0.2"/>
    <row r="13595" s="166" customFormat="1" x14ac:dyDescent="0.2"/>
    <row r="13596" s="166" customFormat="1" x14ac:dyDescent="0.2"/>
    <row r="13597" s="166" customFormat="1" x14ac:dyDescent="0.2"/>
    <row r="13598" s="166" customFormat="1" x14ac:dyDescent="0.2"/>
    <row r="13599" s="166" customFormat="1" x14ac:dyDescent="0.2"/>
    <row r="13600" s="166" customFormat="1" x14ac:dyDescent="0.2"/>
    <row r="13601" s="166" customFormat="1" x14ac:dyDescent="0.2"/>
    <row r="13602" s="166" customFormat="1" x14ac:dyDescent="0.2"/>
    <row r="13603" s="166" customFormat="1" x14ac:dyDescent="0.2"/>
    <row r="13604" s="166" customFormat="1" x14ac:dyDescent="0.2"/>
    <row r="13605" s="166" customFormat="1" x14ac:dyDescent="0.2"/>
    <row r="13606" s="166" customFormat="1" x14ac:dyDescent="0.2"/>
    <row r="13607" s="166" customFormat="1" x14ac:dyDescent="0.2"/>
    <row r="13608" s="166" customFormat="1" x14ac:dyDescent="0.2"/>
    <row r="13609" s="166" customFormat="1" x14ac:dyDescent="0.2"/>
    <row r="13610" s="166" customFormat="1" x14ac:dyDescent="0.2"/>
    <row r="13611" s="166" customFormat="1" x14ac:dyDescent="0.2"/>
    <row r="13612" s="166" customFormat="1" x14ac:dyDescent="0.2"/>
    <row r="13613" s="166" customFormat="1" x14ac:dyDescent="0.2"/>
    <row r="13614" s="166" customFormat="1" x14ac:dyDescent="0.2"/>
    <row r="13615" s="166" customFormat="1" x14ac:dyDescent="0.2"/>
    <row r="13616" s="166" customFormat="1" x14ac:dyDescent="0.2"/>
    <row r="13617" s="166" customFormat="1" x14ac:dyDescent="0.2"/>
    <row r="13618" s="166" customFormat="1" x14ac:dyDescent="0.2"/>
    <row r="13619" s="166" customFormat="1" x14ac:dyDescent="0.2"/>
    <row r="13620" s="166" customFormat="1" x14ac:dyDescent="0.2"/>
    <row r="13621" s="166" customFormat="1" x14ac:dyDescent="0.2"/>
    <row r="13622" s="166" customFormat="1" x14ac:dyDescent="0.2"/>
    <row r="13623" s="166" customFormat="1" x14ac:dyDescent="0.2"/>
    <row r="13624" s="166" customFormat="1" x14ac:dyDescent="0.2"/>
    <row r="13625" s="166" customFormat="1" x14ac:dyDescent="0.2"/>
    <row r="13626" s="166" customFormat="1" x14ac:dyDescent="0.2"/>
    <row r="13627" s="166" customFormat="1" x14ac:dyDescent="0.2"/>
    <row r="13628" s="166" customFormat="1" x14ac:dyDescent="0.2"/>
    <row r="13629" s="166" customFormat="1" x14ac:dyDescent="0.2"/>
    <row r="13630" s="166" customFormat="1" x14ac:dyDescent="0.2"/>
    <row r="13631" s="166" customFormat="1" x14ac:dyDescent="0.2"/>
    <row r="13632" s="166" customFormat="1" x14ac:dyDescent="0.2"/>
    <row r="13633" s="166" customFormat="1" x14ac:dyDescent="0.2"/>
    <row r="13634" s="166" customFormat="1" x14ac:dyDescent="0.2"/>
    <row r="13635" s="166" customFormat="1" x14ac:dyDescent="0.2"/>
    <row r="13636" s="166" customFormat="1" x14ac:dyDescent="0.2"/>
    <row r="13637" s="166" customFormat="1" x14ac:dyDescent="0.2"/>
    <row r="13638" s="166" customFormat="1" x14ac:dyDescent="0.2"/>
    <row r="13639" s="166" customFormat="1" x14ac:dyDescent="0.2"/>
    <row r="13640" s="166" customFormat="1" x14ac:dyDescent="0.2"/>
    <row r="13641" s="166" customFormat="1" x14ac:dyDescent="0.2"/>
    <row r="13642" s="166" customFormat="1" x14ac:dyDescent="0.2"/>
    <row r="13643" s="166" customFormat="1" x14ac:dyDescent="0.2"/>
    <row r="13644" s="166" customFormat="1" x14ac:dyDescent="0.2"/>
    <row r="13645" s="166" customFormat="1" x14ac:dyDescent="0.2"/>
    <row r="13646" s="166" customFormat="1" x14ac:dyDescent="0.2"/>
    <row r="13647" s="166" customFormat="1" x14ac:dyDescent="0.2"/>
    <row r="13648" s="166" customFormat="1" x14ac:dyDescent="0.2"/>
    <row r="13649" s="166" customFormat="1" x14ac:dyDescent="0.2"/>
    <row r="13650" s="166" customFormat="1" x14ac:dyDescent="0.2"/>
    <row r="13651" s="166" customFormat="1" x14ac:dyDescent="0.2"/>
    <row r="13652" s="166" customFormat="1" x14ac:dyDescent="0.2"/>
    <row r="13653" s="166" customFormat="1" x14ac:dyDescent="0.2"/>
    <row r="13654" s="166" customFormat="1" x14ac:dyDescent="0.2"/>
    <row r="13655" s="166" customFormat="1" x14ac:dyDescent="0.2"/>
    <row r="13656" s="166" customFormat="1" x14ac:dyDescent="0.2"/>
    <row r="13657" s="166" customFormat="1" x14ac:dyDescent="0.2"/>
    <row r="13658" s="166" customFormat="1" x14ac:dyDescent="0.2"/>
    <row r="13659" s="166" customFormat="1" x14ac:dyDescent="0.2"/>
    <row r="13660" s="166" customFormat="1" x14ac:dyDescent="0.2"/>
    <row r="13661" s="166" customFormat="1" x14ac:dyDescent="0.2"/>
    <row r="13662" s="166" customFormat="1" x14ac:dyDescent="0.2"/>
    <row r="13663" s="166" customFormat="1" x14ac:dyDescent="0.2"/>
    <row r="13664" s="166" customFormat="1" x14ac:dyDescent="0.2"/>
    <row r="13665" s="166" customFormat="1" x14ac:dyDescent="0.2"/>
    <row r="13666" s="166" customFormat="1" x14ac:dyDescent="0.2"/>
    <row r="13667" s="166" customFormat="1" x14ac:dyDescent="0.2"/>
    <row r="13668" s="166" customFormat="1" x14ac:dyDescent="0.2"/>
    <row r="13669" s="166" customFormat="1" x14ac:dyDescent="0.2"/>
    <row r="13670" s="166" customFormat="1" x14ac:dyDescent="0.2"/>
    <row r="13671" s="166" customFormat="1" x14ac:dyDescent="0.2"/>
    <row r="13672" s="166" customFormat="1" x14ac:dyDescent="0.2"/>
    <row r="13673" s="166" customFormat="1" x14ac:dyDescent="0.2"/>
    <row r="13674" s="166" customFormat="1" x14ac:dyDescent="0.2"/>
    <row r="13675" s="166" customFormat="1" x14ac:dyDescent="0.2"/>
    <row r="13676" s="166" customFormat="1" x14ac:dyDescent="0.2"/>
    <row r="13677" s="166" customFormat="1" x14ac:dyDescent="0.2"/>
    <row r="13678" s="166" customFormat="1" x14ac:dyDescent="0.2"/>
    <row r="13679" s="166" customFormat="1" x14ac:dyDescent="0.2"/>
    <row r="13680" s="166" customFormat="1" x14ac:dyDescent="0.2"/>
    <row r="13681" s="166" customFormat="1" x14ac:dyDescent="0.2"/>
    <row r="13682" s="166" customFormat="1" x14ac:dyDescent="0.2"/>
    <row r="13683" s="166" customFormat="1" x14ac:dyDescent="0.2"/>
    <row r="13684" s="166" customFormat="1" x14ac:dyDescent="0.2"/>
    <row r="13685" s="166" customFormat="1" x14ac:dyDescent="0.2"/>
    <row r="13686" s="166" customFormat="1" x14ac:dyDescent="0.2"/>
    <row r="13687" s="166" customFormat="1" x14ac:dyDescent="0.2"/>
    <row r="13688" s="166" customFormat="1" x14ac:dyDescent="0.2"/>
    <row r="13689" s="166" customFormat="1" x14ac:dyDescent="0.2"/>
    <row r="13690" s="166" customFormat="1" x14ac:dyDescent="0.2"/>
    <row r="13691" s="166" customFormat="1" x14ac:dyDescent="0.2"/>
    <row r="13692" s="166" customFormat="1" x14ac:dyDescent="0.2"/>
    <row r="13693" s="166" customFormat="1" x14ac:dyDescent="0.2"/>
    <row r="13694" s="166" customFormat="1" x14ac:dyDescent="0.2"/>
    <row r="13695" s="166" customFormat="1" x14ac:dyDescent="0.2"/>
    <row r="13696" s="166" customFormat="1" x14ac:dyDescent="0.2"/>
    <row r="13697" s="166" customFormat="1" x14ac:dyDescent="0.2"/>
    <row r="13698" s="166" customFormat="1" x14ac:dyDescent="0.2"/>
    <row r="13699" s="166" customFormat="1" x14ac:dyDescent="0.2"/>
    <row r="13700" s="166" customFormat="1" x14ac:dyDescent="0.2"/>
    <row r="13701" s="166" customFormat="1" x14ac:dyDescent="0.2"/>
    <row r="13702" s="166" customFormat="1" x14ac:dyDescent="0.2"/>
    <row r="13703" s="166" customFormat="1" x14ac:dyDescent="0.2"/>
    <row r="13704" s="166" customFormat="1" x14ac:dyDescent="0.2"/>
    <row r="13705" s="166" customFormat="1" x14ac:dyDescent="0.2"/>
    <row r="13706" s="166" customFormat="1" x14ac:dyDescent="0.2"/>
    <row r="13707" s="166" customFormat="1" x14ac:dyDescent="0.2"/>
    <row r="13708" s="166" customFormat="1" x14ac:dyDescent="0.2"/>
    <row r="13709" s="166" customFormat="1" x14ac:dyDescent="0.2"/>
    <row r="13710" s="166" customFormat="1" x14ac:dyDescent="0.2"/>
    <row r="13711" s="166" customFormat="1" x14ac:dyDescent="0.2"/>
    <row r="13712" s="166" customFormat="1" x14ac:dyDescent="0.2"/>
    <row r="13713" s="166" customFormat="1" x14ac:dyDescent="0.2"/>
    <row r="13714" s="166" customFormat="1" x14ac:dyDescent="0.2"/>
    <row r="13715" s="166" customFormat="1" x14ac:dyDescent="0.2"/>
    <row r="13716" s="166" customFormat="1" x14ac:dyDescent="0.2"/>
    <row r="13717" s="166" customFormat="1" x14ac:dyDescent="0.2"/>
    <row r="13718" s="166" customFormat="1" x14ac:dyDescent="0.2"/>
    <row r="13719" s="166" customFormat="1" x14ac:dyDescent="0.2"/>
    <row r="13720" s="166" customFormat="1" x14ac:dyDescent="0.2"/>
    <row r="13721" s="166" customFormat="1" x14ac:dyDescent="0.2"/>
    <row r="13722" s="166" customFormat="1" x14ac:dyDescent="0.2"/>
    <row r="13723" s="166" customFormat="1" x14ac:dyDescent="0.2"/>
    <row r="13724" s="166" customFormat="1" x14ac:dyDescent="0.2"/>
    <row r="13725" s="166" customFormat="1" x14ac:dyDescent="0.2"/>
    <row r="13726" s="166" customFormat="1" x14ac:dyDescent="0.2"/>
    <row r="13727" s="166" customFormat="1" x14ac:dyDescent="0.2"/>
    <row r="13728" s="166" customFormat="1" x14ac:dyDescent="0.2"/>
    <row r="13729" s="166" customFormat="1" x14ac:dyDescent="0.2"/>
    <row r="13730" s="166" customFormat="1" x14ac:dyDescent="0.2"/>
    <row r="13731" s="166" customFormat="1" x14ac:dyDescent="0.2"/>
    <row r="13732" s="166" customFormat="1" x14ac:dyDescent="0.2"/>
    <row r="13733" s="166" customFormat="1" x14ac:dyDescent="0.2"/>
    <row r="13734" s="166" customFormat="1" x14ac:dyDescent="0.2"/>
    <row r="13735" s="166" customFormat="1" x14ac:dyDescent="0.2"/>
    <row r="13736" s="166" customFormat="1" x14ac:dyDescent="0.2"/>
    <row r="13737" s="166" customFormat="1" x14ac:dyDescent="0.2"/>
    <row r="13738" s="166" customFormat="1" x14ac:dyDescent="0.2"/>
    <row r="13739" s="166" customFormat="1" x14ac:dyDescent="0.2"/>
    <row r="13740" s="166" customFormat="1" x14ac:dyDescent="0.2"/>
    <row r="13741" s="166" customFormat="1" x14ac:dyDescent="0.2"/>
    <row r="13742" s="166" customFormat="1" x14ac:dyDescent="0.2"/>
    <row r="13743" s="166" customFormat="1" x14ac:dyDescent="0.2"/>
    <row r="13744" s="166" customFormat="1" x14ac:dyDescent="0.2"/>
    <row r="13745" s="166" customFormat="1" x14ac:dyDescent="0.2"/>
    <row r="13746" s="166" customFormat="1" x14ac:dyDescent="0.2"/>
    <row r="13747" s="166" customFormat="1" x14ac:dyDescent="0.2"/>
    <row r="13748" s="166" customFormat="1" x14ac:dyDescent="0.2"/>
    <row r="13749" s="166" customFormat="1" x14ac:dyDescent="0.2"/>
    <row r="13750" s="166" customFormat="1" x14ac:dyDescent="0.2"/>
    <row r="13751" s="166" customFormat="1" x14ac:dyDescent="0.2"/>
    <row r="13752" s="166" customFormat="1" x14ac:dyDescent="0.2"/>
    <row r="13753" s="166" customFormat="1" x14ac:dyDescent="0.2"/>
    <row r="13754" s="166" customFormat="1" x14ac:dyDescent="0.2"/>
    <row r="13755" s="166" customFormat="1" x14ac:dyDescent="0.2"/>
    <row r="13756" s="166" customFormat="1" x14ac:dyDescent="0.2"/>
    <row r="13757" s="166" customFormat="1" x14ac:dyDescent="0.2"/>
    <row r="13758" s="166" customFormat="1" x14ac:dyDescent="0.2"/>
    <row r="13759" s="166" customFormat="1" x14ac:dyDescent="0.2"/>
    <row r="13760" s="166" customFormat="1" x14ac:dyDescent="0.2"/>
    <row r="13761" s="166" customFormat="1" x14ac:dyDescent="0.2"/>
    <row r="13762" s="166" customFormat="1" x14ac:dyDescent="0.2"/>
    <row r="13763" s="166" customFormat="1" x14ac:dyDescent="0.2"/>
    <row r="13764" s="166" customFormat="1" x14ac:dyDescent="0.2"/>
    <row r="13765" s="166" customFormat="1" x14ac:dyDescent="0.2"/>
    <row r="13766" s="166" customFormat="1" x14ac:dyDescent="0.2"/>
    <row r="13767" s="166" customFormat="1" x14ac:dyDescent="0.2"/>
    <row r="13768" s="166" customFormat="1" x14ac:dyDescent="0.2"/>
    <row r="13769" s="166" customFormat="1" x14ac:dyDescent="0.2"/>
    <row r="13770" s="166" customFormat="1" x14ac:dyDescent="0.2"/>
    <row r="13771" s="166" customFormat="1" x14ac:dyDescent="0.2"/>
    <row r="13772" s="166" customFormat="1" x14ac:dyDescent="0.2"/>
    <row r="13773" s="166" customFormat="1" x14ac:dyDescent="0.2"/>
    <row r="13774" s="166" customFormat="1" x14ac:dyDescent="0.2"/>
    <row r="13775" s="166" customFormat="1" x14ac:dyDescent="0.2"/>
    <row r="13776" s="166" customFormat="1" x14ac:dyDescent="0.2"/>
    <row r="13777" s="166" customFormat="1" x14ac:dyDescent="0.2"/>
    <row r="13778" s="166" customFormat="1" x14ac:dyDescent="0.2"/>
    <row r="13779" s="166" customFormat="1" x14ac:dyDescent="0.2"/>
    <row r="13780" s="166" customFormat="1" x14ac:dyDescent="0.2"/>
    <row r="13781" s="166" customFormat="1" x14ac:dyDescent="0.2"/>
    <row r="13782" s="166" customFormat="1" x14ac:dyDescent="0.2"/>
    <row r="13783" s="166" customFormat="1" x14ac:dyDescent="0.2"/>
    <row r="13784" s="166" customFormat="1" x14ac:dyDescent="0.2"/>
    <row r="13785" s="166" customFormat="1" x14ac:dyDescent="0.2"/>
    <row r="13786" s="166" customFormat="1" x14ac:dyDescent="0.2"/>
    <row r="13787" s="166" customFormat="1" x14ac:dyDescent="0.2"/>
    <row r="13788" s="166" customFormat="1" x14ac:dyDescent="0.2"/>
    <row r="13789" s="166" customFormat="1" x14ac:dyDescent="0.2"/>
    <row r="13790" s="166" customFormat="1" x14ac:dyDescent="0.2"/>
    <row r="13791" s="166" customFormat="1" x14ac:dyDescent="0.2"/>
    <row r="13792" s="166" customFormat="1" x14ac:dyDescent="0.2"/>
    <row r="13793" s="166" customFormat="1" x14ac:dyDescent="0.2"/>
    <row r="13794" s="166" customFormat="1" x14ac:dyDescent="0.2"/>
    <row r="13795" s="166" customFormat="1" x14ac:dyDescent="0.2"/>
    <row r="13796" s="166" customFormat="1" x14ac:dyDescent="0.2"/>
    <row r="13797" s="166" customFormat="1" x14ac:dyDescent="0.2"/>
    <row r="13798" s="166" customFormat="1" x14ac:dyDescent="0.2"/>
    <row r="13799" s="166" customFormat="1" x14ac:dyDescent="0.2"/>
    <row r="13800" s="166" customFormat="1" x14ac:dyDescent="0.2"/>
    <row r="13801" s="166" customFormat="1" x14ac:dyDescent="0.2"/>
    <row r="13802" s="166" customFormat="1" x14ac:dyDescent="0.2"/>
    <row r="13803" s="166" customFormat="1" x14ac:dyDescent="0.2"/>
    <row r="13804" s="166" customFormat="1" x14ac:dyDescent="0.2"/>
    <row r="13805" s="166" customFormat="1" x14ac:dyDescent="0.2"/>
    <row r="13806" s="166" customFormat="1" x14ac:dyDescent="0.2"/>
    <row r="13807" s="166" customFormat="1" x14ac:dyDescent="0.2"/>
    <row r="13808" s="166" customFormat="1" x14ac:dyDescent="0.2"/>
    <row r="13809" s="166" customFormat="1" x14ac:dyDescent="0.2"/>
    <row r="13810" s="166" customFormat="1" x14ac:dyDescent="0.2"/>
    <row r="13811" s="166" customFormat="1" x14ac:dyDescent="0.2"/>
    <row r="13812" s="166" customFormat="1" x14ac:dyDescent="0.2"/>
    <row r="13813" s="166" customFormat="1" x14ac:dyDescent="0.2"/>
    <row r="13814" s="166" customFormat="1" x14ac:dyDescent="0.2"/>
    <row r="13815" s="166" customFormat="1" x14ac:dyDescent="0.2"/>
    <row r="13816" s="166" customFormat="1" x14ac:dyDescent="0.2"/>
    <row r="13817" s="166" customFormat="1" x14ac:dyDescent="0.2"/>
    <row r="13818" s="166" customFormat="1" x14ac:dyDescent="0.2"/>
    <row r="13819" s="166" customFormat="1" x14ac:dyDescent="0.2"/>
    <row r="13820" s="166" customFormat="1" x14ac:dyDescent="0.2"/>
    <row r="13821" s="166" customFormat="1" x14ac:dyDescent="0.2"/>
    <row r="13822" s="166" customFormat="1" x14ac:dyDescent="0.2"/>
    <row r="13823" s="166" customFormat="1" x14ac:dyDescent="0.2"/>
    <row r="13824" s="166" customFormat="1" x14ac:dyDescent="0.2"/>
    <row r="13825" s="166" customFormat="1" x14ac:dyDescent="0.2"/>
    <row r="13826" s="166" customFormat="1" x14ac:dyDescent="0.2"/>
    <row r="13827" s="166" customFormat="1" x14ac:dyDescent="0.2"/>
    <row r="13828" s="166" customFormat="1" x14ac:dyDescent="0.2"/>
    <row r="13829" s="166" customFormat="1" x14ac:dyDescent="0.2"/>
    <row r="13830" s="166" customFormat="1" x14ac:dyDescent="0.2"/>
    <row r="13831" s="166" customFormat="1" x14ac:dyDescent="0.2"/>
    <row r="13832" s="166" customFormat="1" x14ac:dyDescent="0.2"/>
    <row r="13833" s="166" customFormat="1" x14ac:dyDescent="0.2"/>
    <row r="13834" s="166" customFormat="1" x14ac:dyDescent="0.2"/>
    <row r="13835" s="166" customFormat="1" x14ac:dyDescent="0.2"/>
    <row r="13836" s="166" customFormat="1" x14ac:dyDescent="0.2"/>
    <row r="13837" s="166" customFormat="1" x14ac:dyDescent="0.2"/>
    <row r="13838" s="166" customFormat="1" x14ac:dyDescent="0.2"/>
    <row r="13839" s="166" customFormat="1" x14ac:dyDescent="0.2"/>
    <row r="13840" s="166" customFormat="1" x14ac:dyDescent="0.2"/>
    <row r="13841" s="166" customFormat="1" x14ac:dyDescent="0.2"/>
    <row r="13842" s="166" customFormat="1" x14ac:dyDescent="0.2"/>
    <row r="13843" s="166" customFormat="1" x14ac:dyDescent="0.2"/>
    <row r="13844" s="166" customFormat="1" x14ac:dyDescent="0.2"/>
    <row r="13845" s="166" customFormat="1" x14ac:dyDescent="0.2"/>
    <row r="13846" s="166" customFormat="1" x14ac:dyDescent="0.2"/>
    <row r="13847" s="166" customFormat="1" x14ac:dyDescent="0.2"/>
    <row r="13848" s="166" customFormat="1" x14ac:dyDescent="0.2"/>
    <row r="13849" s="166" customFormat="1" x14ac:dyDescent="0.2"/>
    <row r="13850" s="166" customFormat="1" x14ac:dyDescent="0.2"/>
    <row r="13851" s="166" customFormat="1" x14ac:dyDescent="0.2"/>
    <row r="13852" s="166" customFormat="1" x14ac:dyDescent="0.2"/>
    <row r="13853" s="166" customFormat="1" x14ac:dyDescent="0.2"/>
    <row r="13854" s="166" customFormat="1" x14ac:dyDescent="0.2"/>
    <row r="13855" s="166" customFormat="1" x14ac:dyDescent="0.2"/>
    <row r="13856" s="166" customFormat="1" x14ac:dyDescent="0.2"/>
    <row r="13857" s="166" customFormat="1" x14ac:dyDescent="0.2"/>
    <row r="13858" s="166" customFormat="1" x14ac:dyDescent="0.2"/>
    <row r="13859" s="166" customFormat="1" x14ac:dyDescent="0.2"/>
    <row r="13860" s="166" customFormat="1" x14ac:dyDescent="0.2"/>
    <row r="13861" s="166" customFormat="1" x14ac:dyDescent="0.2"/>
    <row r="13862" s="166" customFormat="1" x14ac:dyDescent="0.2"/>
    <row r="13863" s="166" customFormat="1" x14ac:dyDescent="0.2"/>
    <row r="13864" s="166" customFormat="1" x14ac:dyDescent="0.2"/>
    <row r="13865" s="166" customFormat="1" x14ac:dyDescent="0.2"/>
    <row r="13866" s="166" customFormat="1" x14ac:dyDescent="0.2"/>
    <row r="13867" s="166" customFormat="1" x14ac:dyDescent="0.2"/>
    <row r="13868" s="166" customFormat="1" x14ac:dyDescent="0.2"/>
    <row r="13869" s="166" customFormat="1" x14ac:dyDescent="0.2"/>
    <row r="13870" s="166" customFormat="1" x14ac:dyDescent="0.2"/>
    <row r="13871" s="166" customFormat="1" x14ac:dyDescent="0.2"/>
    <row r="13872" s="166" customFormat="1" x14ac:dyDescent="0.2"/>
    <row r="13873" s="166" customFormat="1" x14ac:dyDescent="0.2"/>
    <row r="13874" s="166" customFormat="1" x14ac:dyDescent="0.2"/>
    <row r="13875" s="166" customFormat="1" x14ac:dyDescent="0.2"/>
    <row r="13876" s="166" customFormat="1" x14ac:dyDescent="0.2"/>
    <row r="13877" s="166" customFormat="1" x14ac:dyDescent="0.2"/>
    <row r="13878" s="166" customFormat="1" x14ac:dyDescent="0.2"/>
    <row r="13879" s="166" customFormat="1" x14ac:dyDescent="0.2"/>
    <row r="13880" s="166" customFormat="1" x14ac:dyDescent="0.2"/>
    <row r="13881" s="166" customFormat="1" x14ac:dyDescent="0.2"/>
    <row r="13882" s="166" customFormat="1" x14ac:dyDescent="0.2"/>
    <row r="13883" s="166" customFormat="1" x14ac:dyDescent="0.2"/>
    <row r="13884" s="166" customFormat="1" x14ac:dyDescent="0.2"/>
    <row r="13885" s="166" customFormat="1" x14ac:dyDescent="0.2"/>
    <row r="13886" s="166" customFormat="1" x14ac:dyDescent="0.2"/>
    <row r="13887" s="166" customFormat="1" x14ac:dyDescent="0.2"/>
    <row r="13888" s="166" customFormat="1" x14ac:dyDescent="0.2"/>
    <row r="13889" s="166" customFormat="1" x14ac:dyDescent="0.2"/>
    <row r="13890" s="166" customFormat="1" x14ac:dyDescent="0.2"/>
    <row r="13891" s="166" customFormat="1" x14ac:dyDescent="0.2"/>
    <row r="13892" s="166" customFormat="1" x14ac:dyDescent="0.2"/>
    <row r="13893" s="166" customFormat="1" x14ac:dyDescent="0.2"/>
    <row r="13894" s="166" customFormat="1" x14ac:dyDescent="0.2"/>
    <row r="13895" s="166" customFormat="1" x14ac:dyDescent="0.2"/>
    <row r="13896" s="166" customFormat="1" x14ac:dyDescent="0.2"/>
    <row r="13897" s="166" customFormat="1" x14ac:dyDescent="0.2"/>
    <row r="13898" s="166" customFormat="1" x14ac:dyDescent="0.2"/>
    <row r="13899" s="166" customFormat="1" x14ac:dyDescent="0.2"/>
    <row r="13900" s="166" customFormat="1" x14ac:dyDescent="0.2"/>
    <row r="13901" s="166" customFormat="1" x14ac:dyDescent="0.2"/>
    <row r="13902" s="166" customFormat="1" x14ac:dyDescent="0.2"/>
    <row r="13903" s="166" customFormat="1" x14ac:dyDescent="0.2"/>
    <row r="13904" s="166" customFormat="1" x14ac:dyDescent="0.2"/>
    <row r="13905" s="166" customFormat="1" x14ac:dyDescent="0.2"/>
    <row r="13906" s="166" customFormat="1" x14ac:dyDescent="0.2"/>
    <row r="13907" s="166" customFormat="1" x14ac:dyDescent="0.2"/>
    <row r="13908" s="166" customFormat="1" x14ac:dyDescent="0.2"/>
    <row r="13909" s="166" customFormat="1" x14ac:dyDescent="0.2"/>
    <row r="13910" s="166" customFormat="1" x14ac:dyDescent="0.2"/>
    <row r="13911" s="166" customFormat="1" x14ac:dyDescent="0.2"/>
    <row r="13912" s="166" customFormat="1" x14ac:dyDescent="0.2"/>
    <row r="13913" s="166" customFormat="1" x14ac:dyDescent="0.2"/>
    <row r="13914" s="166" customFormat="1" x14ac:dyDescent="0.2"/>
    <row r="13915" s="166" customFormat="1" x14ac:dyDescent="0.2"/>
    <row r="13916" s="166" customFormat="1" x14ac:dyDescent="0.2"/>
    <row r="13917" s="166" customFormat="1" x14ac:dyDescent="0.2"/>
    <row r="13918" s="166" customFormat="1" x14ac:dyDescent="0.2"/>
    <row r="13919" s="166" customFormat="1" x14ac:dyDescent="0.2"/>
    <row r="13920" s="166" customFormat="1" x14ac:dyDescent="0.2"/>
    <row r="13921" s="166" customFormat="1" x14ac:dyDescent="0.2"/>
    <row r="13922" s="166" customFormat="1" x14ac:dyDescent="0.2"/>
    <row r="13923" s="166" customFormat="1" x14ac:dyDescent="0.2"/>
    <row r="13924" s="166" customFormat="1" x14ac:dyDescent="0.2"/>
    <row r="13925" s="166" customFormat="1" x14ac:dyDescent="0.2"/>
    <row r="13926" s="166" customFormat="1" x14ac:dyDescent="0.2"/>
    <row r="13927" s="166" customFormat="1" x14ac:dyDescent="0.2"/>
    <row r="13928" s="166" customFormat="1" x14ac:dyDescent="0.2"/>
    <row r="13929" s="166" customFormat="1" x14ac:dyDescent="0.2"/>
    <row r="13930" s="166" customFormat="1" x14ac:dyDescent="0.2"/>
    <row r="13931" s="166" customFormat="1" x14ac:dyDescent="0.2"/>
    <row r="13932" s="166" customFormat="1" x14ac:dyDescent="0.2"/>
    <row r="13933" s="166" customFormat="1" x14ac:dyDescent="0.2"/>
    <row r="13934" s="166" customFormat="1" x14ac:dyDescent="0.2"/>
    <row r="13935" s="166" customFormat="1" x14ac:dyDescent="0.2"/>
    <row r="13936" s="166" customFormat="1" x14ac:dyDescent="0.2"/>
    <row r="13937" s="166" customFormat="1" x14ac:dyDescent="0.2"/>
    <row r="13938" s="166" customFormat="1" x14ac:dyDescent="0.2"/>
    <row r="13939" s="166" customFormat="1" x14ac:dyDescent="0.2"/>
    <row r="13940" s="166" customFormat="1" x14ac:dyDescent="0.2"/>
    <row r="13941" s="166" customFormat="1" x14ac:dyDescent="0.2"/>
    <row r="13942" s="166" customFormat="1" x14ac:dyDescent="0.2"/>
    <row r="13943" s="166" customFormat="1" x14ac:dyDescent="0.2"/>
    <row r="13944" s="166" customFormat="1" x14ac:dyDescent="0.2"/>
    <row r="13945" s="166" customFormat="1" x14ac:dyDescent="0.2"/>
    <row r="13946" s="166" customFormat="1" x14ac:dyDescent="0.2"/>
    <row r="13947" s="166" customFormat="1" x14ac:dyDescent="0.2"/>
    <row r="13948" s="166" customFormat="1" x14ac:dyDescent="0.2"/>
    <row r="13949" s="166" customFormat="1" x14ac:dyDescent="0.2"/>
    <row r="13950" s="166" customFormat="1" x14ac:dyDescent="0.2"/>
    <row r="13951" s="166" customFormat="1" x14ac:dyDescent="0.2"/>
    <row r="13952" s="166" customFormat="1" x14ac:dyDescent="0.2"/>
    <row r="13953" s="166" customFormat="1" x14ac:dyDescent="0.2"/>
    <row r="13954" s="166" customFormat="1" x14ac:dyDescent="0.2"/>
    <row r="13955" s="166" customFormat="1" x14ac:dyDescent="0.2"/>
    <row r="13956" s="166" customFormat="1" x14ac:dyDescent="0.2"/>
    <row r="13957" s="166" customFormat="1" x14ac:dyDescent="0.2"/>
    <row r="13958" s="166" customFormat="1" x14ac:dyDescent="0.2"/>
    <row r="13959" s="166" customFormat="1" x14ac:dyDescent="0.2"/>
    <row r="13960" s="166" customFormat="1" x14ac:dyDescent="0.2"/>
    <row r="13961" s="166" customFormat="1" x14ac:dyDescent="0.2"/>
    <row r="13962" s="166" customFormat="1" x14ac:dyDescent="0.2"/>
    <row r="13963" s="166" customFormat="1" x14ac:dyDescent="0.2"/>
    <row r="13964" s="166" customFormat="1" x14ac:dyDescent="0.2"/>
    <row r="13965" s="166" customFormat="1" x14ac:dyDescent="0.2"/>
    <row r="13966" s="166" customFormat="1" x14ac:dyDescent="0.2"/>
    <row r="13967" s="166" customFormat="1" x14ac:dyDescent="0.2"/>
    <row r="13968" s="166" customFormat="1" x14ac:dyDescent="0.2"/>
    <row r="13969" s="166" customFormat="1" x14ac:dyDescent="0.2"/>
    <row r="13970" s="166" customFormat="1" x14ac:dyDescent="0.2"/>
    <row r="13971" s="166" customFormat="1" x14ac:dyDescent="0.2"/>
    <row r="13972" s="166" customFormat="1" x14ac:dyDescent="0.2"/>
    <row r="13973" s="166" customFormat="1" x14ac:dyDescent="0.2"/>
    <row r="13974" s="166" customFormat="1" x14ac:dyDescent="0.2"/>
    <row r="13975" s="166" customFormat="1" x14ac:dyDescent="0.2"/>
    <row r="13976" s="166" customFormat="1" x14ac:dyDescent="0.2"/>
    <row r="13977" s="166" customFormat="1" x14ac:dyDescent="0.2"/>
    <row r="13978" s="166" customFormat="1" x14ac:dyDescent="0.2"/>
    <row r="13979" s="166" customFormat="1" x14ac:dyDescent="0.2"/>
    <row r="13980" s="166" customFormat="1" x14ac:dyDescent="0.2"/>
    <row r="13981" s="166" customFormat="1" x14ac:dyDescent="0.2"/>
    <row r="13982" s="166" customFormat="1" x14ac:dyDescent="0.2"/>
    <row r="13983" s="166" customFormat="1" x14ac:dyDescent="0.2"/>
    <row r="13984" s="166" customFormat="1" x14ac:dyDescent="0.2"/>
    <row r="13985" s="166" customFormat="1" x14ac:dyDescent="0.2"/>
    <row r="13986" s="166" customFormat="1" x14ac:dyDescent="0.2"/>
    <row r="13987" s="166" customFormat="1" x14ac:dyDescent="0.2"/>
    <row r="13988" s="166" customFormat="1" x14ac:dyDescent="0.2"/>
    <row r="13989" s="166" customFormat="1" x14ac:dyDescent="0.2"/>
    <row r="13990" s="166" customFormat="1" x14ac:dyDescent="0.2"/>
    <row r="13991" s="166" customFormat="1" x14ac:dyDescent="0.2"/>
    <row r="13992" s="166" customFormat="1" x14ac:dyDescent="0.2"/>
    <row r="13993" s="166" customFormat="1" x14ac:dyDescent="0.2"/>
    <row r="13994" s="166" customFormat="1" x14ac:dyDescent="0.2"/>
    <row r="13995" s="166" customFormat="1" x14ac:dyDescent="0.2"/>
    <row r="13996" s="166" customFormat="1" x14ac:dyDescent="0.2"/>
    <row r="13997" s="166" customFormat="1" x14ac:dyDescent="0.2"/>
    <row r="13998" s="166" customFormat="1" x14ac:dyDescent="0.2"/>
    <row r="13999" s="166" customFormat="1" x14ac:dyDescent="0.2"/>
    <row r="14000" s="166" customFormat="1" x14ac:dyDescent="0.2"/>
    <row r="14001" s="166" customFormat="1" x14ac:dyDescent="0.2"/>
    <row r="14002" s="166" customFormat="1" x14ac:dyDescent="0.2"/>
    <row r="14003" s="166" customFormat="1" x14ac:dyDescent="0.2"/>
    <row r="14004" s="166" customFormat="1" x14ac:dyDescent="0.2"/>
    <row r="14005" s="166" customFormat="1" x14ac:dyDescent="0.2"/>
    <row r="14006" s="166" customFormat="1" x14ac:dyDescent="0.2"/>
    <row r="14007" s="166" customFormat="1" x14ac:dyDescent="0.2"/>
    <row r="14008" s="166" customFormat="1" x14ac:dyDescent="0.2"/>
    <row r="14009" s="166" customFormat="1" x14ac:dyDescent="0.2"/>
    <row r="14010" s="166" customFormat="1" x14ac:dyDescent="0.2"/>
    <row r="14011" s="166" customFormat="1" x14ac:dyDescent="0.2"/>
    <row r="14012" s="166" customFormat="1" x14ac:dyDescent="0.2"/>
    <row r="14013" s="166" customFormat="1" x14ac:dyDescent="0.2"/>
    <row r="14014" s="166" customFormat="1" x14ac:dyDescent="0.2"/>
    <row r="14015" s="166" customFormat="1" x14ac:dyDescent="0.2"/>
    <row r="14016" s="166" customFormat="1" x14ac:dyDescent="0.2"/>
    <row r="14017" s="166" customFormat="1" x14ac:dyDescent="0.2"/>
    <row r="14018" s="166" customFormat="1" x14ac:dyDescent="0.2"/>
    <row r="14019" s="166" customFormat="1" x14ac:dyDescent="0.2"/>
    <row r="14020" s="166" customFormat="1" x14ac:dyDescent="0.2"/>
    <row r="14021" s="166" customFormat="1" x14ac:dyDescent="0.2"/>
    <row r="14022" s="166" customFormat="1" x14ac:dyDescent="0.2"/>
    <row r="14023" s="166" customFormat="1" x14ac:dyDescent="0.2"/>
    <row r="14024" s="166" customFormat="1" x14ac:dyDescent="0.2"/>
    <row r="14025" s="166" customFormat="1" x14ac:dyDescent="0.2"/>
    <row r="14026" s="166" customFormat="1" x14ac:dyDescent="0.2"/>
    <row r="14027" s="166" customFormat="1" x14ac:dyDescent="0.2"/>
    <row r="14028" s="166" customFormat="1" x14ac:dyDescent="0.2"/>
    <row r="14029" s="166" customFormat="1" x14ac:dyDescent="0.2"/>
    <row r="14030" s="166" customFormat="1" x14ac:dyDescent="0.2"/>
    <row r="14031" s="166" customFormat="1" x14ac:dyDescent="0.2"/>
    <row r="14032" s="166" customFormat="1" x14ac:dyDescent="0.2"/>
    <row r="14033" s="166" customFormat="1" x14ac:dyDescent="0.2"/>
    <row r="14034" s="166" customFormat="1" x14ac:dyDescent="0.2"/>
    <row r="14035" s="166" customFormat="1" x14ac:dyDescent="0.2"/>
    <row r="14036" s="166" customFormat="1" x14ac:dyDescent="0.2"/>
    <row r="14037" s="166" customFormat="1" x14ac:dyDescent="0.2"/>
    <row r="14038" s="166" customFormat="1" x14ac:dyDescent="0.2"/>
    <row r="14039" s="166" customFormat="1" x14ac:dyDescent="0.2"/>
    <row r="14040" s="166" customFormat="1" x14ac:dyDescent="0.2"/>
    <row r="14041" s="166" customFormat="1" x14ac:dyDescent="0.2"/>
    <row r="14042" s="166" customFormat="1" x14ac:dyDescent="0.2"/>
    <row r="14043" s="166" customFormat="1" x14ac:dyDescent="0.2"/>
    <row r="14044" s="166" customFormat="1" x14ac:dyDescent="0.2"/>
    <row r="14045" s="166" customFormat="1" x14ac:dyDescent="0.2"/>
    <row r="14046" s="166" customFormat="1" x14ac:dyDescent="0.2"/>
    <row r="14047" s="166" customFormat="1" x14ac:dyDescent="0.2"/>
    <row r="14048" s="166" customFormat="1" x14ac:dyDescent="0.2"/>
    <row r="14049" s="166" customFormat="1" x14ac:dyDescent="0.2"/>
    <row r="14050" s="166" customFormat="1" x14ac:dyDescent="0.2"/>
    <row r="14051" s="166" customFormat="1" x14ac:dyDescent="0.2"/>
    <row r="14052" s="166" customFormat="1" x14ac:dyDescent="0.2"/>
    <row r="14053" s="166" customFormat="1" x14ac:dyDescent="0.2"/>
    <row r="14054" s="166" customFormat="1" x14ac:dyDescent="0.2"/>
    <row r="14055" s="166" customFormat="1" x14ac:dyDescent="0.2"/>
    <row r="14056" s="166" customFormat="1" x14ac:dyDescent="0.2"/>
    <row r="14057" s="166" customFormat="1" x14ac:dyDescent="0.2"/>
    <row r="14058" s="166" customFormat="1" x14ac:dyDescent="0.2"/>
    <row r="14059" s="166" customFormat="1" x14ac:dyDescent="0.2"/>
    <row r="14060" s="166" customFormat="1" x14ac:dyDescent="0.2"/>
    <row r="14061" s="166" customFormat="1" x14ac:dyDescent="0.2"/>
    <row r="14062" s="166" customFormat="1" x14ac:dyDescent="0.2"/>
    <row r="14063" s="166" customFormat="1" x14ac:dyDescent="0.2"/>
    <row r="14064" s="166" customFormat="1" x14ac:dyDescent="0.2"/>
    <row r="14065" s="166" customFormat="1" x14ac:dyDescent="0.2"/>
    <row r="14066" s="166" customFormat="1" x14ac:dyDescent="0.2"/>
    <row r="14067" s="166" customFormat="1" x14ac:dyDescent="0.2"/>
    <row r="14068" s="166" customFormat="1" x14ac:dyDescent="0.2"/>
    <row r="14069" s="166" customFormat="1" x14ac:dyDescent="0.2"/>
    <row r="14070" s="166" customFormat="1" x14ac:dyDescent="0.2"/>
    <row r="14071" s="166" customFormat="1" x14ac:dyDescent="0.2"/>
    <row r="14072" s="166" customFormat="1" x14ac:dyDescent="0.2"/>
    <row r="14073" s="166" customFormat="1" x14ac:dyDescent="0.2"/>
    <row r="14074" s="166" customFormat="1" x14ac:dyDescent="0.2"/>
    <row r="14075" s="166" customFormat="1" x14ac:dyDescent="0.2"/>
    <row r="14076" s="166" customFormat="1" x14ac:dyDescent="0.2"/>
    <row r="14077" s="166" customFormat="1" x14ac:dyDescent="0.2"/>
    <row r="14078" s="166" customFormat="1" x14ac:dyDescent="0.2"/>
    <row r="14079" s="166" customFormat="1" x14ac:dyDescent="0.2"/>
    <row r="14080" s="166" customFormat="1" x14ac:dyDescent="0.2"/>
    <row r="14081" s="166" customFormat="1" x14ac:dyDescent="0.2"/>
    <row r="14082" s="166" customFormat="1" x14ac:dyDescent="0.2"/>
    <row r="14083" s="166" customFormat="1" x14ac:dyDescent="0.2"/>
    <row r="14084" s="166" customFormat="1" x14ac:dyDescent="0.2"/>
    <row r="14085" s="166" customFormat="1" x14ac:dyDescent="0.2"/>
    <row r="14086" s="166" customFormat="1" x14ac:dyDescent="0.2"/>
    <row r="14087" s="166" customFormat="1" x14ac:dyDescent="0.2"/>
    <row r="14088" s="166" customFormat="1" x14ac:dyDescent="0.2"/>
    <row r="14089" s="166" customFormat="1" x14ac:dyDescent="0.2"/>
    <row r="14090" s="166" customFormat="1" x14ac:dyDescent="0.2"/>
    <row r="14091" s="166" customFormat="1" x14ac:dyDescent="0.2"/>
    <row r="14092" s="166" customFormat="1" x14ac:dyDescent="0.2"/>
    <row r="14093" s="166" customFormat="1" x14ac:dyDescent="0.2"/>
    <row r="14094" s="166" customFormat="1" x14ac:dyDescent="0.2"/>
    <row r="14095" s="166" customFormat="1" x14ac:dyDescent="0.2"/>
    <row r="14096" s="166" customFormat="1" x14ac:dyDescent="0.2"/>
    <row r="14097" s="166" customFormat="1" x14ac:dyDescent="0.2"/>
    <row r="14098" s="166" customFormat="1" x14ac:dyDescent="0.2"/>
    <row r="14099" s="166" customFormat="1" x14ac:dyDescent="0.2"/>
    <row r="14100" s="166" customFormat="1" x14ac:dyDescent="0.2"/>
    <row r="14101" s="166" customFormat="1" x14ac:dyDescent="0.2"/>
    <row r="14102" s="166" customFormat="1" x14ac:dyDescent="0.2"/>
    <row r="14103" s="166" customFormat="1" x14ac:dyDescent="0.2"/>
    <row r="14104" s="166" customFormat="1" x14ac:dyDescent="0.2"/>
    <row r="14105" s="166" customFormat="1" x14ac:dyDescent="0.2"/>
    <row r="14106" s="166" customFormat="1" x14ac:dyDescent="0.2"/>
    <row r="14107" s="166" customFormat="1" x14ac:dyDescent="0.2"/>
    <row r="14108" s="166" customFormat="1" x14ac:dyDescent="0.2"/>
    <row r="14109" s="166" customFormat="1" x14ac:dyDescent="0.2"/>
    <row r="14110" s="166" customFormat="1" x14ac:dyDescent="0.2"/>
    <row r="14111" s="166" customFormat="1" x14ac:dyDescent="0.2"/>
    <row r="14112" s="166" customFormat="1" x14ac:dyDescent="0.2"/>
    <row r="14113" s="166" customFormat="1" x14ac:dyDescent="0.2"/>
    <row r="14114" s="166" customFormat="1" x14ac:dyDescent="0.2"/>
    <row r="14115" s="166" customFormat="1" x14ac:dyDescent="0.2"/>
    <row r="14116" s="166" customFormat="1" x14ac:dyDescent="0.2"/>
    <row r="14117" s="166" customFormat="1" x14ac:dyDescent="0.2"/>
    <row r="14118" s="166" customFormat="1" x14ac:dyDescent="0.2"/>
    <row r="14119" s="166" customFormat="1" x14ac:dyDescent="0.2"/>
    <row r="14120" s="166" customFormat="1" x14ac:dyDescent="0.2"/>
    <row r="14121" s="166" customFormat="1" x14ac:dyDescent="0.2"/>
    <row r="14122" s="166" customFormat="1" x14ac:dyDescent="0.2"/>
    <row r="14123" s="166" customFormat="1" x14ac:dyDescent="0.2"/>
    <row r="14124" s="166" customFormat="1" x14ac:dyDescent="0.2"/>
    <row r="14125" s="166" customFormat="1" x14ac:dyDescent="0.2"/>
    <row r="14126" s="166" customFormat="1" x14ac:dyDescent="0.2"/>
    <row r="14127" s="166" customFormat="1" x14ac:dyDescent="0.2"/>
    <row r="14128" s="166" customFormat="1" x14ac:dyDescent="0.2"/>
    <row r="14129" s="166" customFormat="1" x14ac:dyDescent="0.2"/>
    <row r="14130" s="166" customFormat="1" x14ac:dyDescent="0.2"/>
    <row r="14131" s="166" customFormat="1" x14ac:dyDescent="0.2"/>
    <row r="14132" s="166" customFormat="1" x14ac:dyDescent="0.2"/>
    <row r="14133" s="166" customFormat="1" x14ac:dyDescent="0.2"/>
    <row r="14134" s="166" customFormat="1" x14ac:dyDescent="0.2"/>
    <row r="14135" s="166" customFormat="1" x14ac:dyDescent="0.2"/>
    <row r="14136" s="166" customFormat="1" x14ac:dyDescent="0.2"/>
    <row r="14137" s="166" customFormat="1" x14ac:dyDescent="0.2"/>
    <row r="14138" s="166" customFormat="1" x14ac:dyDescent="0.2"/>
    <row r="14139" s="166" customFormat="1" x14ac:dyDescent="0.2"/>
    <row r="14140" s="166" customFormat="1" x14ac:dyDescent="0.2"/>
    <row r="14141" s="166" customFormat="1" x14ac:dyDescent="0.2"/>
    <row r="14142" s="166" customFormat="1" x14ac:dyDescent="0.2"/>
    <row r="14143" s="166" customFormat="1" x14ac:dyDescent="0.2"/>
    <row r="14144" s="166" customFormat="1" x14ac:dyDescent="0.2"/>
    <row r="14145" s="166" customFormat="1" x14ac:dyDescent="0.2"/>
    <row r="14146" s="166" customFormat="1" x14ac:dyDescent="0.2"/>
    <row r="14147" s="166" customFormat="1" x14ac:dyDescent="0.2"/>
    <row r="14148" s="166" customFormat="1" x14ac:dyDescent="0.2"/>
    <row r="14149" s="166" customFormat="1" x14ac:dyDescent="0.2"/>
    <row r="14150" s="166" customFormat="1" x14ac:dyDescent="0.2"/>
    <row r="14151" s="166" customFormat="1" x14ac:dyDescent="0.2"/>
    <row r="14152" s="166" customFormat="1" x14ac:dyDescent="0.2"/>
    <row r="14153" s="166" customFormat="1" x14ac:dyDescent="0.2"/>
    <row r="14154" s="166" customFormat="1" x14ac:dyDescent="0.2"/>
    <row r="14155" s="166" customFormat="1" x14ac:dyDescent="0.2"/>
    <row r="14156" s="166" customFormat="1" x14ac:dyDescent="0.2"/>
    <row r="14157" s="166" customFormat="1" x14ac:dyDescent="0.2"/>
    <row r="14158" s="166" customFormat="1" x14ac:dyDescent="0.2"/>
    <row r="14159" s="166" customFormat="1" x14ac:dyDescent="0.2"/>
    <row r="14160" s="166" customFormat="1" x14ac:dyDescent="0.2"/>
    <row r="14161" s="166" customFormat="1" x14ac:dyDescent="0.2"/>
    <row r="14162" s="166" customFormat="1" x14ac:dyDescent="0.2"/>
    <row r="14163" s="166" customFormat="1" x14ac:dyDescent="0.2"/>
    <row r="14164" s="166" customFormat="1" x14ac:dyDescent="0.2"/>
    <row r="14165" s="166" customFormat="1" x14ac:dyDescent="0.2"/>
    <row r="14166" s="166" customFormat="1" x14ac:dyDescent="0.2"/>
    <row r="14167" s="166" customFormat="1" x14ac:dyDescent="0.2"/>
    <row r="14168" s="166" customFormat="1" x14ac:dyDescent="0.2"/>
    <row r="14169" s="166" customFormat="1" x14ac:dyDescent="0.2"/>
    <row r="14170" s="166" customFormat="1" x14ac:dyDescent="0.2"/>
    <row r="14171" s="166" customFormat="1" x14ac:dyDescent="0.2"/>
    <row r="14172" s="166" customFormat="1" x14ac:dyDescent="0.2"/>
    <row r="14173" s="166" customFormat="1" x14ac:dyDescent="0.2"/>
    <row r="14174" s="166" customFormat="1" x14ac:dyDescent="0.2"/>
    <row r="14175" s="166" customFormat="1" x14ac:dyDescent="0.2"/>
    <row r="14176" s="166" customFormat="1" x14ac:dyDescent="0.2"/>
    <row r="14177" s="166" customFormat="1" x14ac:dyDescent="0.2"/>
    <row r="14178" s="166" customFormat="1" x14ac:dyDescent="0.2"/>
    <row r="14179" s="166" customFormat="1" x14ac:dyDescent="0.2"/>
    <row r="14180" s="166" customFormat="1" x14ac:dyDescent="0.2"/>
    <row r="14181" s="166" customFormat="1" x14ac:dyDescent="0.2"/>
    <row r="14182" s="166" customFormat="1" x14ac:dyDescent="0.2"/>
    <row r="14183" s="166" customFormat="1" x14ac:dyDescent="0.2"/>
    <row r="14184" s="166" customFormat="1" x14ac:dyDescent="0.2"/>
    <row r="14185" s="166" customFormat="1" x14ac:dyDescent="0.2"/>
    <row r="14186" s="166" customFormat="1" x14ac:dyDescent="0.2"/>
    <row r="14187" s="166" customFormat="1" x14ac:dyDescent="0.2"/>
    <row r="14188" s="166" customFormat="1" x14ac:dyDescent="0.2"/>
    <row r="14189" s="166" customFormat="1" x14ac:dyDescent="0.2"/>
    <row r="14190" s="166" customFormat="1" x14ac:dyDescent="0.2"/>
    <row r="14191" s="166" customFormat="1" x14ac:dyDescent="0.2"/>
    <row r="14192" s="166" customFormat="1" x14ac:dyDescent="0.2"/>
    <row r="14193" s="166" customFormat="1" x14ac:dyDescent="0.2"/>
    <row r="14194" s="166" customFormat="1" x14ac:dyDescent="0.2"/>
    <row r="14195" s="166" customFormat="1" x14ac:dyDescent="0.2"/>
    <row r="14196" s="166" customFormat="1" x14ac:dyDescent="0.2"/>
    <row r="14197" s="166" customFormat="1" x14ac:dyDescent="0.2"/>
    <row r="14198" s="166" customFormat="1" x14ac:dyDescent="0.2"/>
    <row r="14199" s="166" customFormat="1" x14ac:dyDescent="0.2"/>
    <row r="14200" s="166" customFormat="1" x14ac:dyDescent="0.2"/>
    <row r="14201" s="166" customFormat="1" x14ac:dyDescent="0.2"/>
    <row r="14202" s="166" customFormat="1" x14ac:dyDescent="0.2"/>
    <row r="14203" s="166" customFormat="1" x14ac:dyDescent="0.2"/>
    <row r="14204" s="166" customFormat="1" x14ac:dyDescent="0.2"/>
    <row r="14205" s="166" customFormat="1" x14ac:dyDescent="0.2"/>
    <row r="14206" s="166" customFormat="1" x14ac:dyDescent="0.2"/>
    <row r="14207" s="166" customFormat="1" x14ac:dyDescent="0.2"/>
    <row r="14208" s="166" customFormat="1" x14ac:dyDescent="0.2"/>
    <row r="14209" s="166" customFormat="1" x14ac:dyDescent="0.2"/>
    <row r="14210" s="166" customFormat="1" x14ac:dyDescent="0.2"/>
    <row r="14211" s="166" customFormat="1" x14ac:dyDescent="0.2"/>
    <row r="14212" s="166" customFormat="1" x14ac:dyDescent="0.2"/>
    <row r="14213" s="166" customFormat="1" x14ac:dyDescent="0.2"/>
    <row r="14214" s="166" customFormat="1" x14ac:dyDescent="0.2"/>
    <row r="14215" s="166" customFormat="1" x14ac:dyDescent="0.2"/>
    <row r="14216" s="166" customFormat="1" x14ac:dyDescent="0.2"/>
    <row r="14217" s="166" customFormat="1" x14ac:dyDescent="0.2"/>
    <row r="14218" s="166" customFormat="1" x14ac:dyDescent="0.2"/>
    <row r="14219" s="166" customFormat="1" x14ac:dyDescent="0.2"/>
    <row r="14220" s="166" customFormat="1" x14ac:dyDescent="0.2"/>
    <row r="14221" s="166" customFormat="1" x14ac:dyDescent="0.2"/>
    <row r="14222" s="166" customFormat="1" x14ac:dyDescent="0.2"/>
    <row r="14223" s="166" customFormat="1" x14ac:dyDescent="0.2"/>
    <row r="14224" s="166" customFormat="1" x14ac:dyDescent="0.2"/>
    <row r="14225" s="166" customFormat="1" x14ac:dyDescent="0.2"/>
    <row r="14226" s="166" customFormat="1" x14ac:dyDescent="0.2"/>
    <row r="14227" s="166" customFormat="1" x14ac:dyDescent="0.2"/>
    <row r="14228" s="166" customFormat="1" x14ac:dyDescent="0.2"/>
    <row r="14229" s="166" customFormat="1" x14ac:dyDescent="0.2"/>
    <row r="14230" s="166" customFormat="1" x14ac:dyDescent="0.2"/>
    <row r="14231" s="166" customFormat="1" x14ac:dyDescent="0.2"/>
    <row r="14232" s="166" customFormat="1" x14ac:dyDescent="0.2"/>
    <row r="14233" s="166" customFormat="1" x14ac:dyDescent="0.2"/>
    <row r="14234" s="166" customFormat="1" x14ac:dyDescent="0.2"/>
    <row r="14235" s="166" customFormat="1" x14ac:dyDescent="0.2"/>
    <row r="14236" s="166" customFormat="1" x14ac:dyDescent="0.2"/>
    <row r="14237" s="166" customFormat="1" x14ac:dyDescent="0.2"/>
    <row r="14238" s="166" customFormat="1" x14ac:dyDescent="0.2"/>
    <row r="14239" s="166" customFormat="1" x14ac:dyDescent="0.2"/>
    <row r="14240" s="166" customFormat="1" x14ac:dyDescent="0.2"/>
    <row r="14241" s="166" customFormat="1" x14ac:dyDescent="0.2"/>
    <row r="14242" s="166" customFormat="1" x14ac:dyDescent="0.2"/>
    <row r="14243" s="166" customFormat="1" x14ac:dyDescent="0.2"/>
    <row r="14244" s="166" customFormat="1" x14ac:dyDescent="0.2"/>
    <row r="14245" s="166" customFormat="1" x14ac:dyDescent="0.2"/>
    <row r="14246" s="166" customFormat="1" x14ac:dyDescent="0.2"/>
    <row r="14247" s="166" customFormat="1" x14ac:dyDescent="0.2"/>
    <row r="14248" s="166" customFormat="1" x14ac:dyDescent="0.2"/>
    <row r="14249" s="166" customFormat="1" x14ac:dyDescent="0.2"/>
    <row r="14250" s="166" customFormat="1" x14ac:dyDescent="0.2"/>
    <row r="14251" s="166" customFormat="1" x14ac:dyDescent="0.2"/>
    <row r="14252" s="166" customFormat="1" x14ac:dyDescent="0.2"/>
    <row r="14253" s="166" customFormat="1" x14ac:dyDescent="0.2"/>
    <row r="14254" s="166" customFormat="1" x14ac:dyDescent="0.2"/>
    <row r="14255" s="166" customFormat="1" x14ac:dyDescent="0.2"/>
    <row r="14256" s="166" customFormat="1" x14ac:dyDescent="0.2"/>
    <row r="14257" s="166" customFormat="1" x14ac:dyDescent="0.2"/>
    <row r="14258" s="166" customFormat="1" x14ac:dyDescent="0.2"/>
    <row r="14259" s="166" customFormat="1" x14ac:dyDescent="0.2"/>
    <row r="14260" s="166" customFormat="1" x14ac:dyDescent="0.2"/>
    <row r="14261" s="166" customFormat="1" x14ac:dyDescent="0.2"/>
    <row r="14262" s="166" customFormat="1" x14ac:dyDescent="0.2"/>
    <row r="14263" s="166" customFormat="1" x14ac:dyDescent="0.2"/>
    <row r="14264" s="166" customFormat="1" x14ac:dyDescent="0.2"/>
    <row r="14265" s="166" customFormat="1" x14ac:dyDescent="0.2"/>
    <row r="14266" s="166" customFormat="1" x14ac:dyDescent="0.2"/>
    <row r="14267" s="166" customFormat="1" x14ac:dyDescent="0.2"/>
    <row r="14268" s="166" customFormat="1" x14ac:dyDescent="0.2"/>
    <row r="14269" s="166" customFormat="1" x14ac:dyDescent="0.2"/>
    <row r="14270" s="166" customFormat="1" x14ac:dyDescent="0.2"/>
    <row r="14271" s="166" customFormat="1" x14ac:dyDescent="0.2"/>
    <row r="14272" s="166" customFormat="1" x14ac:dyDescent="0.2"/>
    <row r="14273" s="166" customFormat="1" x14ac:dyDescent="0.2"/>
    <row r="14274" s="166" customFormat="1" x14ac:dyDescent="0.2"/>
    <row r="14275" s="166" customFormat="1" x14ac:dyDescent="0.2"/>
    <row r="14276" s="166" customFormat="1" x14ac:dyDescent="0.2"/>
    <row r="14277" s="166" customFormat="1" x14ac:dyDescent="0.2"/>
    <row r="14278" s="166" customFormat="1" x14ac:dyDescent="0.2"/>
    <row r="14279" s="166" customFormat="1" x14ac:dyDescent="0.2"/>
    <row r="14280" s="166" customFormat="1" x14ac:dyDescent="0.2"/>
    <row r="14281" s="166" customFormat="1" x14ac:dyDescent="0.2"/>
    <row r="14282" s="166" customFormat="1" x14ac:dyDescent="0.2"/>
    <row r="14283" s="166" customFormat="1" x14ac:dyDescent="0.2"/>
    <row r="14284" s="166" customFormat="1" x14ac:dyDescent="0.2"/>
    <row r="14285" s="166" customFormat="1" x14ac:dyDescent="0.2"/>
    <row r="14286" s="166" customFormat="1" x14ac:dyDescent="0.2"/>
    <row r="14287" s="166" customFormat="1" x14ac:dyDescent="0.2"/>
    <row r="14288" s="166" customFormat="1" x14ac:dyDescent="0.2"/>
    <row r="14289" s="166" customFormat="1" x14ac:dyDescent="0.2"/>
    <row r="14290" s="166" customFormat="1" x14ac:dyDescent="0.2"/>
    <row r="14291" s="166" customFormat="1" x14ac:dyDescent="0.2"/>
    <row r="14292" s="166" customFormat="1" x14ac:dyDescent="0.2"/>
    <row r="14293" s="166" customFormat="1" x14ac:dyDescent="0.2"/>
    <row r="14294" s="166" customFormat="1" x14ac:dyDescent="0.2"/>
    <row r="14295" s="166" customFormat="1" x14ac:dyDescent="0.2"/>
    <row r="14296" s="166" customFormat="1" x14ac:dyDescent="0.2"/>
    <row r="14297" s="166" customFormat="1" x14ac:dyDescent="0.2"/>
    <row r="14298" s="166" customFormat="1" x14ac:dyDescent="0.2"/>
    <row r="14299" s="166" customFormat="1" x14ac:dyDescent="0.2"/>
    <row r="14300" s="166" customFormat="1" x14ac:dyDescent="0.2"/>
    <row r="14301" s="166" customFormat="1" x14ac:dyDescent="0.2"/>
    <row r="14302" s="166" customFormat="1" x14ac:dyDescent="0.2"/>
    <row r="14303" s="166" customFormat="1" x14ac:dyDescent="0.2"/>
    <row r="14304" s="166" customFormat="1" x14ac:dyDescent="0.2"/>
    <row r="14305" s="166" customFormat="1" x14ac:dyDescent="0.2"/>
    <row r="14306" s="166" customFormat="1" x14ac:dyDescent="0.2"/>
    <row r="14307" s="166" customFormat="1" x14ac:dyDescent="0.2"/>
    <row r="14308" s="166" customFormat="1" x14ac:dyDescent="0.2"/>
    <row r="14309" s="166" customFormat="1" x14ac:dyDescent="0.2"/>
    <row r="14310" s="166" customFormat="1" x14ac:dyDescent="0.2"/>
    <row r="14311" s="166" customFormat="1" x14ac:dyDescent="0.2"/>
    <row r="14312" s="166" customFormat="1" x14ac:dyDescent="0.2"/>
    <row r="14313" s="166" customFormat="1" x14ac:dyDescent="0.2"/>
    <row r="14314" s="166" customFormat="1" x14ac:dyDescent="0.2"/>
    <row r="14315" s="166" customFormat="1" x14ac:dyDescent="0.2"/>
    <row r="14316" s="166" customFormat="1" x14ac:dyDescent="0.2"/>
    <row r="14317" s="166" customFormat="1" x14ac:dyDescent="0.2"/>
    <row r="14318" s="166" customFormat="1" x14ac:dyDescent="0.2"/>
    <row r="14319" s="166" customFormat="1" x14ac:dyDescent="0.2"/>
    <row r="14320" s="166" customFormat="1" x14ac:dyDescent="0.2"/>
    <row r="14321" s="166" customFormat="1" x14ac:dyDescent="0.2"/>
    <row r="14322" s="166" customFormat="1" x14ac:dyDescent="0.2"/>
    <row r="14323" s="166" customFormat="1" x14ac:dyDescent="0.2"/>
    <row r="14324" s="166" customFormat="1" x14ac:dyDescent="0.2"/>
    <row r="14325" s="166" customFormat="1" x14ac:dyDescent="0.2"/>
    <row r="14326" s="166" customFormat="1" x14ac:dyDescent="0.2"/>
    <row r="14327" s="166" customFormat="1" x14ac:dyDescent="0.2"/>
    <row r="14328" s="166" customFormat="1" x14ac:dyDescent="0.2"/>
    <row r="14329" s="166" customFormat="1" x14ac:dyDescent="0.2"/>
    <row r="14330" s="166" customFormat="1" x14ac:dyDescent="0.2"/>
    <row r="14331" s="166" customFormat="1" x14ac:dyDescent="0.2"/>
    <row r="14332" s="166" customFormat="1" x14ac:dyDescent="0.2"/>
    <row r="14333" s="166" customFormat="1" x14ac:dyDescent="0.2"/>
    <row r="14334" s="166" customFormat="1" x14ac:dyDescent="0.2"/>
    <row r="14335" s="166" customFormat="1" x14ac:dyDescent="0.2"/>
    <row r="14336" s="166" customFormat="1" x14ac:dyDescent="0.2"/>
    <row r="14337" s="166" customFormat="1" x14ac:dyDescent="0.2"/>
    <row r="14338" s="166" customFormat="1" x14ac:dyDescent="0.2"/>
    <row r="14339" s="166" customFormat="1" x14ac:dyDescent="0.2"/>
    <row r="14340" s="166" customFormat="1" x14ac:dyDescent="0.2"/>
    <row r="14341" s="166" customFormat="1" x14ac:dyDescent="0.2"/>
    <row r="14342" s="166" customFormat="1" x14ac:dyDescent="0.2"/>
    <row r="14343" s="166" customFormat="1" x14ac:dyDescent="0.2"/>
    <row r="14344" s="166" customFormat="1" x14ac:dyDescent="0.2"/>
    <row r="14345" s="166" customFormat="1" x14ac:dyDescent="0.2"/>
    <row r="14346" s="166" customFormat="1" x14ac:dyDescent="0.2"/>
    <row r="14347" s="166" customFormat="1" x14ac:dyDescent="0.2"/>
    <row r="14348" s="166" customFormat="1" x14ac:dyDescent="0.2"/>
    <row r="14349" s="166" customFormat="1" x14ac:dyDescent="0.2"/>
    <row r="14350" s="166" customFormat="1" x14ac:dyDescent="0.2"/>
    <row r="14351" s="166" customFormat="1" x14ac:dyDescent="0.2"/>
    <row r="14352" s="166" customFormat="1" x14ac:dyDescent="0.2"/>
    <row r="14353" s="166" customFormat="1" x14ac:dyDescent="0.2"/>
    <row r="14354" s="166" customFormat="1" x14ac:dyDescent="0.2"/>
    <row r="14355" s="166" customFormat="1" x14ac:dyDescent="0.2"/>
    <row r="14356" s="166" customFormat="1" x14ac:dyDescent="0.2"/>
    <row r="14357" s="166" customFormat="1" x14ac:dyDescent="0.2"/>
    <row r="14358" s="166" customFormat="1" x14ac:dyDescent="0.2"/>
    <row r="14359" s="166" customFormat="1" x14ac:dyDescent="0.2"/>
    <row r="14360" s="166" customFormat="1" x14ac:dyDescent="0.2"/>
    <row r="14361" s="166" customFormat="1" x14ac:dyDescent="0.2"/>
    <row r="14362" s="166" customFormat="1" x14ac:dyDescent="0.2"/>
    <row r="14363" s="166" customFormat="1" x14ac:dyDescent="0.2"/>
    <row r="14364" s="166" customFormat="1" x14ac:dyDescent="0.2"/>
    <row r="14365" s="166" customFormat="1" x14ac:dyDescent="0.2"/>
    <row r="14366" s="166" customFormat="1" x14ac:dyDescent="0.2"/>
    <row r="14367" s="166" customFormat="1" x14ac:dyDescent="0.2"/>
    <row r="14368" s="166" customFormat="1" x14ac:dyDescent="0.2"/>
    <row r="14369" s="166" customFormat="1" x14ac:dyDescent="0.2"/>
    <row r="14370" s="166" customFormat="1" x14ac:dyDescent="0.2"/>
    <row r="14371" s="166" customFormat="1" x14ac:dyDescent="0.2"/>
    <row r="14372" s="166" customFormat="1" x14ac:dyDescent="0.2"/>
    <row r="14373" s="166" customFormat="1" x14ac:dyDescent="0.2"/>
    <row r="14374" s="166" customFormat="1" x14ac:dyDescent="0.2"/>
    <row r="14375" s="166" customFormat="1" x14ac:dyDescent="0.2"/>
    <row r="14376" s="166" customFormat="1" x14ac:dyDescent="0.2"/>
    <row r="14377" s="166" customFormat="1" x14ac:dyDescent="0.2"/>
    <row r="14378" s="166" customFormat="1" x14ac:dyDescent="0.2"/>
    <row r="14379" s="166" customFormat="1" x14ac:dyDescent="0.2"/>
    <row r="14380" s="166" customFormat="1" x14ac:dyDescent="0.2"/>
    <row r="14381" s="166" customFormat="1" x14ac:dyDescent="0.2"/>
    <row r="14382" s="166" customFormat="1" x14ac:dyDescent="0.2"/>
    <row r="14383" s="166" customFormat="1" x14ac:dyDescent="0.2"/>
    <row r="14384" s="166" customFormat="1" x14ac:dyDescent="0.2"/>
    <row r="14385" s="166" customFormat="1" x14ac:dyDescent="0.2"/>
    <row r="14386" s="166" customFormat="1" x14ac:dyDescent="0.2"/>
    <row r="14387" s="166" customFormat="1" x14ac:dyDescent="0.2"/>
    <row r="14388" s="166" customFormat="1" x14ac:dyDescent="0.2"/>
    <row r="14389" s="166" customFormat="1" x14ac:dyDescent="0.2"/>
    <row r="14390" s="166" customFormat="1" x14ac:dyDescent="0.2"/>
    <row r="14391" s="166" customFormat="1" x14ac:dyDescent="0.2"/>
    <row r="14392" s="166" customFormat="1" x14ac:dyDescent="0.2"/>
    <row r="14393" s="166" customFormat="1" x14ac:dyDescent="0.2"/>
    <row r="14394" s="166" customFormat="1" x14ac:dyDescent="0.2"/>
    <row r="14395" s="166" customFormat="1" x14ac:dyDescent="0.2"/>
    <row r="14396" s="166" customFormat="1" x14ac:dyDescent="0.2"/>
    <row r="14397" s="166" customFormat="1" x14ac:dyDescent="0.2"/>
    <row r="14398" s="166" customFormat="1" x14ac:dyDescent="0.2"/>
    <row r="14399" s="166" customFormat="1" x14ac:dyDescent="0.2"/>
    <row r="14400" s="166" customFormat="1" x14ac:dyDescent="0.2"/>
    <row r="14401" s="166" customFormat="1" x14ac:dyDescent="0.2"/>
    <row r="14402" s="166" customFormat="1" x14ac:dyDescent="0.2"/>
    <row r="14403" s="166" customFormat="1" x14ac:dyDescent="0.2"/>
    <row r="14404" s="166" customFormat="1" x14ac:dyDescent="0.2"/>
    <row r="14405" s="166" customFormat="1" x14ac:dyDescent="0.2"/>
    <row r="14406" s="166" customFormat="1" x14ac:dyDescent="0.2"/>
    <row r="14407" s="166" customFormat="1" x14ac:dyDescent="0.2"/>
    <row r="14408" s="166" customFormat="1" x14ac:dyDescent="0.2"/>
    <row r="14409" s="166" customFormat="1" x14ac:dyDescent="0.2"/>
    <row r="14410" s="166" customFormat="1" x14ac:dyDescent="0.2"/>
    <row r="14411" s="166" customFormat="1" x14ac:dyDescent="0.2"/>
    <row r="14412" s="166" customFormat="1" x14ac:dyDescent="0.2"/>
    <row r="14413" s="166" customFormat="1" x14ac:dyDescent="0.2"/>
    <row r="14414" s="166" customFormat="1" x14ac:dyDescent="0.2"/>
    <row r="14415" s="166" customFormat="1" x14ac:dyDescent="0.2"/>
    <row r="14416" s="166" customFormat="1" x14ac:dyDescent="0.2"/>
    <row r="14417" s="166" customFormat="1" x14ac:dyDescent="0.2"/>
    <row r="14418" s="166" customFormat="1" x14ac:dyDescent="0.2"/>
    <row r="14419" s="166" customFormat="1" x14ac:dyDescent="0.2"/>
    <row r="14420" s="166" customFormat="1" x14ac:dyDescent="0.2"/>
    <row r="14421" s="166" customFormat="1" x14ac:dyDescent="0.2"/>
    <row r="14422" s="166" customFormat="1" x14ac:dyDescent="0.2"/>
    <row r="14423" s="166" customFormat="1" x14ac:dyDescent="0.2"/>
    <row r="14424" s="166" customFormat="1" x14ac:dyDescent="0.2"/>
    <row r="14425" s="166" customFormat="1" x14ac:dyDescent="0.2"/>
    <row r="14426" s="166" customFormat="1" x14ac:dyDescent="0.2"/>
    <row r="14427" s="166" customFormat="1" x14ac:dyDescent="0.2"/>
    <row r="14428" s="166" customFormat="1" x14ac:dyDescent="0.2"/>
    <row r="14429" s="166" customFormat="1" x14ac:dyDescent="0.2"/>
    <row r="14430" s="166" customFormat="1" x14ac:dyDescent="0.2"/>
    <row r="14431" s="166" customFormat="1" x14ac:dyDescent="0.2"/>
    <row r="14432" s="166" customFormat="1" x14ac:dyDescent="0.2"/>
    <row r="14433" s="166" customFormat="1" x14ac:dyDescent="0.2"/>
    <row r="14434" s="166" customFormat="1" x14ac:dyDescent="0.2"/>
    <row r="14435" s="166" customFormat="1" x14ac:dyDescent="0.2"/>
    <row r="14436" s="166" customFormat="1" x14ac:dyDescent="0.2"/>
    <row r="14437" s="166" customFormat="1" x14ac:dyDescent="0.2"/>
    <row r="14438" s="166" customFormat="1" x14ac:dyDescent="0.2"/>
    <row r="14439" s="166" customFormat="1" x14ac:dyDescent="0.2"/>
    <row r="14440" s="166" customFormat="1" x14ac:dyDescent="0.2"/>
    <row r="14441" s="166" customFormat="1" x14ac:dyDescent="0.2"/>
    <row r="14442" s="166" customFormat="1" x14ac:dyDescent="0.2"/>
    <row r="14443" s="166" customFormat="1" x14ac:dyDescent="0.2"/>
    <row r="14444" s="166" customFormat="1" x14ac:dyDescent="0.2"/>
    <row r="14445" s="166" customFormat="1" x14ac:dyDescent="0.2"/>
    <row r="14446" s="166" customFormat="1" x14ac:dyDescent="0.2"/>
    <row r="14447" s="166" customFormat="1" x14ac:dyDescent="0.2"/>
    <row r="14448" s="166" customFormat="1" x14ac:dyDescent="0.2"/>
    <row r="14449" s="166" customFormat="1" x14ac:dyDescent="0.2"/>
    <row r="14450" s="166" customFormat="1" x14ac:dyDescent="0.2"/>
    <row r="14451" s="166" customFormat="1" x14ac:dyDescent="0.2"/>
    <row r="14452" s="166" customFormat="1" x14ac:dyDescent="0.2"/>
    <row r="14453" s="166" customFormat="1" x14ac:dyDescent="0.2"/>
    <row r="14454" s="166" customFormat="1" x14ac:dyDescent="0.2"/>
    <row r="14455" s="166" customFormat="1" x14ac:dyDescent="0.2"/>
    <row r="14456" s="166" customFormat="1" x14ac:dyDescent="0.2"/>
    <row r="14457" s="166" customFormat="1" x14ac:dyDescent="0.2"/>
    <row r="14458" s="166" customFormat="1" x14ac:dyDescent="0.2"/>
    <row r="14459" s="166" customFormat="1" x14ac:dyDescent="0.2"/>
    <row r="14460" s="166" customFormat="1" x14ac:dyDescent="0.2"/>
    <row r="14461" s="166" customFormat="1" x14ac:dyDescent="0.2"/>
    <row r="14462" s="166" customFormat="1" x14ac:dyDescent="0.2"/>
    <row r="14463" s="166" customFormat="1" x14ac:dyDescent="0.2"/>
    <row r="14464" s="166" customFormat="1" x14ac:dyDescent="0.2"/>
    <row r="14465" s="166" customFormat="1" x14ac:dyDescent="0.2"/>
    <row r="14466" s="166" customFormat="1" x14ac:dyDescent="0.2"/>
    <row r="14467" s="166" customFormat="1" x14ac:dyDescent="0.2"/>
    <row r="14468" s="166" customFormat="1" x14ac:dyDescent="0.2"/>
    <row r="14469" s="166" customFormat="1" x14ac:dyDescent="0.2"/>
    <row r="14470" s="166" customFormat="1" x14ac:dyDescent="0.2"/>
    <row r="14471" s="166" customFormat="1" x14ac:dyDescent="0.2"/>
    <row r="14472" s="166" customFormat="1" x14ac:dyDescent="0.2"/>
    <row r="14473" s="166" customFormat="1" x14ac:dyDescent="0.2"/>
    <row r="14474" s="166" customFormat="1" x14ac:dyDescent="0.2"/>
    <row r="14475" s="166" customFormat="1" x14ac:dyDescent="0.2"/>
    <row r="14476" s="166" customFormat="1" x14ac:dyDescent="0.2"/>
    <row r="14477" s="166" customFormat="1" x14ac:dyDescent="0.2"/>
    <row r="14478" s="166" customFormat="1" x14ac:dyDescent="0.2"/>
    <row r="14479" s="166" customFormat="1" x14ac:dyDescent="0.2"/>
    <row r="14480" s="166" customFormat="1" x14ac:dyDescent="0.2"/>
    <row r="14481" s="166" customFormat="1" x14ac:dyDescent="0.2"/>
    <row r="14482" s="166" customFormat="1" x14ac:dyDescent="0.2"/>
    <row r="14483" s="166" customFormat="1" x14ac:dyDescent="0.2"/>
    <row r="14484" s="166" customFormat="1" x14ac:dyDescent="0.2"/>
    <row r="14485" s="166" customFormat="1" x14ac:dyDescent="0.2"/>
    <row r="14486" s="166" customFormat="1" x14ac:dyDescent="0.2"/>
    <row r="14487" s="166" customFormat="1" x14ac:dyDescent="0.2"/>
    <row r="14488" s="166" customFormat="1" x14ac:dyDescent="0.2"/>
    <row r="14489" s="166" customFormat="1" x14ac:dyDescent="0.2"/>
    <row r="14490" s="166" customFormat="1" x14ac:dyDescent="0.2"/>
    <row r="14491" s="166" customFormat="1" x14ac:dyDescent="0.2"/>
    <row r="14492" s="166" customFormat="1" x14ac:dyDescent="0.2"/>
    <row r="14493" s="166" customFormat="1" x14ac:dyDescent="0.2"/>
    <row r="14494" s="166" customFormat="1" x14ac:dyDescent="0.2"/>
    <row r="14495" s="166" customFormat="1" x14ac:dyDescent="0.2"/>
    <row r="14496" s="166" customFormat="1" x14ac:dyDescent="0.2"/>
    <row r="14497" s="166" customFormat="1" x14ac:dyDescent="0.2"/>
    <row r="14498" s="166" customFormat="1" x14ac:dyDescent="0.2"/>
    <row r="14499" s="166" customFormat="1" x14ac:dyDescent="0.2"/>
    <row r="14500" s="166" customFormat="1" x14ac:dyDescent="0.2"/>
    <row r="14501" s="166" customFormat="1" x14ac:dyDescent="0.2"/>
    <row r="14502" s="166" customFormat="1" x14ac:dyDescent="0.2"/>
    <row r="14503" s="166" customFormat="1" x14ac:dyDescent="0.2"/>
    <row r="14504" s="166" customFormat="1" x14ac:dyDescent="0.2"/>
    <row r="14505" s="166" customFormat="1" x14ac:dyDescent="0.2"/>
    <row r="14506" s="166" customFormat="1" x14ac:dyDescent="0.2"/>
    <row r="14507" s="166" customFormat="1" x14ac:dyDescent="0.2"/>
    <row r="14508" s="166" customFormat="1" x14ac:dyDescent="0.2"/>
    <row r="14509" s="166" customFormat="1" x14ac:dyDescent="0.2"/>
    <row r="14510" s="166" customFormat="1" x14ac:dyDescent="0.2"/>
    <row r="14511" s="166" customFormat="1" x14ac:dyDescent="0.2"/>
    <row r="14512" s="166" customFormat="1" x14ac:dyDescent="0.2"/>
    <row r="14513" s="166" customFormat="1" x14ac:dyDescent="0.2"/>
    <row r="14514" s="166" customFormat="1" x14ac:dyDescent="0.2"/>
    <row r="14515" s="166" customFormat="1" x14ac:dyDescent="0.2"/>
    <row r="14516" s="166" customFormat="1" x14ac:dyDescent="0.2"/>
    <row r="14517" s="166" customFormat="1" x14ac:dyDescent="0.2"/>
    <row r="14518" s="166" customFormat="1" x14ac:dyDescent="0.2"/>
    <row r="14519" s="166" customFormat="1" x14ac:dyDescent="0.2"/>
    <row r="14520" s="166" customFormat="1" x14ac:dyDescent="0.2"/>
    <row r="14521" s="166" customFormat="1" x14ac:dyDescent="0.2"/>
    <row r="14522" s="166" customFormat="1" x14ac:dyDescent="0.2"/>
    <row r="14523" s="166" customFormat="1" x14ac:dyDescent="0.2"/>
    <row r="14524" s="166" customFormat="1" x14ac:dyDescent="0.2"/>
    <row r="14525" s="166" customFormat="1" x14ac:dyDescent="0.2"/>
    <row r="14526" s="166" customFormat="1" x14ac:dyDescent="0.2"/>
    <row r="14527" s="166" customFormat="1" x14ac:dyDescent="0.2"/>
    <row r="14528" s="166" customFormat="1" x14ac:dyDescent="0.2"/>
    <row r="14529" s="166" customFormat="1" x14ac:dyDescent="0.2"/>
    <row r="14530" s="166" customFormat="1" x14ac:dyDescent="0.2"/>
    <row r="14531" s="166" customFormat="1" x14ac:dyDescent="0.2"/>
    <row r="14532" s="166" customFormat="1" x14ac:dyDescent="0.2"/>
    <row r="14533" s="166" customFormat="1" x14ac:dyDescent="0.2"/>
    <row r="14534" s="166" customFormat="1" x14ac:dyDescent="0.2"/>
    <row r="14535" s="166" customFormat="1" x14ac:dyDescent="0.2"/>
    <row r="14536" s="166" customFormat="1" x14ac:dyDescent="0.2"/>
    <row r="14537" s="166" customFormat="1" x14ac:dyDescent="0.2"/>
    <row r="14538" s="166" customFormat="1" x14ac:dyDescent="0.2"/>
    <row r="14539" s="166" customFormat="1" x14ac:dyDescent="0.2"/>
    <row r="14540" s="166" customFormat="1" x14ac:dyDescent="0.2"/>
    <row r="14541" s="166" customFormat="1" x14ac:dyDescent="0.2"/>
    <row r="14542" s="166" customFormat="1" x14ac:dyDescent="0.2"/>
    <row r="14543" s="166" customFormat="1" x14ac:dyDescent="0.2"/>
    <row r="14544" s="166" customFormat="1" x14ac:dyDescent="0.2"/>
    <row r="14545" s="166" customFormat="1" x14ac:dyDescent="0.2"/>
    <row r="14546" s="166" customFormat="1" x14ac:dyDescent="0.2"/>
    <row r="14547" s="166" customFormat="1" x14ac:dyDescent="0.2"/>
    <row r="14548" s="166" customFormat="1" x14ac:dyDescent="0.2"/>
    <row r="14549" s="166" customFormat="1" x14ac:dyDescent="0.2"/>
    <row r="14550" s="166" customFormat="1" x14ac:dyDescent="0.2"/>
    <row r="14551" s="166" customFormat="1" x14ac:dyDescent="0.2"/>
    <row r="14552" s="166" customFormat="1" x14ac:dyDescent="0.2"/>
    <row r="14553" s="166" customFormat="1" x14ac:dyDescent="0.2"/>
    <row r="14554" s="166" customFormat="1" x14ac:dyDescent="0.2"/>
    <row r="14555" s="166" customFormat="1" x14ac:dyDescent="0.2"/>
    <row r="14556" s="166" customFormat="1" x14ac:dyDescent="0.2"/>
    <row r="14557" s="166" customFormat="1" x14ac:dyDescent="0.2"/>
    <row r="14558" s="166" customFormat="1" x14ac:dyDescent="0.2"/>
    <row r="14559" s="166" customFormat="1" x14ac:dyDescent="0.2"/>
    <row r="14560" s="166" customFormat="1" x14ac:dyDescent="0.2"/>
    <row r="14561" s="166" customFormat="1" x14ac:dyDescent="0.2"/>
    <row r="14562" s="166" customFormat="1" x14ac:dyDescent="0.2"/>
    <row r="14563" s="166" customFormat="1" x14ac:dyDescent="0.2"/>
    <row r="14564" s="166" customFormat="1" x14ac:dyDescent="0.2"/>
    <row r="14565" s="166" customFormat="1" x14ac:dyDescent="0.2"/>
    <row r="14566" s="166" customFormat="1" x14ac:dyDescent="0.2"/>
    <row r="14567" s="166" customFormat="1" x14ac:dyDescent="0.2"/>
    <row r="14568" s="166" customFormat="1" x14ac:dyDescent="0.2"/>
    <row r="14569" s="166" customFormat="1" x14ac:dyDescent="0.2"/>
    <row r="14570" s="166" customFormat="1" x14ac:dyDescent="0.2"/>
    <row r="14571" s="166" customFormat="1" x14ac:dyDescent="0.2"/>
    <row r="14572" s="166" customFormat="1" x14ac:dyDescent="0.2"/>
    <row r="14573" s="166" customFormat="1" x14ac:dyDescent="0.2"/>
    <row r="14574" s="166" customFormat="1" x14ac:dyDescent="0.2"/>
    <row r="14575" s="166" customFormat="1" x14ac:dyDescent="0.2"/>
    <row r="14576" s="166" customFormat="1" x14ac:dyDescent="0.2"/>
    <row r="14577" s="166" customFormat="1" x14ac:dyDescent="0.2"/>
    <row r="14578" s="166" customFormat="1" x14ac:dyDescent="0.2"/>
    <row r="14579" s="166" customFormat="1" x14ac:dyDescent="0.2"/>
    <row r="14580" s="166" customFormat="1" x14ac:dyDescent="0.2"/>
    <row r="14581" s="166" customFormat="1" x14ac:dyDescent="0.2"/>
    <row r="14582" s="166" customFormat="1" x14ac:dyDescent="0.2"/>
    <row r="14583" s="166" customFormat="1" x14ac:dyDescent="0.2"/>
    <row r="14584" s="166" customFormat="1" x14ac:dyDescent="0.2"/>
    <row r="14585" s="166" customFormat="1" x14ac:dyDescent="0.2"/>
    <row r="14586" s="166" customFormat="1" x14ac:dyDescent="0.2"/>
    <row r="14587" s="166" customFormat="1" x14ac:dyDescent="0.2"/>
    <row r="14588" s="166" customFormat="1" x14ac:dyDescent="0.2"/>
    <row r="14589" s="166" customFormat="1" x14ac:dyDescent="0.2"/>
    <row r="14590" s="166" customFormat="1" x14ac:dyDescent="0.2"/>
    <row r="14591" s="166" customFormat="1" x14ac:dyDescent="0.2"/>
    <row r="14592" s="166" customFormat="1" x14ac:dyDescent="0.2"/>
    <row r="14593" s="166" customFormat="1" x14ac:dyDescent="0.2"/>
    <row r="14594" s="166" customFormat="1" x14ac:dyDescent="0.2"/>
    <row r="14595" s="166" customFormat="1" x14ac:dyDescent="0.2"/>
    <row r="14596" s="166" customFormat="1" x14ac:dyDescent="0.2"/>
    <row r="14597" s="166" customFormat="1" x14ac:dyDescent="0.2"/>
    <row r="14598" s="166" customFormat="1" x14ac:dyDescent="0.2"/>
    <row r="14599" s="166" customFormat="1" x14ac:dyDescent="0.2"/>
    <row r="14600" s="166" customFormat="1" x14ac:dyDescent="0.2"/>
    <row r="14601" s="166" customFormat="1" x14ac:dyDescent="0.2"/>
    <row r="14602" s="166" customFormat="1" x14ac:dyDescent="0.2"/>
    <row r="14603" s="166" customFormat="1" x14ac:dyDescent="0.2"/>
    <row r="14604" s="166" customFormat="1" x14ac:dyDescent="0.2"/>
    <row r="14605" s="166" customFormat="1" x14ac:dyDescent="0.2"/>
    <row r="14606" s="166" customFormat="1" x14ac:dyDescent="0.2"/>
    <row r="14607" s="166" customFormat="1" x14ac:dyDescent="0.2"/>
    <row r="14608" s="166" customFormat="1" x14ac:dyDescent="0.2"/>
    <row r="14609" s="166" customFormat="1" x14ac:dyDescent="0.2"/>
    <row r="14610" s="166" customFormat="1" x14ac:dyDescent="0.2"/>
    <row r="14611" s="166" customFormat="1" x14ac:dyDescent="0.2"/>
    <row r="14612" s="166" customFormat="1" x14ac:dyDescent="0.2"/>
    <row r="14613" s="166" customFormat="1" x14ac:dyDescent="0.2"/>
    <row r="14614" s="166" customFormat="1" x14ac:dyDescent="0.2"/>
    <row r="14615" s="166" customFormat="1" x14ac:dyDescent="0.2"/>
    <row r="14616" s="166" customFormat="1" x14ac:dyDescent="0.2"/>
    <row r="14617" s="166" customFormat="1" x14ac:dyDescent="0.2"/>
    <row r="14618" s="166" customFormat="1" x14ac:dyDescent="0.2"/>
    <row r="14619" s="166" customFormat="1" x14ac:dyDescent="0.2"/>
    <row r="14620" s="166" customFormat="1" x14ac:dyDescent="0.2"/>
    <row r="14621" s="166" customFormat="1" x14ac:dyDescent="0.2"/>
    <row r="14622" s="166" customFormat="1" x14ac:dyDescent="0.2"/>
    <row r="14623" s="166" customFormat="1" x14ac:dyDescent="0.2"/>
    <row r="14624" s="166" customFormat="1" x14ac:dyDescent="0.2"/>
    <row r="14625" s="166" customFormat="1" x14ac:dyDescent="0.2"/>
    <row r="14626" s="166" customFormat="1" x14ac:dyDescent="0.2"/>
    <row r="14627" s="166" customFormat="1" x14ac:dyDescent="0.2"/>
    <row r="14628" s="166" customFormat="1" x14ac:dyDescent="0.2"/>
    <row r="14629" s="166" customFormat="1" x14ac:dyDescent="0.2"/>
    <row r="14630" s="166" customFormat="1" x14ac:dyDescent="0.2"/>
    <row r="14631" s="166" customFormat="1" x14ac:dyDescent="0.2"/>
    <row r="14632" s="166" customFormat="1" x14ac:dyDescent="0.2"/>
    <row r="14633" s="166" customFormat="1" x14ac:dyDescent="0.2"/>
    <row r="14634" s="166" customFormat="1" x14ac:dyDescent="0.2"/>
    <row r="14635" s="166" customFormat="1" x14ac:dyDescent="0.2"/>
    <row r="14636" s="166" customFormat="1" x14ac:dyDescent="0.2"/>
    <row r="14637" s="166" customFormat="1" x14ac:dyDescent="0.2"/>
    <row r="14638" s="166" customFormat="1" x14ac:dyDescent="0.2"/>
    <row r="14639" s="166" customFormat="1" x14ac:dyDescent="0.2"/>
    <row r="14640" s="166" customFormat="1" x14ac:dyDescent="0.2"/>
    <row r="14641" s="166" customFormat="1" x14ac:dyDescent="0.2"/>
    <row r="14642" s="166" customFormat="1" x14ac:dyDescent="0.2"/>
    <row r="14643" s="166" customFormat="1" x14ac:dyDescent="0.2"/>
    <row r="14644" s="166" customFormat="1" x14ac:dyDescent="0.2"/>
    <row r="14645" s="166" customFormat="1" x14ac:dyDescent="0.2"/>
    <row r="14646" s="166" customFormat="1" x14ac:dyDescent="0.2"/>
    <row r="14647" s="166" customFormat="1" x14ac:dyDescent="0.2"/>
    <row r="14648" s="166" customFormat="1" x14ac:dyDescent="0.2"/>
    <row r="14649" s="166" customFormat="1" x14ac:dyDescent="0.2"/>
    <row r="14650" s="166" customFormat="1" x14ac:dyDescent="0.2"/>
    <row r="14651" s="166" customFormat="1" x14ac:dyDescent="0.2"/>
    <row r="14652" s="166" customFormat="1" x14ac:dyDescent="0.2"/>
    <row r="14653" s="166" customFormat="1" x14ac:dyDescent="0.2"/>
    <row r="14654" s="166" customFormat="1" x14ac:dyDescent="0.2"/>
    <row r="14655" s="166" customFormat="1" x14ac:dyDescent="0.2"/>
    <row r="14656" s="166" customFormat="1" x14ac:dyDescent="0.2"/>
    <row r="14657" s="166" customFormat="1" x14ac:dyDescent="0.2"/>
    <row r="14658" s="166" customFormat="1" x14ac:dyDescent="0.2"/>
    <row r="14659" s="166" customFormat="1" x14ac:dyDescent="0.2"/>
    <row r="14660" s="166" customFormat="1" x14ac:dyDescent="0.2"/>
    <row r="14661" s="166" customFormat="1" x14ac:dyDescent="0.2"/>
    <row r="14662" s="166" customFormat="1" x14ac:dyDescent="0.2"/>
    <row r="14663" s="166" customFormat="1" x14ac:dyDescent="0.2"/>
    <row r="14664" s="166" customFormat="1" x14ac:dyDescent="0.2"/>
    <row r="14665" s="166" customFormat="1" x14ac:dyDescent="0.2"/>
    <row r="14666" s="166" customFormat="1" x14ac:dyDescent="0.2"/>
    <row r="14667" s="166" customFormat="1" x14ac:dyDescent="0.2"/>
    <row r="14668" s="166" customFormat="1" x14ac:dyDescent="0.2"/>
    <row r="14669" s="166" customFormat="1" x14ac:dyDescent="0.2"/>
    <row r="14670" s="166" customFormat="1" x14ac:dyDescent="0.2"/>
    <row r="14671" s="166" customFormat="1" x14ac:dyDescent="0.2"/>
    <row r="14672" s="166" customFormat="1" x14ac:dyDescent="0.2"/>
    <row r="14673" s="166" customFormat="1" x14ac:dyDescent="0.2"/>
    <row r="14674" s="166" customFormat="1" x14ac:dyDescent="0.2"/>
    <row r="14675" s="166" customFormat="1" x14ac:dyDescent="0.2"/>
    <row r="14676" s="166" customFormat="1" x14ac:dyDescent="0.2"/>
    <row r="14677" s="166" customFormat="1" x14ac:dyDescent="0.2"/>
    <row r="14678" s="166" customFormat="1" x14ac:dyDescent="0.2"/>
    <row r="14679" s="166" customFormat="1" x14ac:dyDescent="0.2"/>
    <row r="14680" s="166" customFormat="1" x14ac:dyDescent="0.2"/>
    <row r="14681" s="166" customFormat="1" x14ac:dyDescent="0.2"/>
    <row r="14682" s="166" customFormat="1" x14ac:dyDescent="0.2"/>
    <row r="14683" s="166" customFormat="1" x14ac:dyDescent="0.2"/>
    <row r="14684" s="166" customFormat="1" x14ac:dyDescent="0.2"/>
    <row r="14685" s="166" customFormat="1" x14ac:dyDescent="0.2"/>
    <row r="14686" s="166" customFormat="1" x14ac:dyDescent="0.2"/>
    <row r="14687" s="166" customFormat="1" x14ac:dyDescent="0.2"/>
    <row r="14688" s="166" customFormat="1" x14ac:dyDescent="0.2"/>
    <row r="14689" s="166" customFormat="1" x14ac:dyDescent="0.2"/>
    <row r="14690" s="166" customFormat="1" x14ac:dyDescent="0.2"/>
    <row r="14691" s="166" customFormat="1" x14ac:dyDescent="0.2"/>
    <row r="14692" s="166" customFormat="1" x14ac:dyDescent="0.2"/>
    <row r="14693" s="166" customFormat="1" x14ac:dyDescent="0.2"/>
    <row r="14694" s="166" customFormat="1" x14ac:dyDescent="0.2"/>
    <row r="14695" s="166" customFormat="1" x14ac:dyDescent="0.2"/>
    <row r="14696" s="166" customFormat="1" x14ac:dyDescent="0.2"/>
    <row r="14697" s="166" customFormat="1" x14ac:dyDescent="0.2"/>
    <row r="14698" s="166" customFormat="1" x14ac:dyDescent="0.2"/>
    <row r="14699" s="166" customFormat="1" x14ac:dyDescent="0.2"/>
    <row r="14700" s="166" customFormat="1" x14ac:dyDescent="0.2"/>
    <row r="14701" s="166" customFormat="1" x14ac:dyDescent="0.2"/>
    <row r="14702" s="166" customFormat="1" x14ac:dyDescent="0.2"/>
    <row r="14703" s="166" customFormat="1" x14ac:dyDescent="0.2"/>
    <row r="14704" s="166" customFormat="1" x14ac:dyDescent="0.2"/>
    <row r="14705" s="166" customFormat="1" x14ac:dyDescent="0.2"/>
    <row r="14706" s="166" customFormat="1" x14ac:dyDescent="0.2"/>
    <row r="14707" s="166" customFormat="1" x14ac:dyDescent="0.2"/>
    <row r="14708" s="166" customFormat="1" x14ac:dyDescent="0.2"/>
    <row r="14709" s="166" customFormat="1" x14ac:dyDescent="0.2"/>
    <row r="14710" s="166" customFormat="1" x14ac:dyDescent="0.2"/>
    <row r="14711" s="166" customFormat="1" x14ac:dyDescent="0.2"/>
    <row r="14712" s="166" customFormat="1" x14ac:dyDescent="0.2"/>
    <row r="14713" s="166" customFormat="1" x14ac:dyDescent="0.2"/>
    <row r="14714" s="166" customFormat="1" x14ac:dyDescent="0.2"/>
    <row r="14715" s="166" customFormat="1" x14ac:dyDescent="0.2"/>
    <row r="14716" s="166" customFormat="1" x14ac:dyDescent="0.2"/>
    <row r="14717" s="166" customFormat="1" x14ac:dyDescent="0.2"/>
    <row r="14718" s="166" customFormat="1" x14ac:dyDescent="0.2"/>
    <row r="14719" s="166" customFormat="1" x14ac:dyDescent="0.2"/>
    <row r="14720" s="166" customFormat="1" x14ac:dyDescent="0.2"/>
    <row r="14721" s="166" customFormat="1" x14ac:dyDescent="0.2"/>
    <row r="14722" s="166" customFormat="1" x14ac:dyDescent="0.2"/>
    <row r="14723" s="166" customFormat="1" x14ac:dyDescent="0.2"/>
    <row r="14724" s="166" customFormat="1" x14ac:dyDescent="0.2"/>
    <row r="14725" s="166" customFormat="1" x14ac:dyDescent="0.2"/>
    <row r="14726" s="166" customFormat="1" x14ac:dyDescent="0.2"/>
    <row r="14727" s="166" customFormat="1" x14ac:dyDescent="0.2"/>
    <row r="14728" s="166" customFormat="1" x14ac:dyDescent="0.2"/>
    <row r="14729" s="166" customFormat="1" x14ac:dyDescent="0.2"/>
    <row r="14730" s="166" customFormat="1" x14ac:dyDescent="0.2"/>
    <row r="14731" s="166" customFormat="1" x14ac:dyDescent="0.2"/>
    <row r="14732" s="166" customFormat="1" x14ac:dyDescent="0.2"/>
    <row r="14733" s="166" customFormat="1" x14ac:dyDescent="0.2"/>
    <row r="14734" s="166" customFormat="1" x14ac:dyDescent="0.2"/>
    <row r="14735" s="166" customFormat="1" x14ac:dyDescent="0.2"/>
    <row r="14736" s="166" customFormat="1" x14ac:dyDescent="0.2"/>
    <row r="14737" s="166" customFormat="1" x14ac:dyDescent="0.2"/>
    <row r="14738" s="166" customFormat="1" x14ac:dyDescent="0.2"/>
    <row r="14739" s="166" customFormat="1" x14ac:dyDescent="0.2"/>
    <row r="14740" s="166" customFormat="1" x14ac:dyDescent="0.2"/>
    <row r="14741" s="166" customFormat="1" x14ac:dyDescent="0.2"/>
    <row r="14742" s="166" customFormat="1" x14ac:dyDescent="0.2"/>
    <row r="14743" s="166" customFormat="1" x14ac:dyDescent="0.2"/>
    <row r="14744" s="166" customFormat="1" x14ac:dyDescent="0.2"/>
    <row r="14745" s="166" customFormat="1" x14ac:dyDescent="0.2"/>
    <row r="14746" s="166" customFormat="1" x14ac:dyDescent="0.2"/>
    <row r="14747" s="166" customFormat="1" x14ac:dyDescent="0.2"/>
    <row r="14748" s="166" customFormat="1" x14ac:dyDescent="0.2"/>
    <row r="14749" s="166" customFormat="1" x14ac:dyDescent="0.2"/>
    <row r="14750" s="166" customFormat="1" x14ac:dyDescent="0.2"/>
    <row r="14751" s="166" customFormat="1" x14ac:dyDescent="0.2"/>
    <row r="14752" s="166" customFormat="1" x14ac:dyDescent="0.2"/>
    <row r="14753" s="166" customFormat="1" x14ac:dyDescent="0.2"/>
    <row r="14754" s="166" customFormat="1" x14ac:dyDescent="0.2"/>
    <row r="14755" s="166" customFormat="1" x14ac:dyDescent="0.2"/>
    <row r="14756" s="166" customFormat="1" x14ac:dyDescent="0.2"/>
    <row r="14757" s="166" customFormat="1" x14ac:dyDescent="0.2"/>
    <row r="14758" s="166" customFormat="1" x14ac:dyDescent="0.2"/>
    <row r="14759" s="166" customFormat="1" x14ac:dyDescent="0.2"/>
    <row r="14760" s="166" customFormat="1" x14ac:dyDescent="0.2"/>
    <row r="14761" s="166" customFormat="1" x14ac:dyDescent="0.2"/>
    <row r="14762" s="166" customFormat="1" x14ac:dyDescent="0.2"/>
    <row r="14763" s="166" customFormat="1" x14ac:dyDescent="0.2"/>
    <row r="14764" s="166" customFormat="1" x14ac:dyDescent="0.2"/>
    <row r="14765" s="166" customFormat="1" x14ac:dyDescent="0.2"/>
    <row r="14766" s="166" customFormat="1" x14ac:dyDescent="0.2"/>
    <row r="14767" s="166" customFormat="1" x14ac:dyDescent="0.2"/>
    <row r="14768" s="166" customFormat="1" x14ac:dyDescent="0.2"/>
    <row r="14769" s="166" customFormat="1" x14ac:dyDescent="0.2"/>
    <row r="14770" s="166" customFormat="1" x14ac:dyDescent="0.2"/>
    <row r="14771" s="166" customFormat="1" x14ac:dyDescent="0.2"/>
    <row r="14772" s="166" customFormat="1" x14ac:dyDescent="0.2"/>
    <row r="14773" s="166" customFormat="1" x14ac:dyDescent="0.2"/>
    <row r="14774" s="166" customFormat="1" x14ac:dyDescent="0.2"/>
    <row r="14775" s="166" customFormat="1" x14ac:dyDescent="0.2"/>
    <row r="14776" s="166" customFormat="1" x14ac:dyDescent="0.2"/>
    <row r="14777" s="166" customFormat="1" x14ac:dyDescent="0.2"/>
    <row r="14778" s="166" customFormat="1" x14ac:dyDescent="0.2"/>
    <row r="14779" s="166" customFormat="1" x14ac:dyDescent="0.2"/>
    <row r="14780" s="166" customFormat="1" x14ac:dyDescent="0.2"/>
    <row r="14781" s="166" customFormat="1" x14ac:dyDescent="0.2"/>
    <row r="14782" s="166" customFormat="1" x14ac:dyDescent="0.2"/>
    <row r="14783" s="166" customFormat="1" x14ac:dyDescent="0.2"/>
    <row r="14784" s="166" customFormat="1" x14ac:dyDescent="0.2"/>
    <row r="14785" s="166" customFormat="1" x14ac:dyDescent="0.2"/>
    <row r="14786" s="166" customFormat="1" x14ac:dyDescent="0.2"/>
    <row r="14787" s="166" customFormat="1" x14ac:dyDescent="0.2"/>
    <row r="14788" s="166" customFormat="1" x14ac:dyDescent="0.2"/>
    <row r="14789" s="166" customFormat="1" x14ac:dyDescent="0.2"/>
    <row r="14790" s="166" customFormat="1" x14ac:dyDescent="0.2"/>
    <row r="14791" s="166" customFormat="1" x14ac:dyDescent="0.2"/>
    <row r="14792" s="166" customFormat="1" x14ac:dyDescent="0.2"/>
    <row r="14793" s="166" customFormat="1" x14ac:dyDescent="0.2"/>
    <row r="14794" s="166" customFormat="1" x14ac:dyDescent="0.2"/>
    <row r="14795" s="166" customFormat="1" x14ac:dyDescent="0.2"/>
    <row r="14796" s="166" customFormat="1" x14ac:dyDescent="0.2"/>
    <row r="14797" s="166" customFormat="1" x14ac:dyDescent="0.2"/>
    <row r="14798" s="166" customFormat="1" x14ac:dyDescent="0.2"/>
    <row r="14799" s="166" customFormat="1" x14ac:dyDescent="0.2"/>
    <row r="14800" s="166" customFormat="1" x14ac:dyDescent="0.2"/>
    <row r="14801" s="166" customFormat="1" x14ac:dyDescent="0.2"/>
    <row r="14802" s="166" customFormat="1" x14ac:dyDescent="0.2"/>
    <row r="14803" s="166" customFormat="1" x14ac:dyDescent="0.2"/>
    <row r="14804" s="166" customFormat="1" x14ac:dyDescent="0.2"/>
    <row r="14805" s="166" customFormat="1" x14ac:dyDescent="0.2"/>
    <row r="14806" s="166" customFormat="1" x14ac:dyDescent="0.2"/>
    <row r="14807" s="166" customFormat="1" x14ac:dyDescent="0.2"/>
    <row r="14808" s="166" customFormat="1" x14ac:dyDescent="0.2"/>
    <row r="14809" s="166" customFormat="1" x14ac:dyDescent="0.2"/>
    <row r="14810" s="166" customFormat="1" x14ac:dyDescent="0.2"/>
    <row r="14811" s="166" customFormat="1" x14ac:dyDescent="0.2"/>
    <row r="14812" s="166" customFormat="1" x14ac:dyDescent="0.2"/>
    <row r="14813" s="166" customFormat="1" x14ac:dyDescent="0.2"/>
    <row r="14814" s="166" customFormat="1" x14ac:dyDescent="0.2"/>
    <row r="14815" s="166" customFormat="1" x14ac:dyDescent="0.2"/>
    <row r="14816" s="166" customFormat="1" x14ac:dyDescent="0.2"/>
    <row r="14817" s="166" customFormat="1" x14ac:dyDescent="0.2"/>
    <row r="14818" s="166" customFormat="1" x14ac:dyDescent="0.2"/>
    <row r="14819" s="166" customFormat="1" x14ac:dyDescent="0.2"/>
    <row r="14820" s="166" customFormat="1" x14ac:dyDescent="0.2"/>
    <row r="14821" s="166" customFormat="1" x14ac:dyDescent="0.2"/>
    <row r="14822" s="166" customFormat="1" x14ac:dyDescent="0.2"/>
    <row r="14823" s="166" customFormat="1" x14ac:dyDescent="0.2"/>
    <row r="14824" s="166" customFormat="1" x14ac:dyDescent="0.2"/>
    <row r="14825" s="166" customFormat="1" x14ac:dyDescent="0.2"/>
    <row r="14826" s="166" customFormat="1" x14ac:dyDescent="0.2"/>
    <row r="14827" s="166" customFormat="1" x14ac:dyDescent="0.2"/>
    <row r="14828" s="166" customFormat="1" x14ac:dyDescent="0.2"/>
    <row r="14829" s="166" customFormat="1" x14ac:dyDescent="0.2"/>
    <row r="14830" s="166" customFormat="1" x14ac:dyDescent="0.2"/>
    <row r="14831" s="166" customFormat="1" x14ac:dyDescent="0.2"/>
    <row r="14832" s="166" customFormat="1" x14ac:dyDescent="0.2"/>
    <row r="14833" s="166" customFormat="1" x14ac:dyDescent="0.2"/>
    <row r="14834" s="166" customFormat="1" x14ac:dyDescent="0.2"/>
    <row r="14835" s="166" customFormat="1" x14ac:dyDescent="0.2"/>
    <row r="14836" s="166" customFormat="1" x14ac:dyDescent="0.2"/>
    <row r="14837" s="166" customFormat="1" x14ac:dyDescent="0.2"/>
    <row r="14838" s="166" customFormat="1" x14ac:dyDescent="0.2"/>
    <row r="14839" s="166" customFormat="1" x14ac:dyDescent="0.2"/>
    <row r="14840" s="166" customFormat="1" x14ac:dyDescent="0.2"/>
    <row r="14841" s="166" customFormat="1" x14ac:dyDescent="0.2"/>
    <row r="14842" s="166" customFormat="1" x14ac:dyDescent="0.2"/>
    <row r="14843" s="166" customFormat="1" x14ac:dyDescent="0.2"/>
    <row r="14844" s="166" customFormat="1" x14ac:dyDescent="0.2"/>
    <row r="14845" s="166" customFormat="1" x14ac:dyDescent="0.2"/>
    <row r="14846" s="166" customFormat="1" x14ac:dyDescent="0.2"/>
    <row r="14847" s="166" customFormat="1" x14ac:dyDescent="0.2"/>
    <row r="14848" s="166" customFormat="1" x14ac:dyDescent="0.2"/>
    <row r="14849" s="166" customFormat="1" x14ac:dyDescent="0.2"/>
    <row r="14850" s="166" customFormat="1" x14ac:dyDescent="0.2"/>
    <row r="14851" s="166" customFormat="1" x14ac:dyDescent="0.2"/>
    <row r="14852" s="166" customFormat="1" x14ac:dyDescent="0.2"/>
    <row r="14853" s="166" customFormat="1" x14ac:dyDescent="0.2"/>
    <row r="14854" s="166" customFormat="1" x14ac:dyDescent="0.2"/>
    <row r="14855" s="166" customFormat="1" x14ac:dyDescent="0.2"/>
    <row r="14856" s="166" customFormat="1" x14ac:dyDescent="0.2"/>
    <row r="14857" s="166" customFormat="1" x14ac:dyDescent="0.2"/>
    <row r="14858" s="166" customFormat="1" x14ac:dyDescent="0.2"/>
    <row r="14859" s="166" customFormat="1" x14ac:dyDescent="0.2"/>
    <row r="14860" s="166" customFormat="1" x14ac:dyDescent="0.2"/>
    <row r="14861" s="166" customFormat="1" x14ac:dyDescent="0.2"/>
    <row r="14862" s="166" customFormat="1" x14ac:dyDescent="0.2"/>
    <row r="14863" s="166" customFormat="1" x14ac:dyDescent="0.2"/>
    <row r="14864" s="166" customFormat="1" x14ac:dyDescent="0.2"/>
    <row r="14865" s="166" customFormat="1" x14ac:dyDescent="0.2"/>
    <row r="14866" s="166" customFormat="1" x14ac:dyDescent="0.2"/>
    <row r="14867" s="166" customFormat="1" x14ac:dyDescent="0.2"/>
    <row r="14868" s="166" customFormat="1" x14ac:dyDescent="0.2"/>
    <row r="14869" s="166" customFormat="1" x14ac:dyDescent="0.2"/>
    <row r="14870" s="166" customFormat="1" x14ac:dyDescent="0.2"/>
    <row r="14871" s="166" customFormat="1" x14ac:dyDescent="0.2"/>
    <row r="14872" s="166" customFormat="1" x14ac:dyDescent="0.2"/>
    <row r="14873" s="166" customFormat="1" x14ac:dyDescent="0.2"/>
    <row r="14874" s="166" customFormat="1" x14ac:dyDescent="0.2"/>
    <row r="14875" s="166" customFormat="1" x14ac:dyDescent="0.2"/>
    <row r="14876" s="166" customFormat="1" x14ac:dyDescent="0.2"/>
    <row r="14877" s="166" customFormat="1" x14ac:dyDescent="0.2"/>
    <row r="14878" s="166" customFormat="1" x14ac:dyDescent="0.2"/>
    <row r="14879" s="166" customFormat="1" x14ac:dyDescent="0.2"/>
    <row r="14880" s="166" customFormat="1" x14ac:dyDescent="0.2"/>
    <row r="14881" s="166" customFormat="1" x14ac:dyDescent="0.2"/>
    <row r="14882" s="166" customFormat="1" x14ac:dyDescent="0.2"/>
    <row r="14883" s="166" customFormat="1" x14ac:dyDescent="0.2"/>
    <row r="14884" s="166" customFormat="1" x14ac:dyDescent="0.2"/>
    <row r="14885" s="166" customFormat="1" x14ac:dyDescent="0.2"/>
    <row r="14886" s="166" customFormat="1" x14ac:dyDescent="0.2"/>
    <row r="14887" s="166" customFormat="1" x14ac:dyDescent="0.2"/>
    <row r="14888" s="166" customFormat="1" x14ac:dyDescent="0.2"/>
    <row r="14889" s="166" customFormat="1" x14ac:dyDescent="0.2"/>
    <row r="14890" s="166" customFormat="1" x14ac:dyDescent="0.2"/>
    <row r="14891" s="166" customFormat="1" x14ac:dyDescent="0.2"/>
    <row r="14892" s="166" customFormat="1" x14ac:dyDescent="0.2"/>
    <row r="14893" s="166" customFormat="1" x14ac:dyDescent="0.2"/>
    <row r="14894" s="166" customFormat="1" x14ac:dyDescent="0.2"/>
    <row r="14895" s="166" customFormat="1" x14ac:dyDescent="0.2"/>
    <row r="14896" s="166" customFormat="1" x14ac:dyDescent="0.2"/>
    <row r="14897" s="166" customFormat="1" x14ac:dyDescent="0.2"/>
    <row r="14898" s="166" customFormat="1" x14ac:dyDescent="0.2"/>
    <row r="14899" s="166" customFormat="1" x14ac:dyDescent="0.2"/>
    <row r="14900" s="166" customFormat="1" x14ac:dyDescent="0.2"/>
    <row r="14901" s="166" customFormat="1" x14ac:dyDescent="0.2"/>
    <row r="14902" s="166" customFormat="1" x14ac:dyDescent="0.2"/>
    <row r="14903" s="166" customFormat="1" x14ac:dyDescent="0.2"/>
    <row r="14904" s="166" customFormat="1" x14ac:dyDescent="0.2"/>
    <row r="14905" s="166" customFormat="1" x14ac:dyDescent="0.2"/>
    <row r="14906" s="166" customFormat="1" x14ac:dyDescent="0.2"/>
    <row r="14907" s="166" customFormat="1" x14ac:dyDescent="0.2"/>
    <row r="14908" s="166" customFormat="1" x14ac:dyDescent="0.2"/>
    <row r="14909" s="166" customFormat="1" x14ac:dyDescent="0.2"/>
    <row r="14910" s="166" customFormat="1" x14ac:dyDescent="0.2"/>
    <row r="14911" s="166" customFormat="1" x14ac:dyDescent="0.2"/>
    <row r="14912" s="166" customFormat="1" x14ac:dyDescent="0.2"/>
    <row r="14913" s="166" customFormat="1" x14ac:dyDescent="0.2"/>
    <row r="14914" s="166" customFormat="1" x14ac:dyDescent="0.2"/>
    <row r="14915" s="166" customFormat="1" x14ac:dyDescent="0.2"/>
    <row r="14916" s="166" customFormat="1" x14ac:dyDescent="0.2"/>
    <row r="14917" s="166" customFormat="1" x14ac:dyDescent="0.2"/>
    <row r="14918" s="166" customFormat="1" x14ac:dyDescent="0.2"/>
    <row r="14919" s="166" customFormat="1" x14ac:dyDescent="0.2"/>
    <row r="14920" s="166" customFormat="1" x14ac:dyDescent="0.2"/>
    <row r="14921" s="166" customFormat="1" x14ac:dyDescent="0.2"/>
    <row r="14922" s="166" customFormat="1" x14ac:dyDescent="0.2"/>
    <row r="14923" s="166" customFormat="1" x14ac:dyDescent="0.2"/>
    <row r="14924" s="166" customFormat="1" x14ac:dyDescent="0.2"/>
    <row r="14925" s="166" customFormat="1" x14ac:dyDescent="0.2"/>
    <row r="14926" s="166" customFormat="1" x14ac:dyDescent="0.2"/>
    <row r="14927" s="166" customFormat="1" x14ac:dyDescent="0.2"/>
    <row r="14928" s="166" customFormat="1" x14ac:dyDescent="0.2"/>
    <row r="14929" s="166" customFormat="1" x14ac:dyDescent="0.2"/>
    <row r="14930" s="166" customFormat="1" x14ac:dyDescent="0.2"/>
    <row r="14931" s="166" customFormat="1" x14ac:dyDescent="0.2"/>
    <row r="14932" s="166" customFormat="1" x14ac:dyDescent="0.2"/>
    <row r="14933" s="166" customFormat="1" x14ac:dyDescent="0.2"/>
    <row r="14934" s="166" customFormat="1" x14ac:dyDescent="0.2"/>
    <row r="14935" s="166" customFormat="1" x14ac:dyDescent="0.2"/>
    <row r="14936" s="166" customFormat="1" x14ac:dyDescent="0.2"/>
    <row r="14937" s="166" customFormat="1" x14ac:dyDescent="0.2"/>
    <row r="14938" s="166" customFormat="1" x14ac:dyDescent="0.2"/>
    <row r="14939" s="166" customFormat="1" x14ac:dyDescent="0.2"/>
    <row r="14940" s="166" customFormat="1" x14ac:dyDescent="0.2"/>
    <row r="14941" s="166" customFormat="1" x14ac:dyDescent="0.2"/>
    <row r="14942" s="166" customFormat="1" x14ac:dyDescent="0.2"/>
    <row r="14943" s="166" customFormat="1" x14ac:dyDescent="0.2"/>
    <row r="14944" s="166" customFormat="1" x14ac:dyDescent="0.2"/>
    <row r="14945" s="166" customFormat="1" x14ac:dyDescent="0.2"/>
    <row r="14946" s="166" customFormat="1" x14ac:dyDescent="0.2"/>
    <row r="14947" s="166" customFormat="1" x14ac:dyDescent="0.2"/>
    <row r="14948" s="166" customFormat="1" x14ac:dyDescent="0.2"/>
    <row r="14949" s="166" customFormat="1" x14ac:dyDescent="0.2"/>
    <row r="14950" s="166" customFormat="1" x14ac:dyDescent="0.2"/>
    <row r="14951" s="166" customFormat="1" x14ac:dyDescent="0.2"/>
    <row r="14952" s="166" customFormat="1" x14ac:dyDescent="0.2"/>
    <row r="14953" s="166" customFormat="1" x14ac:dyDescent="0.2"/>
    <row r="14954" s="166" customFormat="1" x14ac:dyDescent="0.2"/>
    <row r="14955" s="166" customFormat="1" x14ac:dyDescent="0.2"/>
    <row r="14956" s="166" customFormat="1" x14ac:dyDescent="0.2"/>
    <row r="14957" s="166" customFormat="1" x14ac:dyDescent="0.2"/>
    <row r="14958" s="166" customFormat="1" x14ac:dyDescent="0.2"/>
    <row r="14959" s="166" customFormat="1" x14ac:dyDescent="0.2"/>
    <row r="14960" s="166" customFormat="1" x14ac:dyDescent="0.2"/>
    <row r="14961" s="166" customFormat="1" x14ac:dyDescent="0.2"/>
    <row r="14962" s="166" customFormat="1" x14ac:dyDescent="0.2"/>
    <row r="14963" s="166" customFormat="1" x14ac:dyDescent="0.2"/>
    <row r="14964" s="166" customFormat="1" x14ac:dyDescent="0.2"/>
    <row r="14965" s="166" customFormat="1" x14ac:dyDescent="0.2"/>
    <row r="14966" s="166" customFormat="1" x14ac:dyDescent="0.2"/>
    <row r="14967" s="166" customFormat="1" x14ac:dyDescent="0.2"/>
    <row r="14968" s="166" customFormat="1" x14ac:dyDescent="0.2"/>
    <row r="14969" s="166" customFormat="1" x14ac:dyDescent="0.2"/>
    <row r="14970" s="166" customFormat="1" x14ac:dyDescent="0.2"/>
    <row r="14971" s="166" customFormat="1" x14ac:dyDescent="0.2"/>
    <row r="14972" s="166" customFormat="1" x14ac:dyDescent="0.2"/>
    <row r="14973" s="166" customFormat="1" x14ac:dyDescent="0.2"/>
    <row r="14974" s="166" customFormat="1" x14ac:dyDescent="0.2"/>
    <row r="14975" s="166" customFormat="1" x14ac:dyDescent="0.2"/>
    <row r="14976" s="166" customFormat="1" x14ac:dyDescent="0.2"/>
    <row r="14977" s="166" customFormat="1" x14ac:dyDescent="0.2"/>
    <row r="14978" s="166" customFormat="1" x14ac:dyDescent="0.2"/>
    <row r="14979" s="166" customFormat="1" x14ac:dyDescent="0.2"/>
    <row r="14980" s="166" customFormat="1" x14ac:dyDescent="0.2"/>
    <row r="14981" s="166" customFormat="1" x14ac:dyDescent="0.2"/>
    <row r="14982" s="166" customFormat="1" x14ac:dyDescent="0.2"/>
    <row r="14983" s="166" customFormat="1" x14ac:dyDescent="0.2"/>
    <row r="14984" s="166" customFormat="1" x14ac:dyDescent="0.2"/>
    <row r="14985" s="166" customFormat="1" x14ac:dyDescent="0.2"/>
    <row r="14986" s="166" customFormat="1" x14ac:dyDescent="0.2"/>
    <row r="14987" s="166" customFormat="1" x14ac:dyDescent="0.2"/>
    <row r="14988" s="166" customFormat="1" x14ac:dyDescent="0.2"/>
    <row r="14989" s="166" customFormat="1" x14ac:dyDescent="0.2"/>
    <row r="14990" s="166" customFormat="1" x14ac:dyDescent="0.2"/>
    <row r="14991" s="166" customFormat="1" x14ac:dyDescent="0.2"/>
    <row r="14992" s="166" customFormat="1" x14ac:dyDescent="0.2"/>
    <row r="14993" s="166" customFormat="1" x14ac:dyDescent="0.2"/>
    <row r="14994" s="166" customFormat="1" x14ac:dyDescent="0.2"/>
    <row r="14995" s="166" customFormat="1" x14ac:dyDescent="0.2"/>
    <row r="14996" s="166" customFormat="1" x14ac:dyDescent="0.2"/>
    <row r="14997" s="166" customFormat="1" x14ac:dyDescent="0.2"/>
    <row r="14998" s="166" customFormat="1" x14ac:dyDescent="0.2"/>
    <row r="14999" s="166" customFormat="1" x14ac:dyDescent="0.2"/>
    <row r="15000" s="166" customFormat="1" x14ac:dyDescent="0.2"/>
    <row r="15001" s="166" customFormat="1" x14ac:dyDescent="0.2"/>
    <row r="15002" s="166" customFormat="1" x14ac:dyDescent="0.2"/>
    <row r="15003" s="166" customFormat="1" x14ac:dyDescent="0.2"/>
    <row r="15004" s="166" customFormat="1" x14ac:dyDescent="0.2"/>
    <row r="15005" s="166" customFormat="1" x14ac:dyDescent="0.2"/>
    <row r="15006" s="166" customFormat="1" x14ac:dyDescent="0.2"/>
    <row r="15007" s="166" customFormat="1" x14ac:dyDescent="0.2"/>
    <row r="15008" s="166" customFormat="1" x14ac:dyDescent="0.2"/>
    <row r="15009" s="166" customFormat="1" x14ac:dyDescent="0.2"/>
    <row r="15010" s="166" customFormat="1" x14ac:dyDescent="0.2"/>
    <row r="15011" s="166" customFormat="1" x14ac:dyDescent="0.2"/>
    <row r="15012" s="166" customFormat="1" x14ac:dyDescent="0.2"/>
    <row r="15013" s="166" customFormat="1" x14ac:dyDescent="0.2"/>
    <row r="15014" s="166" customFormat="1" x14ac:dyDescent="0.2"/>
    <row r="15015" s="166" customFormat="1" x14ac:dyDescent="0.2"/>
    <row r="15016" s="166" customFormat="1" x14ac:dyDescent="0.2"/>
    <row r="15017" s="166" customFormat="1" x14ac:dyDescent="0.2"/>
    <row r="15018" s="166" customFormat="1" x14ac:dyDescent="0.2"/>
    <row r="15019" s="166" customFormat="1" x14ac:dyDescent="0.2"/>
    <row r="15020" s="166" customFormat="1" x14ac:dyDescent="0.2"/>
    <row r="15021" s="166" customFormat="1" x14ac:dyDescent="0.2"/>
    <row r="15022" s="166" customFormat="1" x14ac:dyDescent="0.2"/>
    <row r="15023" s="166" customFormat="1" x14ac:dyDescent="0.2"/>
    <row r="15024" s="166" customFormat="1" x14ac:dyDescent="0.2"/>
    <row r="15025" s="166" customFormat="1" x14ac:dyDescent="0.2"/>
    <row r="15026" s="166" customFormat="1" x14ac:dyDescent="0.2"/>
    <row r="15027" s="166" customFormat="1" x14ac:dyDescent="0.2"/>
    <row r="15028" s="166" customFormat="1" x14ac:dyDescent="0.2"/>
    <row r="15029" s="166" customFormat="1" x14ac:dyDescent="0.2"/>
    <row r="15030" s="166" customFormat="1" x14ac:dyDescent="0.2"/>
    <row r="15031" s="166" customFormat="1" x14ac:dyDescent="0.2"/>
    <row r="15032" s="166" customFormat="1" x14ac:dyDescent="0.2"/>
    <row r="15033" s="166" customFormat="1" x14ac:dyDescent="0.2"/>
    <row r="15034" s="166" customFormat="1" x14ac:dyDescent="0.2"/>
    <row r="15035" s="166" customFormat="1" x14ac:dyDescent="0.2"/>
    <row r="15036" s="166" customFormat="1" x14ac:dyDescent="0.2"/>
    <row r="15037" s="166" customFormat="1" x14ac:dyDescent="0.2"/>
    <row r="15038" s="166" customFormat="1" x14ac:dyDescent="0.2"/>
    <row r="15039" s="166" customFormat="1" x14ac:dyDescent="0.2"/>
    <row r="15040" s="166" customFormat="1" x14ac:dyDescent="0.2"/>
    <row r="15041" s="166" customFormat="1" x14ac:dyDescent="0.2"/>
    <row r="15042" s="166" customFormat="1" x14ac:dyDescent="0.2"/>
    <row r="15043" s="166" customFormat="1" x14ac:dyDescent="0.2"/>
    <row r="15044" s="166" customFormat="1" x14ac:dyDescent="0.2"/>
    <row r="15045" s="166" customFormat="1" x14ac:dyDescent="0.2"/>
    <row r="15046" s="166" customFormat="1" x14ac:dyDescent="0.2"/>
    <row r="15047" s="166" customFormat="1" x14ac:dyDescent="0.2"/>
    <row r="15048" s="166" customFormat="1" x14ac:dyDescent="0.2"/>
    <row r="15049" s="166" customFormat="1" x14ac:dyDescent="0.2"/>
    <row r="15050" s="166" customFormat="1" x14ac:dyDescent="0.2"/>
    <row r="15051" s="166" customFormat="1" x14ac:dyDescent="0.2"/>
    <row r="15052" s="166" customFormat="1" x14ac:dyDescent="0.2"/>
    <row r="15053" s="166" customFormat="1" x14ac:dyDescent="0.2"/>
    <row r="15054" s="166" customFormat="1" x14ac:dyDescent="0.2"/>
    <row r="15055" s="166" customFormat="1" x14ac:dyDescent="0.2"/>
    <row r="15056" s="166" customFormat="1" x14ac:dyDescent="0.2"/>
    <row r="15057" s="166" customFormat="1" x14ac:dyDescent="0.2"/>
    <row r="15058" s="166" customFormat="1" x14ac:dyDescent="0.2"/>
    <row r="15059" s="166" customFormat="1" x14ac:dyDescent="0.2"/>
    <row r="15060" s="166" customFormat="1" x14ac:dyDescent="0.2"/>
    <row r="15061" s="166" customFormat="1" x14ac:dyDescent="0.2"/>
    <row r="15062" s="166" customFormat="1" x14ac:dyDescent="0.2"/>
    <row r="15063" s="166" customFormat="1" x14ac:dyDescent="0.2"/>
    <row r="15064" s="166" customFormat="1" x14ac:dyDescent="0.2"/>
    <row r="15065" s="166" customFormat="1" x14ac:dyDescent="0.2"/>
    <row r="15066" s="166" customFormat="1" x14ac:dyDescent="0.2"/>
    <row r="15067" s="166" customFormat="1" x14ac:dyDescent="0.2"/>
    <row r="15068" s="166" customFormat="1" x14ac:dyDescent="0.2"/>
    <row r="15069" s="166" customFormat="1" x14ac:dyDescent="0.2"/>
    <row r="15070" s="166" customFormat="1" x14ac:dyDescent="0.2"/>
    <row r="15071" s="166" customFormat="1" x14ac:dyDescent="0.2"/>
    <row r="15072" s="166" customFormat="1" x14ac:dyDescent="0.2"/>
    <row r="15073" s="166" customFormat="1" x14ac:dyDescent="0.2"/>
    <row r="15074" s="166" customFormat="1" x14ac:dyDescent="0.2"/>
    <row r="15075" s="166" customFormat="1" x14ac:dyDescent="0.2"/>
    <row r="15076" s="166" customFormat="1" x14ac:dyDescent="0.2"/>
    <row r="15077" s="166" customFormat="1" x14ac:dyDescent="0.2"/>
    <row r="15078" s="166" customFormat="1" x14ac:dyDescent="0.2"/>
    <row r="15079" s="166" customFormat="1" x14ac:dyDescent="0.2"/>
    <row r="15080" s="166" customFormat="1" x14ac:dyDescent="0.2"/>
    <row r="15081" s="166" customFormat="1" x14ac:dyDescent="0.2"/>
    <row r="15082" s="166" customFormat="1" x14ac:dyDescent="0.2"/>
    <row r="15083" s="166" customFormat="1" x14ac:dyDescent="0.2"/>
    <row r="15084" s="166" customFormat="1" x14ac:dyDescent="0.2"/>
    <row r="15085" s="166" customFormat="1" x14ac:dyDescent="0.2"/>
    <row r="15086" s="166" customFormat="1" x14ac:dyDescent="0.2"/>
    <row r="15087" s="166" customFormat="1" x14ac:dyDescent="0.2"/>
    <row r="15088" s="166" customFormat="1" x14ac:dyDescent="0.2"/>
    <row r="15089" s="166" customFormat="1" x14ac:dyDescent="0.2"/>
    <row r="15090" s="166" customFormat="1" x14ac:dyDescent="0.2"/>
    <row r="15091" s="166" customFormat="1" x14ac:dyDescent="0.2"/>
    <row r="15092" s="166" customFormat="1" x14ac:dyDescent="0.2"/>
    <row r="15093" s="166" customFormat="1" x14ac:dyDescent="0.2"/>
    <row r="15094" s="166" customFormat="1" x14ac:dyDescent="0.2"/>
    <row r="15095" s="166" customFormat="1" x14ac:dyDescent="0.2"/>
    <row r="15096" s="166" customFormat="1" x14ac:dyDescent="0.2"/>
    <row r="15097" s="166" customFormat="1" x14ac:dyDescent="0.2"/>
    <row r="15098" s="166" customFormat="1" x14ac:dyDescent="0.2"/>
    <row r="15099" s="166" customFormat="1" x14ac:dyDescent="0.2"/>
    <row r="15100" s="166" customFormat="1" x14ac:dyDescent="0.2"/>
    <row r="15101" s="166" customFormat="1" x14ac:dyDescent="0.2"/>
    <row r="15102" s="166" customFormat="1" x14ac:dyDescent="0.2"/>
    <row r="15103" s="166" customFormat="1" x14ac:dyDescent="0.2"/>
    <row r="15104" s="166" customFormat="1" x14ac:dyDescent="0.2"/>
    <row r="15105" s="166" customFormat="1" x14ac:dyDescent="0.2"/>
    <row r="15106" s="166" customFormat="1" x14ac:dyDescent="0.2"/>
    <row r="15107" s="166" customFormat="1" x14ac:dyDescent="0.2"/>
    <row r="15108" s="166" customFormat="1" x14ac:dyDescent="0.2"/>
    <row r="15109" s="166" customFormat="1" x14ac:dyDescent="0.2"/>
    <row r="15110" s="166" customFormat="1" x14ac:dyDescent="0.2"/>
    <row r="15111" s="166" customFormat="1" x14ac:dyDescent="0.2"/>
    <row r="15112" s="166" customFormat="1" x14ac:dyDescent="0.2"/>
    <row r="15113" s="166" customFormat="1" x14ac:dyDescent="0.2"/>
    <row r="15114" s="166" customFormat="1" x14ac:dyDescent="0.2"/>
    <row r="15115" s="166" customFormat="1" x14ac:dyDescent="0.2"/>
    <row r="15116" s="166" customFormat="1" x14ac:dyDescent="0.2"/>
    <row r="15117" s="166" customFormat="1" x14ac:dyDescent="0.2"/>
    <row r="15118" s="166" customFormat="1" x14ac:dyDescent="0.2"/>
    <row r="15119" s="166" customFormat="1" x14ac:dyDescent="0.2"/>
    <row r="15120" s="166" customFormat="1" x14ac:dyDescent="0.2"/>
    <row r="15121" s="166" customFormat="1" x14ac:dyDescent="0.2"/>
    <row r="15122" s="166" customFormat="1" x14ac:dyDescent="0.2"/>
    <row r="15123" s="166" customFormat="1" x14ac:dyDescent="0.2"/>
    <row r="15124" s="166" customFormat="1" x14ac:dyDescent="0.2"/>
    <row r="15125" s="166" customFormat="1" x14ac:dyDescent="0.2"/>
    <row r="15126" s="166" customFormat="1" x14ac:dyDescent="0.2"/>
    <row r="15127" s="166" customFormat="1" x14ac:dyDescent="0.2"/>
    <row r="15128" s="166" customFormat="1" x14ac:dyDescent="0.2"/>
    <row r="15129" s="166" customFormat="1" x14ac:dyDescent="0.2"/>
    <row r="15130" s="166" customFormat="1" x14ac:dyDescent="0.2"/>
    <row r="15131" s="166" customFormat="1" x14ac:dyDescent="0.2"/>
    <row r="15132" s="166" customFormat="1" x14ac:dyDescent="0.2"/>
    <row r="15133" s="166" customFormat="1" x14ac:dyDescent="0.2"/>
    <row r="15134" s="166" customFormat="1" x14ac:dyDescent="0.2"/>
    <row r="15135" s="166" customFormat="1" x14ac:dyDescent="0.2"/>
    <row r="15136" s="166" customFormat="1" x14ac:dyDescent="0.2"/>
    <row r="15137" s="166" customFormat="1" x14ac:dyDescent="0.2"/>
    <row r="15138" s="166" customFormat="1" x14ac:dyDescent="0.2"/>
    <row r="15139" s="166" customFormat="1" x14ac:dyDescent="0.2"/>
    <row r="15140" s="166" customFormat="1" x14ac:dyDescent="0.2"/>
    <row r="15141" s="166" customFormat="1" x14ac:dyDescent="0.2"/>
    <row r="15142" s="166" customFormat="1" x14ac:dyDescent="0.2"/>
    <row r="15143" s="166" customFormat="1" x14ac:dyDescent="0.2"/>
    <row r="15144" s="166" customFormat="1" x14ac:dyDescent="0.2"/>
    <row r="15145" s="166" customFormat="1" x14ac:dyDescent="0.2"/>
    <row r="15146" s="166" customFormat="1" x14ac:dyDescent="0.2"/>
    <row r="15147" s="166" customFormat="1" x14ac:dyDescent="0.2"/>
    <row r="15148" s="166" customFormat="1" x14ac:dyDescent="0.2"/>
    <row r="15149" s="166" customFormat="1" x14ac:dyDescent="0.2"/>
    <row r="15150" s="166" customFormat="1" x14ac:dyDescent="0.2"/>
    <row r="15151" s="166" customFormat="1" x14ac:dyDescent="0.2"/>
    <row r="15152" s="166" customFormat="1" x14ac:dyDescent="0.2"/>
    <row r="15153" s="166" customFormat="1" x14ac:dyDescent="0.2"/>
    <row r="15154" s="166" customFormat="1" x14ac:dyDescent="0.2"/>
    <row r="15155" s="166" customFormat="1" x14ac:dyDescent="0.2"/>
    <row r="15156" s="166" customFormat="1" x14ac:dyDescent="0.2"/>
    <row r="15157" s="166" customFormat="1" x14ac:dyDescent="0.2"/>
    <row r="15158" s="166" customFormat="1" x14ac:dyDescent="0.2"/>
    <row r="15159" s="166" customFormat="1" x14ac:dyDescent="0.2"/>
    <row r="15160" s="166" customFormat="1" x14ac:dyDescent="0.2"/>
    <row r="15161" s="166" customFormat="1" x14ac:dyDescent="0.2"/>
    <row r="15162" s="166" customFormat="1" x14ac:dyDescent="0.2"/>
    <row r="15163" s="166" customFormat="1" x14ac:dyDescent="0.2"/>
    <row r="15164" s="166" customFormat="1" x14ac:dyDescent="0.2"/>
    <row r="15165" s="166" customFormat="1" x14ac:dyDescent="0.2"/>
    <row r="15166" s="166" customFormat="1" x14ac:dyDescent="0.2"/>
    <row r="15167" s="166" customFormat="1" x14ac:dyDescent="0.2"/>
    <row r="15168" s="166" customFormat="1" x14ac:dyDescent="0.2"/>
    <row r="15169" s="166" customFormat="1" x14ac:dyDescent="0.2"/>
    <row r="15170" s="166" customFormat="1" x14ac:dyDescent="0.2"/>
    <row r="15171" s="166" customFormat="1" x14ac:dyDescent="0.2"/>
    <row r="15172" s="166" customFormat="1" x14ac:dyDescent="0.2"/>
    <row r="15173" s="166" customFormat="1" x14ac:dyDescent="0.2"/>
    <row r="15174" s="166" customFormat="1" x14ac:dyDescent="0.2"/>
    <row r="15175" s="166" customFormat="1" x14ac:dyDescent="0.2"/>
    <row r="15176" s="166" customFormat="1" x14ac:dyDescent="0.2"/>
    <row r="15177" s="166" customFormat="1" x14ac:dyDescent="0.2"/>
    <row r="15178" s="166" customFormat="1" x14ac:dyDescent="0.2"/>
    <row r="15179" s="166" customFormat="1" x14ac:dyDescent="0.2"/>
    <row r="15180" s="166" customFormat="1" x14ac:dyDescent="0.2"/>
    <row r="15181" s="166" customFormat="1" x14ac:dyDescent="0.2"/>
    <row r="15182" s="166" customFormat="1" x14ac:dyDescent="0.2"/>
    <row r="15183" s="166" customFormat="1" x14ac:dyDescent="0.2"/>
    <row r="15184" s="166" customFormat="1" x14ac:dyDescent="0.2"/>
    <row r="15185" s="166" customFormat="1" x14ac:dyDescent="0.2"/>
    <row r="15186" s="166" customFormat="1" x14ac:dyDescent="0.2"/>
    <row r="15187" s="166" customFormat="1" x14ac:dyDescent="0.2"/>
    <row r="15188" s="166" customFormat="1" x14ac:dyDescent="0.2"/>
    <row r="15189" s="166" customFormat="1" x14ac:dyDescent="0.2"/>
    <row r="15190" s="166" customFormat="1" x14ac:dyDescent="0.2"/>
    <row r="15191" s="166" customFormat="1" x14ac:dyDescent="0.2"/>
    <row r="15192" s="166" customFormat="1" x14ac:dyDescent="0.2"/>
    <row r="15193" s="166" customFormat="1" x14ac:dyDescent="0.2"/>
    <row r="15194" s="166" customFormat="1" x14ac:dyDescent="0.2"/>
    <row r="15195" s="166" customFormat="1" x14ac:dyDescent="0.2"/>
    <row r="15196" s="166" customFormat="1" x14ac:dyDescent="0.2"/>
    <row r="15197" s="166" customFormat="1" x14ac:dyDescent="0.2"/>
    <row r="15198" s="166" customFormat="1" x14ac:dyDescent="0.2"/>
    <row r="15199" s="166" customFormat="1" x14ac:dyDescent="0.2"/>
    <row r="15200" s="166" customFormat="1" x14ac:dyDescent="0.2"/>
    <row r="15201" s="166" customFormat="1" x14ac:dyDescent="0.2"/>
    <row r="15202" s="166" customFormat="1" x14ac:dyDescent="0.2"/>
    <row r="15203" s="166" customFormat="1" x14ac:dyDescent="0.2"/>
    <row r="15204" s="166" customFormat="1" x14ac:dyDescent="0.2"/>
    <row r="15205" s="166" customFormat="1" x14ac:dyDescent="0.2"/>
    <row r="15206" s="166" customFormat="1" x14ac:dyDescent="0.2"/>
    <row r="15207" s="166" customFormat="1" x14ac:dyDescent="0.2"/>
    <row r="15208" s="166" customFormat="1" x14ac:dyDescent="0.2"/>
    <row r="15209" s="166" customFormat="1" x14ac:dyDescent="0.2"/>
    <row r="15210" s="166" customFormat="1" x14ac:dyDescent="0.2"/>
    <row r="15211" s="166" customFormat="1" x14ac:dyDescent="0.2"/>
    <row r="15212" s="166" customFormat="1" x14ac:dyDescent="0.2"/>
    <row r="15213" s="166" customFormat="1" x14ac:dyDescent="0.2"/>
    <row r="15214" s="166" customFormat="1" x14ac:dyDescent="0.2"/>
    <row r="15215" s="166" customFormat="1" x14ac:dyDescent="0.2"/>
    <row r="15216" s="166" customFormat="1" x14ac:dyDescent="0.2"/>
    <row r="15217" s="166" customFormat="1" x14ac:dyDescent="0.2"/>
    <row r="15218" s="166" customFormat="1" x14ac:dyDescent="0.2"/>
    <row r="15219" s="166" customFormat="1" x14ac:dyDescent="0.2"/>
    <row r="15220" s="166" customFormat="1" x14ac:dyDescent="0.2"/>
    <row r="15221" s="166" customFormat="1" x14ac:dyDescent="0.2"/>
    <row r="15222" s="166" customFormat="1" x14ac:dyDescent="0.2"/>
    <row r="15223" s="166" customFormat="1" x14ac:dyDescent="0.2"/>
    <row r="15224" s="166" customFormat="1" x14ac:dyDescent="0.2"/>
    <row r="15225" s="166" customFormat="1" x14ac:dyDescent="0.2"/>
    <row r="15226" s="166" customFormat="1" x14ac:dyDescent="0.2"/>
    <row r="15227" s="166" customFormat="1" x14ac:dyDescent="0.2"/>
    <row r="15228" s="166" customFormat="1" x14ac:dyDescent="0.2"/>
    <row r="15229" s="166" customFormat="1" x14ac:dyDescent="0.2"/>
    <row r="15230" s="166" customFormat="1" x14ac:dyDescent="0.2"/>
    <row r="15231" s="166" customFormat="1" x14ac:dyDescent="0.2"/>
    <row r="15232" s="166" customFormat="1" x14ac:dyDescent="0.2"/>
    <row r="15233" s="166" customFormat="1" x14ac:dyDescent="0.2"/>
    <row r="15234" s="166" customFormat="1" x14ac:dyDescent="0.2"/>
    <row r="15235" s="166" customFormat="1" x14ac:dyDescent="0.2"/>
    <row r="15236" s="166" customFormat="1" x14ac:dyDescent="0.2"/>
    <row r="15237" s="166" customFormat="1" x14ac:dyDescent="0.2"/>
    <row r="15238" s="166" customFormat="1" x14ac:dyDescent="0.2"/>
    <row r="15239" s="166" customFormat="1" x14ac:dyDescent="0.2"/>
    <row r="15240" s="166" customFormat="1" x14ac:dyDescent="0.2"/>
    <row r="15241" s="166" customFormat="1" x14ac:dyDescent="0.2"/>
    <row r="15242" s="166" customFormat="1" x14ac:dyDescent="0.2"/>
    <row r="15243" s="166" customFormat="1" x14ac:dyDescent="0.2"/>
    <row r="15244" s="166" customFormat="1" x14ac:dyDescent="0.2"/>
    <row r="15245" s="166" customFormat="1" x14ac:dyDescent="0.2"/>
    <row r="15246" s="166" customFormat="1" x14ac:dyDescent="0.2"/>
    <row r="15247" s="166" customFormat="1" x14ac:dyDescent="0.2"/>
    <row r="15248" s="166" customFormat="1" x14ac:dyDescent="0.2"/>
    <row r="15249" s="166" customFormat="1" x14ac:dyDescent="0.2"/>
    <row r="15250" s="166" customFormat="1" x14ac:dyDescent="0.2"/>
    <row r="15251" s="166" customFormat="1" x14ac:dyDescent="0.2"/>
    <row r="15252" s="166" customFormat="1" x14ac:dyDescent="0.2"/>
    <row r="15253" s="166" customFormat="1" x14ac:dyDescent="0.2"/>
    <row r="15254" s="166" customFormat="1" x14ac:dyDescent="0.2"/>
    <row r="15255" s="166" customFormat="1" x14ac:dyDescent="0.2"/>
    <row r="15256" s="166" customFormat="1" x14ac:dyDescent="0.2"/>
    <row r="15257" s="166" customFormat="1" x14ac:dyDescent="0.2"/>
    <row r="15258" s="166" customFormat="1" x14ac:dyDescent="0.2"/>
    <row r="15259" s="166" customFormat="1" x14ac:dyDescent="0.2"/>
    <row r="15260" s="166" customFormat="1" x14ac:dyDescent="0.2"/>
    <row r="15261" s="166" customFormat="1" x14ac:dyDescent="0.2"/>
    <row r="15262" s="166" customFormat="1" x14ac:dyDescent="0.2"/>
    <row r="15263" s="166" customFormat="1" x14ac:dyDescent="0.2"/>
    <row r="15264" s="166" customFormat="1" x14ac:dyDescent="0.2"/>
    <row r="15265" s="166" customFormat="1" x14ac:dyDescent="0.2"/>
    <row r="15266" s="166" customFormat="1" x14ac:dyDescent="0.2"/>
    <row r="15267" s="166" customFormat="1" x14ac:dyDescent="0.2"/>
    <row r="15268" s="166" customFormat="1" x14ac:dyDescent="0.2"/>
    <row r="15269" s="166" customFormat="1" x14ac:dyDescent="0.2"/>
    <row r="15270" s="166" customFormat="1" x14ac:dyDescent="0.2"/>
    <row r="15271" s="166" customFormat="1" x14ac:dyDescent="0.2"/>
    <row r="15272" s="166" customFormat="1" x14ac:dyDescent="0.2"/>
    <row r="15273" s="166" customFormat="1" x14ac:dyDescent="0.2"/>
    <row r="15274" s="166" customFormat="1" x14ac:dyDescent="0.2"/>
    <row r="15275" s="166" customFormat="1" x14ac:dyDescent="0.2"/>
    <row r="15276" s="166" customFormat="1" x14ac:dyDescent="0.2"/>
    <row r="15277" s="166" customFormat="1" x14ac:dyDescent="0.2"/>
    <row r="15278" s="166" customFormat="1" x14ac:dyDescent="0.2"/>
    <row r="15279" s="166" customFormat="1" x14ac:dyDescent="0.2"/>
    <row r="15280" s="166" customFormat="1" x14ac:dyDescent="0.2"/>
    <row r="15281" s="166" customFormat="1" x14ac:dyDescent="0.2"/>
    <row r="15282" s="166" customFormat="1" x14ac:dyDescent="0.2"/>
    <row r="15283" s="166" customFormat="1" x14ac:dyDescent="0.2"/>
    <row r="15284" s="166" customFormat="1" x14ac:dyDescent="0.2"/>
    <row r="15285" s="166" customFormat="1" x14ac:dyDescent="0.2"/>
    <row r="15286" s="166" customFormat="1" x14ac:dyDescent="0.2"/>
    <row r="15287" s="166" customFormat="1" x14ac:dyDescent="0.2"/>
    <row r="15288" s="166" customFormat="1" x14ac:dyDescent="0.2"/>
    <row r="15289" s="166" customFormat="1" x14ac:dyDescent="0.2"/>
    <row r="15290" s="166" customFormat="1" x14ac:dyDescent="0.2"/>
    <row r="15291" s="166" customFormat="1" x14ac:dyDescent="0.2"/>
    <row r="15292" s="166" customFormat="1" x14ac:dyDescent="0.2"/>
    <row r="15293" s="166" customFormat="1" x14ac:dyDescent="0.2"/>
    <row r="15294" s="166" customFormat="1" x14ac:dyDescent="0.2"/>
    <row r="15295" s="166" customFormat="1" x14ac:dyDescent="0.2"/>
    <row r="15296" s="166" customFormat="1" x14ac:dyDescent="0.2"/>
    <row r="15297" s="166" customFormat="1" x14ac:dyDescent="0.2"/>
    <row r="15298" s="166" customFormat="1" x14ac:dyDescent="0.2"/>
    <row r="15299" s="166" customFormat="1" x14ac:dyDescent="0.2"/>
    <row r="15300" s="166" customFormat="1" x14ac:dyDescent="0.2"/>
    <row r="15301" s="166" customFormat="1" x14ac:dyDescent="0.2"/>
    <row r="15302" s="166" customFormat="1" x14ac:dyDescent="0.2"/>
    <row r="15303" s="166" customFormat="1" x14ac:dyDescent="0.2"/>
    <row r="15304" s="166" customFormat="1" x14ac:dyDescent="0.2"/>
    <row r="15305" s="166" customFormat="1" x14ac:dyDescent="0.2"/>
    <row r="15306" s="166" customFormat="1" x14ac:dyDescent="0.2"/>
    <row r="15307" s="166" customFormat="1" x14ac:dyDescent="0.2"/>
    <row r="15308" s="166" customFormat="1" x14ac:dyDescent="0.2"/>
    <row r="15309" s="166" customFormat="1" x14ac:dyDescent="0.2"/>
    <row r="15310" s="166" customFormat="1" x14ac:dyDescent="0.2"/>
    <row r="15311" s="166" customFormat="1" x14ac:dyDescent="0.2"/>
    <row r="15312" s="166" customFormat="1" x14ac:dyDescent="0.2"/>
    <row r="15313" s="166" customFormat="1" x14ac:dyDescent="0.2"/>
    <row r="15314" s="166" customFormat="1" x14ac:dyDescent="0.2"/>
    <row r="15315" s="166" customFormat="1" x14ac:dyDescent="0.2"/>
    <row r="15316" s="166" customFormat="1" x14ac:dyDescent="0.2"/>
    <row r="15317" s="166" customFormat="1" x14ac:dyDescent="0.2"/>
    <row r="15318" s="166" customFormat="1" x14ac:dyDescent="0.2"/>
    <row r="15319" s="166" customFormat="1" x14ac:dyDescent="0.2"/>
    <row r="15320" s="166" customFormat="1" x14ac:dyDescent="0.2"/>
    <row r="15321" s="166" customFormat="1" x14ac:dyDescent="0.2"/>
    <row r="15322" s="166" customFormat="1" x14ac:dyDescent="0.2"/>
    <row r="15323" s="166" customFormat="1" x14ac:dyDescent="0.2"/>
    <row r="15324" s="166" customFormat="1" x14ac:dyDescent="0.2"/>
    <row r="15325" s="166" customFormat="1" x14ac:dyDescent="0.2"/>
    <row r="15326" s="166" customFormat="1" x14ac:dyDescent="0.2"/>
    <row r="15327" s="166" customFormat="1" x14ac:dyDescent="0.2"/>
    <row r="15328" s="166" customFormat="1" x14ac:dyDescent="0.2"/>
    <row r="15329" s="166" customFormat="1" x14ac:dyDescent="0.2"/>
    <row r="15330" s="166" customFormat="1" x14ac:dyDescent="0.2"/>
    <row r="15331" s="166" customFormat="1" x14ac:dyDescent="0.2"/>
    <row r="15332" s="166" customFormat="1" x14ac:dyDescent="0.2"/>
    <row r="15333" s="166" customFormat="1" x14ac:dyDescent="0.2"/>
    <row r="15334" s="166" customFormat="1" x14ac:dyDescent="0.2"/>
    <row r="15335" s="166" customFormat="1" x14ac:dyDescent="0.2"/>
    <row r="15336" s="166" customFormat="1" x14ac:dyDescent="0.2"/>
    <row r="15337" s="166" customFormat="1" x14ac:dyDescent="0.2"/>
    <row r="15338" s="166" customFormat="1" x14ac:dyDescent="0.2"/>
    <row r="15339" s="166" customFormat="1" x14ac:dyDescent="0.2"/>
    <row r="15340" s="166" customFormat="1" x14ac:dyDescent="0.2"/>
    <row r="15341" s="166" customFormat="1" x14ac:dyDescent="0.2"/>
    <row r="15342" s="166" customFormat="1" x14ac:dyDescent="0.2"/>
    <row r="15343" s="166" customFormat="1" x14ac:dyDescent="0.2"/>
    <row r="15344" s="166" customFormat="1" x14ac:dyDescent="0.2"/>
    <row r="15345" s="166" customFormat="1" x14ac:dyDescent="0.2"/>
    <row r="15346" s="166" customFormat="1" x14ac:dyDescent="0.2"/>
    <row r="15347" s="166" customFormat="1" x14ac:dyDescent="0.2"/>
    <row r="15348" s="166" customFormat="1" x14ac:dyDescent="0.2"/>
    <row r="15349" s="166" customFormat="1" x14ac:dyDescent="0.2"/>
    <row r="15350" s="166" customFormat="1" x14ac:dyDescent="0.2"/>
    <row r="15351" s="166" customFormat="1" x14ac:dyDescent="0.2"/>
    <row r="15352" s="166" customFormat="1" x14ac:dyDescent="0.2"/>
    <row r="15353" s="166" customFormat="1" x14ac:dyDescent="0.2"/>
    <row r="15354" s="166" customFormat="1" x14ac:dyDescent="0.2"/>
    <row r="15355" s="166" customFormat="1" x14ac:dyDescent="0.2"/>
    <row r="15356" s="166" customFormat="1" x14ac:dyDescent="0.2"/>
    <row r="15357" s="166" customFormat="1" x14ac:dyDescent="0.2"/>
    <row r="15358" s="166" customFormat="1" x14ac:dyDescent="0.2"/>
    <row r="15359" s="166" customFormat="1" x14ac:dyDescent="0.2"/>
    <row r="15360" s="166" customFormat="1" x14ac:dyDescent="0.2"/>
    <row r="15361" s="166" customFormat="1" x14ac:dyDescent="0.2"/>
    <row r="15362" s="166" customFormat="1" x14ac:dyDescent="0.2"/>
    <row r="15363" s="166" customFormat="1" x14ac:dyDescent="0.2"/>
    <row r="15364" s="166" customFormat="1" x14ac:dyDescent="0.2"/>
    <row r="15365" s="166" customFormat="1" x14ac:dyDescent="0.2"/>
    <row r="15366" s="166" customFormat="1" x14ac:dyDescent="0.2"/>
    <row r="15367" s="166" customFormat="1" x14ac:dyDescent="0.2"/>
    <row r="15368" s="166" customFormat="1" x14ac:dyDescent="0.2"/>
    <row r="15369" s="166" customFormat="1" x14ac:dyDescent="0.2"/>
    <row r="15370" s="166" customFormat="1" x14ac:dyDescent="0.2"/>
    <row r="15371" s="166" customFormat="1" x14ac:dyDescent="0.2"/>
    <row r="15372" s="166" customFormat="1" x14ac:dyDescent="0.2"/>
    <row r="15373" s="166" customFormat="1" x14ac:dyDescent="0.2"/>
    <row r="15374" s="166" customFormat="1" x14ac:dyDescent="0.2"/>
    <row r="15375" s="166" customFormat="1" x14ac:dyDescent="0.2"/>
    <row r="15376" s="166" customFormat="1" x14ac:dyDescent="0.2"/>
    <row r="15377" s="166" customFormat="1" x14ac:dyDescent="0.2"/>
    <row r="15378" s="166" customFormat="1" x14ac:dyDescent="0.2"/>
    <row r="15379" s="166" customFormat="1" x14ac:dyDescent="0.2"/>
    <row r="15380" s="166" customFormat="1" x14ac:dyDescent="0.2"/>
    <row r="15381" s="166" customFormat="1" x14ac:dyDescent="0.2"/>
    <row r="15382" s="166" customFormat="1" x14ac:dyDescent="0.2"/>
    <row r="15383" s="166" customFormat="1" x14ac:dyDescent="0.2"/>
    <row r="15384" s="166" customFormat="1" x14ac:dyDescent="0.2"/>
    <row r="15385" s="166" customFormat="1" x14ac:dyDescent="0.2"/>
    <row r="15386" s="166" customFormat="1" x14ac:dyDescent="0.2"/>
    <row r="15387" s="166" customFormat="1" x14ac:dyDescent="0.2"/>
    <row r="15388" s="166" customFormat="1" x14ac:dyDescent="0.2"/>
    <row r="15389" s="166" customFormat="1" x14ac:dyDescent="0.2"/>
    <row r="15390" s="166" customFormat="1" x14ac:dyDescent="0.2"/>
    <row r="15391" s="166" customFormat="1" x14ac:dyDescent="0.2"/>
    <row r="15392" s="166" customFormat="1" x14ac:dyDescent="0.2"/>
    <row r="15393" s="166" customFormat="1" x14ac:dyDescent="0.2"/>
    <row r="15394" s="166" customFormat="1" x14ac:dyDescent="0.2"/>
    <row r="15395" s="166" customFormat="1" x14ac:dyDescent="0.2"/>
    <row r="15396" s="166" customFormat="1" x14ac:dyDescent="0.2"/>
    <row r="15397" s="166" customFormat="1" x14ac:dyDescent="0.2"/>
    <row r="15398" s="166" customFormat="1" x14ac:dyDescent="0.2"/>
    <row r="15399" s="166" customFormat="1" x14ac:dyDescent="0.2"/>
    <row r="15400" s="166" customFormat="1" x14ac:dyDescent="0.2"/>
    <row r="15401" s="166" customFormat="1" x14ac:dyDescent="0.2"/>
    <row r="15402" s="166" customFormat="1" x14ac:dyDescent="0.2"/>
    <row r="15403" s="166" customFormat="1" x14ac:dyDescent="0.2"/>
    <row r="15404" s="166" customFormat="1" x14ac:dyDescent="0.2"/>
    <row r="15405" s="166" customFormat="1" x14ac:dyDescent="0.2"/>
    <row r="15406" s="166" customFormat="1" x14ac:dyDescent="0.2"/>
    <row r="15407" s="166" customFormat="1" x14ac:dyDescent="0.2"/>
    <row r="15408" s="166" customFormat="1" x14ac:dyDescent="0.2"/>
    <row r="15409" s="166" customFormat="1" x14ac:dyDescent="0.2"/>
    <row r="15410" s="166" customFormat="1" x14ac:dyDescent="0.2"/>
    <row r="15411" s="166" customFormat="1" x14ac:dyDescent="0.2"/>
    <row r="15412" s="166" customFormat="1" x14ac:dyDescent="0.2"/>
    <row r="15413" s="166" customFormat="1" x14ac:dyDescent="0.2"/>
    <row r="15414" s="166" customFormat="1" x14ac:dyDescent="0.2"/>
    <row r="15415" s="166" customFormat="1" x14ac:dyDescent="0.2"/>
    <row r="15416" s="166" customFormat="1" x14ac:dyDescent="0.2"/>
    <row r="15417" s="166" customFormat="1" x14ac:dyDescent="0.2"/>
    <row r="15418" s="166" customFormat="1" x14ac:dyDescent="0.2"/>
    <row r="15419" s="166" customFormat="1" x14ac:dyDescent="0.2"/>
    <row r="15420" s="166" customFormat="1" x14ac:dyDescent="0.2"/>
    <row r="15421" s="166" customFormat="1" x14ac:dyDescent="0.2"/>
    <row r="15422" s="166" customFormat="1" x14ac:dyDescent="0.2"/>
    <row r="15423" s="166" customFormat="1" x14ac:dyDescent="0.2"/>
    <row r="15424" s="166" customFormat="1" x14ac:dyDescent="0.2"/>
    <row r="15425" s="166" customFormat="1" x14ac:dyDescent="0.2"/>
    <row r="15426" s="166" customFormat="1" x14ac:dyDescent="0.2"/>
    <row r="15427" s="166" customFormat="1" x14ac:dyDescent="0.2"/>
    <row r="15428" s="166" customFormat="1" x14ac:dyDescent="0.2"/>
    <row r="15429" s="166" customFormat="1" x14ac:dyDescent="0.2"/>
    <row r="15430" s="166" customFormat="1" x14ac:dyDescent="0.2"/>
    <row r="15431" s="166" customFormat="1" x14ac:dyDescent="0.2"/>
    <row r="15432" s="166" customFormat="1" x14ac:dyDescent="0.2"/>
    <row r="15433" s="166" customFormat="1" x14ac:dyDescent="0.2"/>
    <row r="15434" s="166" customFormat="1" x14ac:dyDescent="0.2"/>
    <row r="15435" s="166" customFormat="1" x14ac:dyDescent="0.2"/>
    <row r="15436" s="166" customFormat="1" x14ac:dyDescent="0.2"/>
    <row r="15437" s="166" customFormat="1" x14ac:dyDescent="0.2"/>
    <row r="15438" s="166" customFormat="1" x14ac:dyDescent="0.2"/>
    <row r="15439" s="166" customFormat="1" x14ac:dyDescent="0.2"/>
    <row r="15440" s="166" customFormat="1" x14ac:dyDescent="0.2"/>
    <row r="15441" s="166" customFormat="1" x14ac:dyDescent="0.2"/>
    <row r="15442" s="166" customFormat="1" x14ac:dyDescent="0.2"/>
    <row r="15443" s="166" customFormat="1" x14ac:dyDescent="0.2"/>
    <row r="15444" s="166" customFormat="1" x14ac:dyDescent="0.2"/>
    <row r="15445" s="166" customFormat="1" x14ac:dyDescent="0.2"/>
    <row r="15446" s="166" customFormat="1" x14ac:dyDescent="0.2"/>
    <row r="15447" s="166" customFormat="1" x14ac:dyDescent="0.2"/>
    <row r="15448" s="166" customFormat="1" x14ac:dyDescent="0.2"/>
    <row r="15449" s="166" customFormat="1" x14ac:dyDescent="0.2"/>
    <row r="15450" s="166" customFormat="1" x14ac:dyDescent="0.2"/>
    <row r="15451" s="166" customFormat="1" x14ac:dyDescent="0.2"/>
    <row r="15452" s="166" customFormat="1" x14ac:dyDescent="0.2"/>
    <row r="15453" s="166" customFormat="1" x14ac:dyDescent="0.2"/>
    <row r="15454" s="166" customFormat="1" x14ac:dyDescent="0.2"/>
    <row r="15455" s="166" customFormat="1" x14ac:dyDescent="0.2"/>
    <row r="15456" s="166" customFormat="1" x14ac:dyDescent="0.2"/>
    <row r="15457" s="166" customFormat="1" x14ac:dyDescent="0.2"/>
    <row r="15458" s="166" customFormat="1" x14ac:dyDescent="0.2"/>
    <row r="15459" s="166" customFormat="1" x14ac:dyDescent="0.2"/>
    <row r="15460" s="166" customFormat="1" x14ac:dyDescent="0.2"/>
    <row r="15461" s="166" customFormat="1" x14ac:dyDescent="0.2"/>
    <row r="15462" s="166" customFormat="1" x14ac:dyDescent="0.2"/>
    <row r="15463" s="166" customFormat="1" x14ac:dyDescent="0.2"/>
    <row r="15464" s="166" customFormat="1" x14ac:dyDescent="0.2"/>
    <row r="15465" s="166" customFormat="1" x14ac:dyDescent="0.2"/>
    <row r="15466" s="166" customFormat="1" x14ac:dyDescent="0.2"/>
    <row r="15467" s="166" customFormat="1" x14ac:dyDescent="0.2"/>
    <row r="15468" s="166" customFormat="1" x14ac:dyDescent="0.2"/>
    <row r="15469" s="166" customFormat="1" x14ac:dyDescent="0.2"/>
    <row r="15470" s="166" customFormat="1" x14ac:dyDescent="0.2"/>
    <row r="15471" s="166" customFormat="1" x14ac:dyDescent="0.2"/>
    <row r="15472" s="166" customFormat="1" x14ac:dyDescent="0.2"/>
    <row r="15473" s="166" customFormat="1" x14ac:dyDescent="0.2"/>
    <row r="15474" s="166" customFormat="1" x14ac:dyDescent="0.2"/>
    <row r="15475" s="166" customFormat="1" x14ac:dyDescent="0.2"/>
    <row r="15476" s="166" customFormat="1" x14ac:dyDescent="0.2"/>
    <row r="15477" s="166" customFormat="1" x14ac:dyDescent="0.2"/>
    <row r="15478" s="166" customFormat="1" x14ac:dyDescent="0.2"/>
    <row r="15479" s="166" customFormat="1" x14ac:dyDescent="0.2"/>
    <row r="15480" s="166" customFormat="1" x14ac:dyDescent="0.2"/>
    <row r="15481" s="166" customFormat="1" x14ac:dyDescent="0.2"/>
    <row r="15482" s="166" customFormat="1" x14ac:dyDescent="0.2"/>
    <row r="15483" s="166" customFormat="1" x14ac:dyDescent="0.2"/>
    <row r="15484" s="166" customFormat="1" x14ac:dyDescent="0.2"/>
    <row r="15485" s="166" customFormat="1" x14ac:dyDescent="0.2"/>
    <row r="15486" s="166" customFormat="1" x14ac:dyDescent="0.2"/>
    <row r="15487" s="166" customFormat="1" x14ac:dyDescent="0.2"/>
    <row r="15488" s="166" customFormat="1" x14ac:dyDescent="0.2"/>
    <row r="15489" s="166" customFormat="1" x14ac:dyDescent="0.2"/>
    <row r="15490" s="166" customFormat="1" x14ac:dyDescent="0.2"/>
    <row r="15491" s="166" customFormat="1" x14ac:dyDescent="0.2"/>
    <row r="15492" s="166" customFormat="1" x14ac:dyDescent="0.2"/>
    <row r="15493" s="166" customFormat="1" x14ac:dyDescent="0.2"/>
    <row r="15494" s="166" customFormat="1" x14ac:dyDescent="0.2"/>
    <row r="15495" s="166" customFormat="1" x14ac:dyDescent="0.2"/>
    <row r="15496" s="166" customFormat="1" x14ac:dyDescent="0.2"/>
    <row r="15497" s="166" customFormat="1" x14ac:dyDescent="0.2"/>
    <row r="15498" s="166" customFormat="1" x14ac:dyDescent="0.2"/>
    <row r="15499" s="166" customFormat="1" x14ac:dyDescent="0.2"/>
    <row r="15500" s="166" customFormat="1" x14ac:dyDescent="0.2"/>
    <row r="15501" s="166" customFormat="1" x14ac:dyDescent="0.2"/>
    <row r="15502" s="166" customFormat="1" x14ac:dyDescent="0.2"/>
    <row r="15503" s="166" customFormat="1" x14ac:dyDescent="0.2"/>
    <row r="15504" s="166" customFormat="1" x14ac:dyDescent="0.2"/>
    <row r="15505" s="166" customFormat="1" x14ac:dyDescent="0.2"/>
    <row r="15506" s="166" customFormat="1" x14ac:dyDescent="0.2"/>
    <row r="15507" s="166" customFormat="1" x14ac:dyDescent="0.2"/>
    <row r="15508" s="166" customFormat="1" x14ac:dyDescent="0.2"/>
    <row r="15509" s="166" customFormat="1" x14ac:dyDescent="0.2"/>
    <row r="15510" s="166" customFormat="1" x14ac:dyDescent="0.2"/>
    <row r="15511" s="166" customFormat="1" x14ac:dyDescent="0.2"/>
    <row r="15512" s="166" customFormat="1" x14ac:dyDescent="0.2"/>
    <row r="15513" s="166" customFormat="1" x14ac:dyDescent="0.2"/>
    <row r="15514" s="166" customFormat="1" x14ac:dyDescent="0.2"/>
    <row r="15515" s="166" customFormat="1" x14ac:dyDescent="0.2"/>
    <row r="15516" s="166" customFormat="1" x14ac:dyDescent="0.2"/>
    <row r="15517" s="166" customFormat="1" x14ac:dyDescent="0.2"/>
    <row r="15518" s="166" customFormat="1" x14ac:dyDescent="0.2"/>
    <row r="15519" s="166" customFormat="1" x14ac:dyDescent="0.2"/>
    <row r="15520" s="166" customFormat="1" x14ac:dyDescent="0.2"/>
    <row r="15521" s="166" customFormat="1" x14ac:dyDescent="0.2"/>
    <row r="15522" s="166" customFormat="1" x14ac:dyDescent="0.2"/>
    <row r="15523" s="166" customFormat="1" x14ac:dyDescent="0.2"/>
    <row r="15524" s="166" customFormat="1" x14ac:dyDescent="0.2"/>
    <row r="15525" s="166" customFormat="1" x14ac:dyDescent="0.2"/>
    <row r="15526" s="166" customFormat="1" x14ac:dyDescent="0.2"/>
    <row r="15527" s="166" customFormat="1" x14ac:dyDescent="0.2"/>
    <row r="15528" s="166" customFormat="1" x14ac:dyDescent="0.2"/>
    <row r="15529" s="166" customFormat="1" x14ac:dyDescent="0.2"/>
    <row r="15530" s="166" customFormat="1" x14ac:dyDescent="0.2"/>
    <row r="15531" s="166" customFormat="1" x14ac:dyDescent="0.2"/>
    <row r="15532" s="166" customFormat="1" x14ac:dyDescent="0.2"/>
    <row r="15533" s="166" customFormat="1" x14ac:dyDescent="0.2"/>
    <row r="15534" s="166" customFormat="1" x14ac:dyDescent="0.2"/>
    <row r="15535" s="166" customFormat="1" x14ac:dyDescent="0.2"/>
    <row r="15536" s="166" customFormat="1" x14ac:dyDescent="0.2"/>
    <row r="15537" s="166" customFormat="1" x14ac:dyDescent="0.2"/>
    <row r="15538" s="166" customFormat="1" x14ac:dyDescent="0.2"/>
    <row r="15539" s="166" customFormat="1" x14ac:dyDescent="0.2"/>
    <row r="15540" s="166" customFormat="1" x14ac:dyDescent="0.2"/>
    <row r="15541" s="166" customFormat="1" x14ac:dyDescent="0.2"/>
    <row r="15542" s="166" customFormat="1" x14ac:dyDescent="0.2"/>
    <row r="15543" s="166" customFormat="1" x14ac:dyDescent="0.2"/>
    <row r="15544" s="166" customFormat="1" x14ac:dyDescent="0.2"/>
    <row r="15545" s="166" customFormat="1" x14ac:dyDescent="0.2"/>
    <row r="15546" s="166" customFormat="1" x14ac:dyDescent="0.2"/>
    <row r="15547" s="166" customFormat="1" x14ac:dyDescent="0.2"/>
    <row r="15548" s="166" customFormat="1" x14ac:dyDescent="0.2"/>
    <row r="15549" s="166" customFormat="1" x14ac:dyDescent="0.2"/>
    <row r="15550" s="166" customFormat="1" x14ac:dyDescent="0.2"/>
    <row r="15551" s="166" customFormat="1" x14ac:dyDescent="0.2"/>
    <row r="15552" s="166" customFormat="1" x14ac:dyDescent="0.2"/>
    <row r="15553" s="166" customFormat="1" x14ac:dyDescent="0.2"/>
    <row r="15554" s="166" customFormat="1" x14ac:dyDescent="0.2"/>
    <row r="15555" s="166" customFormat="1" x14ac:dyDescent="0.2"/>
    <row r="15556" s="166" customFormat="1" x14ac:dyDescent="0.2"/>
    <row r="15557" s="166" customFormat="1" x14ac:dyDescent="0.2"/>
    <row r="15558" s="166" customFormat="1" x14ac:dyDescent="0.2"/>
    <row r="15559" s="166" customFormat="1" x14ac:dyDescent="0.2"/>
    <row r="15560" s="166" customFormat="1" x14ac:dyDescent="0.2"/>
    <row r="15561" s="166" customFormat="1" x14ac:dyDescent="0.2"/>
    <row r="15562" s="166" customFormat="1" x14ac:dyDescent="0.2"/>
    <row r="15563" s="166" customFormat="1" x14ac:dyDescent="0.2"/>
    <row r="15564" s="166" customFormat="1" x14ac:dyDescent="0.2"/>
    <row r="15565" s="166" customFormat="1" x14ac:dyDescent="0.2"/>
    <row r="15566" s="166" customFormat="1" x14ac:dyDescent="0.2"/>
    <row r="15567" s="166" customFormat="1" x14ac:dyDescent="0.2"/>
    <row r="15568" s="166" customFormat="1" x14ac:dyDescent="0.2"/>
    <row r="15569" s="166" customFormat="1" x14ac:dyDescent="0.2"/>
    <row r="15570" s="166" customFormat="1" x14ac:dyDescent="0.2"/>
    <row r="15571" s="166" customFormat="1" x14ac:dyDescent="0.2"/>
    <row r="15572" s="166" customFormat="1" x14ac:dyDescent="0.2"/>
    <row r="15573" s="166" customFormat="1" x14ac:dyDescent="0.2"/>
    <row r="15574" s="166" customFormat="1" x14ac:dyDescent="0.2"/>
    <row r="15575" s="166" customFormat="1" x14ac:dyDescent="0.2"/>
    <row r="15576" s="166" customFormat="1" x14ac:dyDescent="0.2"/>
    <row r="15577" s="166" customFormat="1" x14ac:dyDescent="0.2"/>
    <row r="15578" s="166" customFormat="1" x14ac:dyDescent="0.2"/>
    <row r="15579" s="166" customFormat="1" x14ac:dyDescent="0.2"/>
    <row r="15580" s="166" customFormat="1" x14ac:dyDescent="0.2"/>
    <row r="15581" s="166" customFormat="1" x14ac:dyDescent="0.2"/>
    <row r="15582" s="166" customFormat="1" x14ac:dyDescent="0.2"/>
    <row r="15583" s="166" customFormat="1" x14ac:dyDescent="0.2"/>
    <row r="15584" s="166" customFormat="1" x14ac:dyDescent="0.2"/>
    <row r="15585" s="166" customFormat="1" x14ac:dyDescent="0.2"/>
    <row r="15586" s="166" customFormat="1" x14ac:dyDescent="0.2"/>
    <row r="15587" s="166" customFormat="1" x14ac:dyDescent="0.2"/>
    <row r="15588" s="166" customFormat="1" x14ac:dyDescent="0.2"/>
    <row r="15589" s="166" customFormat="1" x14ac:dyDescent="0.2"/>
    <row r="15590" s="166" customFormat="1" x14ac:dyDescent="0.2"/>
    <row r="15591" s="166" customFormat="1" x14ac:dyDescent="0.2"/>
    <row r="15592" s="166" customFormat="1" x14ac:dyDescent="0.2"/>
    <row r="15593" s="166" customFormat="1" x14ac:dyDescent="0.2"/>
    <row r="15594" s="166" customFormat="1" x14ac:dyDescent="0.2"/>
    <row r="15595" s="166" customFormat="1" x14ac:dyDescent="0.2"/>
    <row r="15596" s="166" customFormat="1" x14ac:dyDescent="0.2"/>
    <row r="15597" s="166" customFormat="1" x14ac:dyDescent="0.2"/>
    <row r="15598" s="166" customFormat="1" x14ac:dyDescent="0.2"/>
    <row r="15599" s="166" customFormat="1" x14ac:dyDescent="0.2"/>
    <row r="15600" s="166" customFormat="1" x14ac:dyDescent="0.2"/>
    <row r="15601" s="166" customFormat="1" x14ac:dyDescent="0.2"/>
    <row r="15602" s="166" customFormat="1" x14ac:dyDescent="0.2"/>
    <row r="15603" s="166" customFormat="1" x14ac:dyDescent="0.2"/>
    <row r="15604" s="166" customFormat="1" x14ac:dyDescent="0.2"/>
    <row r="15605" s="166" customFormat="1" x14ac:dyDescent="0.2"/>
    <row r="15606" s="166" customFormat="1" x14ac:dyDescent="0.2"/>
    <row r="15607" s="166" customFormat="1" x14ac:dyDescent="0.2"/>
    <row r="15608" s="166" customFormat="1" x14ac:dyDescent="0.2"/>
    <row r="15609" s="166" customFormat="1" x14ac:dyDescent="0.2"/>
    <row r="15610" s="166" customFormat="1" x14ac:dyDescent="0.2"/>
    <row r="15611" s="166" customFormat="1" x14ac:dyDescent="0.2"/>
    <row r="15612" s="166" customFormat="1" x14ac:dyDescent="0.2"/>
    <row r="15613" s="166" customFormat="1" x14ac:dyDescent="0.2"/>
    <row r="15614" s="166" customFormat="1" x14ac:dyDescent="0.2"/>
    <row r="15615" s="166" customFormat="1" x14ac:dyDescent="0.2"/>
    <row r="15616" s="166" customFormat="1" x14ac:dyDescent="0.2"/>
    <row r="15617" s="166" customFormat="1" x14ac:dyDescent="0.2"/>
    <row r="15618" s="166" customFormat="1" x14ac:dyDescent="0.2"/>
    <row r="15619" s="166" customFormat="1" x14ac:dyDescent="0.2"/>
    <row r="15620" s="166" customFormat="1" x14ac:dyDescent="0.2"/>
    <row r="15621" s="166" customFormat="1" x14ac:dyDescent="0.2"/>
    <row r="15622" s="166" customFormat="1" x14ac:dyDescent="0.2"/>
    <row r="15623" s="166" customFormat="1" x14ac:dyDescent="0.2"/>
    <row r="15624" s="166" customFormat="1" x14ac:dyDescent="0.2"/>
    <row r="15625" s="166" customFormat="1" x14ac:dyDescent="0.2"/>
    <row r="15626" s="166" customFormat="1" x14ac:dyDescent="0.2"/>
    <row r="15627" s="166" customFormat="1" x14ac:dyDescent="0.2"/>
    <row r="15628" s="166" customFormat="1" x14ac:dyDescent="0.2"/>
    <row r="15629" s="166" customFormat="1" x14ac:dyDescent="0.2"/>
    <row r="15630" s="166" customFormat="1" x14ac:dyDescent="0.2"/>
    <row r="15631" s="166" customFormat="1" x14ac:dyDescent="0.2"/>
    <row r="15632" s="166" customFormat="1" x14ac:dyDescent="0.2"/>
    <row r="15633" s="166" customFormat="1" x14ac:dyDescent="0.2"/>
    <row r="15634" s="166" customFormat="1" x14ac:dyDescent="0.2"/>
    <row r="15635" s="166" customFormat="1" x14ac:dyDescent="0.2"/>
    <row r="15636" s="166" customFormat="1" x14ac:dyDescent="0.2"/>
    <row r="15637" s="166" customFormat="1" x14ac:dyDescent="0.2"/>
    <row r="15638" s="166" customFormat="1" x14ac:dyDescent="0.2"/>
    <row r="15639" s="166" customFormat="1" x14ac:dyDescent="0.2"/>
    <row r="15640" s="166" customFormat="1" x14ac:dyDescent="0.2"/>
    <row r="15641" s="166" customFormat="1" x14ac:dyDescent="0.2"/>
    <row r="15642" s="166" customFormat="1" x14ac:dyDescent="0.2"/>
    <row r="15643" s="166" customFormat="1" x14ac:dyDescent="0.2"/>
    <row r="15644" s="166" customFormat="1" x14ac:dyDescent="0.2"/>
    <row r="15645" s="166" customFormat="1" x14ac:dyDescent="0.2"/>
    <row r="15646" s="166" customFormat="1" x14ac:dyDescent="0.2"/>
    <row r="15647" s="166" customFormat="1" x14ac:dyDescent="0.2"/>
    <row r="15648" s="166" customFormat="1" x14ac:dyDescent="0.2"/>
    <row r="15649" s="166" customFormat="1" x14ac:dyDescent="0.2"/>
    <row r="15650" s="166" customFormat="1" x14ac:dyDescent="0.2"/>
    <row r="15651" s="166" customFormat="1" x14ac:dyDescent="0.2"/>
    <row r="15652" s="166" customFormat="1" x14ac:dyDescent="0.2"/>
    <row r="15653" s="166" customFormat="1" x14ac:dyDescent="0.2"/>
    <row r="15654" s="166" customFormat="1" x14ac:dyDescent="0.2"/>
    <row r="15655" s="166" customFormat="1" x14ac:dyDescent="0.2"/>
    <row r="15656" s="166" customFormat="1" x14ac:dyDescent="0.2"/>
    <row r="15657" s="166" customFormat="1" x14ac:dyDescent="0.2"/>
    <row r="15658" s="166" customFormat="1" x14ac:dyDescent="0.2"/>
    <row r="15659" s="166" customFormat="1" x14ac:dyDescent="0.2"/>
    <row r="15660" s="166" customFormat="1" x14ac:dyDescent="0.2"/>
    <row r="15661" s="166" customFormat="1" x14ac:dyDescent="0.2"/>
    <row r="15662" s="166" customFormat="1" x14ac:dyDescent="0.2"/>
    <row r="15663" s="166" customFormat="1" x14ac:dyDescent="0.2"/>
    <row r="15664" s="166" customFormat="1" x14ac:dyDescent="0.2"/>
    <row r="15665" s="166" customFormat="1" x14ac:dyDescent="0.2"/>
    <row r="15666" s="166" customFormat="1" x14ac:dyDescent="0.2"/>
    <row r="15667" s="166" customFormat="1" x14ac:dyDescent="0.2"/>
    <row r="15668" s="166" customFormat="1" x14ac:dyDescent="0.2"/>
    <row r="15669" s="166" customFormat="1" x14ac:dyDescent="0.2"/>
    <row r="15670" s="166" customFormat="1" x14ac:dyDescent="0.2"/>
    <row r="15671" s="166" customFormat="1" x14ac:dyDescent="0.2"/>
    <row r="15672" s="166" customFormat="1" x14ac:dyDescent="0.2"/>
    <row r="15673" s="166" customFormat="1" x14ac:dyDescent="0.2"/>
    <row r="15674" s="166" customFormat="1" x14ac:dyDescent="0.2"/>
    <row r="15675" s="166" customFormat="1" x14ac:dyDescent="0.2"/>
    <row r="15676" s="166" customFormat="1" x14ac:dyDescent="0.2"/>
    <row r="15677" s="166" customFormat="1" x14ac:dyDescent="0.2"/>
    <row r="15678" s="166" customFormat="1" x14ac:dyDescent="0.2"/>
    <row r="15679" s="166" customFormat="1" x14ac:dyDescent="0.2"/>
    <row r="15680" s="166" customFormat="1" x14ac:dyDescent="0.2"/>
    <row r="15681" s="166" customFormat="1" x14ac:dyDescent="0.2"/>
    <row r="15682" s="166" customFormat="1" x14ac:dyDescent="0.2"/>
    <row r="15683" s="166" customFormat="1" x14ac:dyDescent="0.2"/>
    <row r="15684" s="166" customFormat="1" x14ac:dyDescent="0.2"/>
    <row r="15685" s="166" customFormat="1" x14ac:dyDescent="0.2"/>
    <row r="15686" s="166" customFormat="1" x14ac:dyDescent="0.2"/>
    <row r="15687" s="166" customFormat="1" x14ac:dyDescent="0.2"/>
    <row r="15688" s="166" customFormat="1" x14ac:dyDescent="0.2"/>
    <row r="15689" s="166" customFormat="1" x14ac:dyDescent="0.2"/>
    <row r="15690" s="166" customFormat="1" x14ac:dyDescent="0.2"/>
    <row r="15691" s="166" customFormat="1" x14ac:dyDescent="0.2"/>
    <row r="15692" s="166" customFormat="1" x14ac:dyDescent="0.2"/>
    <row r="15693" s="166" customFormat="1" x14ac:dyDescent="0.2"/>
    <row r="15694" s="166" customFormat="1" x14ac:dyDescent="0.2"/>
    <row r="15695" s="166" customFormat="1" x14ac:dyDescent="0.2"/>
    <row r="15696" s="166" customFormat="1" x14ac:dyDescent="0.2"/>
    <row r="15697" s="166" customFormat="1" x14ac:dyDescent="0.2"/>
    <row r="15698" s="166" customFormat="1" x14ac:dyDescent="0.2"/>
    <row r="15699" s="166" customFormat="1" x14ac:dyDescent="0.2"/>
    <row r="15700" s="166" customFormat="1" x14ac:dyDescent="0.2"/>
    <row r="15701" s="166" customFormat="1" x14ac:dyDescent="0.2"/>
    <row r="15702" s="166" customFormat="1" x14ac:dyDescent="0.2"/>
    <row r="15703" s="166" customFormat="1" x14ac:dyDescent="0.2"/>
    <row r="15704" s="166" customFormat="1" x14ac:dyDescent="0.2"/>
    <row r="15705" s="166" customFormat="1" x14ac:dyDescent="0.2"/>
    <row r="15706" s="166" customFormat="1" x14ac:dyDescent="0.2"/>
    <row r="15707" s="166" customFormat="1" x14ac:dyDescent="0.2"/>
    <row r="15708" s="166" customFormat="1" x14ac:dyDescent="0.2"/>
    <row r="15709" s="166" customFormat="1" x14ac:dyDescent="0.2"/>
    <row r="15710" s="166" customFormat="1" x14ac:dyDescent="0.2"/>
    <row r="15711" s="166" customFormat="1" x14ac:dyDescent="0.2"/>
    <row r="15712" s="166" customFormat="1" x14ac:dyDescent="0.2"/>
    <row r="15713" s="166" customFormat="1" x14ac:dyDescent="0.2"/>
    <row r="15714" s="166" customFormat="1" x14ac:dyDescent="0.2"/>
    <row r="15715" s="166" customFormat="1" x14ac:dyDescent="0.2"/>
    <row r="15716" s="166" customFormat="1" x14ac:dyDescent="0.2"/>
    <row r="15717" s="166" customFormat="1" x14ac:dyDescent="0.2"/>
    <row r="15718" s="166" customFormat="1" x14ac:dyDescent="0.2"/>
    <row r="15719" s="166" customFormat="1" x14ac:dyDescent="0.2"/>
    <row r="15720" s="166" customFormat="1" x14ac:dyDescent="0.2"/>
    <row r="15721" s="166" customFormat="1" x14ac:dyDescent="0.2"/>
    <row r="15722" s="166" customFormat="1" x14ac:dyDescent="0.2"/>
    <row r="15723" s="166" customFormat="1" x14ac:dyDescent="0.2"/>
    <row r="15724" s="166" customFormat="1" x14ac:dyDescent="0.2"/>
    <row r="15725" s="166" customFormat="1" x14ac:dyDescent="0.2"/>
    <row r="15726" s="166" customFormat="1" x14ac:dyDescent="0.2"/>
    <row r="15727" s="166" customFormat="1" x14ac:dyDescent="0.2"/>
    <row r="15728" s="166" customFormat="1" x14ac:dyDescent="0.2"/>
    <row r="15729" s="166" customFormat="1" x14ac:dyDescent="0.2"/>
    <row r="15730" s="166" customFormat="1" x14ac:dyDescent="0.2"/>
    <row r="15731" s="166" customFormat="1" x14ac:dyDescent="0.2"/>
    <row r="15732" s="166" customFormat="1" x14ac:dyDescent="0.2"/>
    <row r="15733" s="166" customFormat="1" x14ac:dyDescent="0.2"/>
    <row r="15734" s="166" customFormat="1" x14ac:dyDescent="0.2"/>
    <row r="15735" s="166" customFormat="1" x14ac:dyDescent="0.2"/>
    <row r="15736" s="166" customFormat="1" x14ac:dyDescent="0.2"/>
    <row r="15737" s="166" customFormat="1" x14ac:dyDescent="0.2"/>
    <row r="15738" s="166" customFormat="1" x14ac:dyDescent="0.2"/>
    <row r="15739" s="166" customFormat="1" x14ac:dyDescent="0.2"/>
    <row r="15740" s="166" customFormat="1" x14ac:dyDescent="0.2"/>
    <row r="15741" s="166" customFormat="1" x14ac:dyDescent="0.2"/>
    <row r="15742" s="166" customFormat="1" x14ac:dyDescent="0.2"/>
    <row r="15743" s="166" customFormat="1" x14ac:dyDescent="0.2"/>
    <row r="15744" s="166" customFormat="1" x14ac:dyDescent="0.2"/>
    <row r="15745" s="166" customFormat="1" x14ac:dyDescent="0.2"/>
    <row r="15746" s="166" customFormat="1" x14ac:dyDescent="0.2"/>
    <row r="15747" s="166" customFormat="1" x14ac:dyDescent="0.2"/>
    <row r="15748" s="166" customFormat="1" x14ac:dyDescent="0.2"/>
    <row r="15749" s="166" customFormat="1" x14ac:dyDescent="0.2"/>
    <row r="15750" s="166" customFormat="1" x14ac:dyDescent="0.2"/>
    <row r="15751" s="166" customFormat="1" x14ac:dyDescent="0.2"/>
    <row r="15752" s="166" customFormat="1" x14ac:dyDescent="0.2"/>
    <row r="15753" s="166" customFormat="1" x14ac:dyDescent="0.2"/>
    <row r="15754" s="166" customFormat="1" x14ac:dyDescent="0.2"/>
    <row r="15755" s="166" customFormat="1" x14ac:dyDescent="0.2"/>
    <row r="15756" s="166" customFormat="1" x14ac:dyDescent="0.2"/>
    <row r="15757" s="166" customFormat="1" x14ac:dyDescent="0.2"/>
    <row r="15758" s="166" customFormat="1" x14ac:dyDescent="0.2"/>
    <row r="15759" s="166" customFormat="1" x14ac:dyDescent="0.2"/>
    <row r="15760" s="166" customFormat="1" x14ac:dyDescent="0.2"/>
    <row r="15761" s="166" customFormat="1" x14ac:dyDescent="0.2"/>
    <row r="15762" s="166" customFormat="1" x14ac:dyDescent="0.2"/>
    <row r="15763" s="166" customFormat="1" x14ac:dyDescent="0.2"/>
    <row r="15764" s="166" customFormat="1" x14ac:dyDescent="0.2"/>
    <row r="15765" s="166" customFormat="1" x14ac:dyDescent="0.2"/>
    <row r="15766" s="166" customFormat="1" x14ac:dyDescent="0.2"/>
    <row r="15767" s="166" customFormat="1" x14ac:dyDescent="0.2"/>
    <row r="15768" s="166" customFormat="1" x14ac:dyDescent="0.2"/>
    <row r="15769" s="166" customFormat="1" x14ac:dyDescent="0.2"/>
    <row r="15770" s="166" customFormat="1" x14ac:dyDescent="0.2"/>
    <row r="15771" s="166" customFormat="1" x14ac:dyDescent="0.2"/>
    <row r="15772" s="166" customFormat="1" x14ac:dyDescent="0.2"/>
    <row r="15773" s="166" customFormat="1" x14ac:dyDescent="0.2"/>
    <row r="15774" s="166" customFormat="1" x14ac:dyDescent="0.2"/>
    <row r="15775" s="166" customFormat="1" x14ac:dyDescent="0.2"/>
    <row r="15776" s="166" customFormat="1" x14ac:dyDescent="0.2"/>
    <row r="15777" s="166" customFormat="1" x14ac:dyDescent="0.2"/>
    <row r="15778" s="166" customFormat="1" x14ac:dyDescent="0.2"/>
    <row r="15779" s="166" customFormat="1" x14ac:dyDescent="0.2"/>
    <row r="15780" s="166" customFormat="1" x14ac:dyDescent="0.2"/>
    <row r="15781" s="166" customFormat="1" x14ac:dyDescent="0.2"/>
    <row r="15782" s="166" customFormat="1" x14ac:dyDescent="0.2"/>
    <row r="15783" s="166" customFormat="1" x14ac:dyDescent="0.2"/>
    <row r="15784" s="166" customFormat="1" x14ac:dyDescent="0.2"/>
    <row r="15785" s="166" customFormat="1" x14ac:dyDescent="0.2"/>
    <row r="15786" s="166" customFormat="1" x14ac:dyDescent="0.2"/>
    <row r="15787" s="166" customFormat="1" x14ac:dyDescent="0.2"/>
    <row r="15788" s="166" customFormat="1" x14ac:dyDescent="0.2"/>
    <row r="15789" s="166" customFormat="1" x14ac:dyDescent="0.2"/>
    <row r="15790" s="166" customFormat="1" x14ac:dyDescent="0.2"/>
    <row r="15791" s="166" customFormat="1" x14ac:dyDescent="0.2"/>
    <row r="15792" s="166" customFormat="1" x14ac:dyDescent="0.2"/>
    <row r="15793" s="166" customFormat="1" x14ac:dyDescent="0.2"/>
    <row r="15794" s="166" customFormat="1" x14ac:dyDescent="0.2"/>
    <row r="15795" s="166" customFormat="1" x14ac:dyDescent="0.2"/>
    <row r="15796" s="166" customFormat="1" x14ac:dyDescent="0.2"/>
    <row r="15797" s="166" customFormat="1" x14ac:dyDescent="0.2"/>
    <row r="15798" s="166" customFormat="1" x14ac:dyDescent="0.2"/>
    <row r="15799" s="166" customFormat="1" x14ac:dyDescent="0.2"/>
    <row r="15800" s="166" customFormat="1" x14ac:dyDescent="0.2"/>
    <row r="15801" s="166" customFormat="1" x14ac:dyDescent="0.2"/>
    <row r="15802" s="166" customFormat="1" x14ac:dyDescent="0.2"/>
    <row r="15803" s="166" customFormat="1" x14ac:dyDescent="0.2"/>
    <row r="15804" s="166" customFormat="1" x14ac:dyDescent="0.2"/>
    <row r="15805" s="166" customFormat="1" x14ac:dyDescent="0.2"/>
    <row r="15806" s="166" customFormat="1" x14ac:dyDescent="0.2"/>
    <row r="15807" s="166" customFormat="1" x14ac:dyDescent="0.2"/>
    <row r="15808" s="166" customFormat="1" x14ac:dyDescent="0.2"/>
    <row r="15809" s="166" customFormat="1" x14ac:dyDescent="0.2"/>
    <row r="15810" s="166" customFormat="1" x14ac:dyDescent="0.2"/>
    <row r="15811" s="166" customFormat="1" x14ac:dyDescent="0.2"/>
    <row r="15812" s="166" customFormat="1" x14ac:dyDescent="0.2"/>
    <row r="15813" s="166" customFormat="1" x14ac:dyDescent="0.2"/>
    <row r="15814" s="166" customFormat="1" x14ac:dyDescent="0.2"/>
    <row r="15815" s="166" customFormat="1" x14ac:dyDescent="0.2"/>
    <row r="15816" s="166" customFormat="1" x14ac:dyDescent="0.2"/>
    <row r="15817" s="166" customFormat="1" x14ac:dyDescent="0.2"/>
    <row r="15818" s="166" customFormat="1" x14ac:dyDescent="0.2"/>
    <row r="15819" s="166" customFormat="1" x14ac:dyDescent="0.2"/>
    <row r="15820" s="166" customFormat="1" x14ac:dyDescent="0.2"/>
    <row r="15821" s="166" customFormat="1" x14ac:dyDescent="0.2"/>
    <row r="15822" s="166" customFormat="1" x14ac:dyDescent="0.2"/>
    <row r="15823" s="166" customFormat="1" x14ac:dyDescent="0.2"/>
    <row r="15824" s="166" customFormat="1" x14ac:dyDescent="0.2"/>
    <row r="15825" s="166" customFormat="1" x14ac:dyDescent="0.2"/>
    <row r="15826" s="166" customFormat="1" x14ac:dyDescent="0.2"/>
    <row r="15827" s="166" customFormat="1" x14ac:dyDescent="0.2"/>
    <row r="15828" s="166" customFormat="1" x14ac:dyDescent="0.2"/>
    <row r="15829" s="166" customFormat="1" x14ac:dyDescent="0.2"/>
    <row r="15830" s="166" customFormat="1" x14ac:dyDescent="0.2"/>
    <row r="15831" s="166" customFormat="1" x14ac:dyDescent="0.2"/>
    <row r="15832" s="166" customFormat="1" x14ac:dyDescent="0.2"/>
    <row r="15833" s="166" customFormat="1" x14ac:dyDescent="0.2"/>
    <row r="15834" s="166" customFormat="1" x14ac:dyDescent="0.2"/>
    <row r="15835" s="166" customFormat="1" x14ac:dyDescent="0.2"/>
    <row r="15836" s="166" customFormat="1" x14ac:dyDescent="0.2"/>
    <row r="15837" s="166" customFormat="1" x14ac:dyDescent="0.2"/>
    <row r="15838" s="166" customFormat="1" x14ac:dyDescent="0.2"/>
    <row r="15839" s="166" customFormat="1" x14ac:dyDescent="0.2"/>
    <row r="15840" s="166" customFormat="1" x14ac:dyDescent="0.2"/>
    <row r="15841" s="166" customFormat="1" x14ac:dyDescent="0.2"/>
    <row r="15842" s="166" customFormat="1" x14ac:dyDescent="0.2"/>
    <row r="15843" s="166" customFormat="1" x14ac:dyDescent="0.2"/>
    <row r="15844" s="166" customFormat="1" x14ac:dyDescent="0.2"/>
    <row r="15845" s="166" customFormat="1" x14ac:dyDescent="0.2"/>
    <row r="15846" s="166" customFormat="1" x14ac:dyDescent="0.2"/>
    <row r="15847" s="166" customFormat="1" x14ac:dyDescent="0.2"/>
    <row r="15848" s="166" customFormat="1" x14ac:dyDescent="0.2"/>
    <row r="15849" s="166" customFormat="1" x14ac:dyDescent="0.2"/>
    <row r="15850" s="166" customFormat="1" x14ac:dyDescent="0.2"/>
    <row r="15851" s="166" customFormat="1" x14ac:dyDescent="0.2"/>
    <row r="15852" s="166" customFormat="1" x14ac:dyDescent="0.2"/>
    <row r="15853" s="166" customFormat="1" x14ac:dyDescent="0.2"/>
    <row r="15854" s="166" customFormat="1" x14ac:dyDescent="0.2"/>
    <row r="15855" s="166" customFormat="1" x14ac:dyDescent="0.2"/>
    <row r="15856" s="166" customFormat="1" x14ac:dyDescent="0.2"/>
    <row r="15857" s="166" customFormat="1" x14ac:dyDescent="0.2"/>
    <row r="15858" s="166" customFormat="1" x14ac:dyDescent="0.2"/>
    <row r="15859" s="166" customFormat="1" x14ac:dyDescent="0.2"/>
    <row r="15860" s="166" customFormat="1" x14ac:dyDescent="0.2"/>
    <row r="15861" s="166" customFormat="1" x14ac:dyDescent="0.2"/>
    <row r="15862" s="166" customFormat="1" x14ac:dyDescent="0.2"/>
    <row r="15863" s="166" customFormat="1" x14ac:dyDescent="0.2"/>
    <row r="15864" s="166" customFormat="1" x14ac:dyDescent="0.2"/>
    <row r="15865" s="166" customFormat="1" x14ac:dyDescent="0.2"/>
    <row r="15866" s="166" customFormat="1" x14ac:dyDescent="0.2"/>
    <row r="15867" s="166" customFormat="1" x14ac:dyDescent="0.2"/>
    <row r="15868" s="166" customFormat="1" x14ac:dyDescent="0.2"/>
    <row r="15869" s="166" customFormat="1" x14ac:dyDescent="0.2"/>
    <row r="15870" s="166" customFormat="1" x14ac:dyDescent="0.2"/>
    <row r="15871" s="166" customFormat="1" x14ac:dyDescent="0.2"/>
    <row r="15872" s="166" customFormat="1" x14ac:dyDescent="0.2"/>
    <row r="15873" s="166" customFormat="1" x14ac:dyDescent="0.2"/>
    <row r="15874" s="166" customFormat="1" x14ac:dyDescent="0.2"/>
    <row r="15875" s="166" customFormat="1" x14ac:dyDescent="0.2"/>
    <row r="15876" s="166" customFormat="1" x14ac:dyDescent="0.2"/>
    <row r="15877" s="166" customFormat="1" x14ac:dyDescent="0.2"/>
    <row r="15878" s="166" customFormat="1" x14ac:dyDescent="0.2"/>
    <row r="15879" s="166" customFormat="1" x14ac:dyDescent="0.2"/>
    <row r="15880" s="166" customFormat="1" x14ac:dyDescent="0.2"/>
    <row r="15881" s="166" customFormat="1" x14ac:dyDescent="0.2"/>
    <row r="15882" s="166" customFormat="1" x14ac:dyDescent="0.2"/>
    <row r="15883" s="166" customFormat="1" x14ac:dyDescent="0.2"/>
    <row r="15884" s="166" customFormat="1" x14ac:dyDescent="0.2"/>
    <row r="15885" s="166" customFormat="1" x14ac:dyDescent="0.2"/>
    <row r="15886" s="166" customFormat="1" x14ac:dyDescent="0.2"/>
    <row r="15887" s="166" customFormat="1" x14ac:dyDescent="0.2"/>
    <row r="15888" s="166" customFormat="1" x14ac:dyDescent="0.2"/>
    <row r="15889" s="166" customFormat="1" x14ac:dyDescent="0.2"/>
    <row r="15890" s="166" customFormat="1" x14ac:dyDescent="0.2"/>
    <row r="15891" s="166" customFormat="1" x14ac:dyDescent="0.2"/>
    <row r="15892" s="166" customFormat="1" x14ac:dyDescent="0.2"/>
    <row r="15893" s="166" customFormat="1" x14ac:dyDescent="0.2"/>
    <row r="15894" s="166" customFormat="1" x14ac:dyDescent="0.2"/>
    <row r="15895" s="166" customFormat="1" x14ac:dyDescent="0.2"/>
    <row r="15896" s="166" customFormat="1" x14ac:dyDescent="0.2"/>
    <row r="15897" s="166" customFormat="1" x14ac:dyDescent="0.2"/>
    <row r="15898" s="166" customFormat="1" x14ac:dyDescent="0.2"/>
    <row r="15899" s="166" customFormat="1" x14ac:dyDescent="0.2"/>
    <row r="15900" s="166" customFormat="1" x14ac:dyDescent="0.2"/>
    <row r="15901" s="166" customFormat="1" x14ac:dyDescent="0.2"/>
    <row r="15902" s="166" customFormat="1" x14ac:dyDescent="0.2"/>
    <row r="15903" s="166" customFormat="1" x14ac:dyDescent="0.2"/>
    <row r="15904" s="166" customFormat="1" x14ac:dyDescent="0.2"/>
    <row r="15905" s="166" customFormat="1" x14ac:dyDescent="0.2"/>
    <row r="15906" s="166" customFormat="1" x14ac:dyDescent="0.2"/>
    <row r="15907" s="166" customFormat="1" x14ac:dyDescent="0.2"/>
    <row r="15908" s="166" customFormat="1" x14ac:dyDescent="0.2"/>
    <row r="15909" s="166" customFormat="1" x14ac:dyDescent="0.2"/>
    <row r="15910" s="166" customFormat="1" x14ac:dyDescent="0.2"/>
    <row r="15911" s="166" customFormat="1" x14ac:dyDescent="0.2"/>
    <row r="15912" s="166" customFormat="1" x14ac:dyDescent="0.2"/>
    <row r="15913" s="166" customFormat="1" x14ac:dyDescent="0.2"/>
    <row r="15914" s="166" customFormat="1" x14ac:dyDescent="0.2"/>
    <row r="15915" s="166" customFormat="1" x14ac:dyDescent="0.2"/>
    <row r="15916" s="166" customFormat="1" x14ac:dyDescent="0.2"/>
    <row r="15917" s="166" customFormat="1" x14ac:dyDescent="0.2"/>
    <row r="15918" s="166" customFormat="1" x14ac:dyDescent="0.2"/>
    <row r="15919" s="166" customFormat="1" x14ac:dyDescent="0.2"/>
    <row r="15920" s="166" customFormat="1" x14ac:dyDescent="0.2"/>
    <row r="15921" s="166" customFormat="1" x14ac:dyDescent="0.2"/>
    <row r="15922" s="166" customFormat="1" x14ac:dyDescent="0.2"/>
    <row r="15923" s="166" customFormat="1" x14ac:dyDescent="0.2"/>
    <row r="15924" s="166" customFormat="1" x14ac:dyDescent="0.2"/>
    <row r="15925" s="166" customFormat="1" x14ac:dyDescent="0.2"/>
    <row r="15926" s="166" customFormat="1" x14ac:dyDescent="0.2"/>
    <row r="15927" s="166" customFormat="1" x14ac:dyDescent="0.2"/>
    <row r="15928" s="166" customFormat="1" x14ac:dyDescent="0.2"/>
    <row r="15929" s="166" customFormat="1" x14ac:dyDescent="0.2"/>
    <row r="15930" s="166" customFormat="1" x14ac:dyDescent="0.2"/>
    <row r="15931" s="166" customFormat="1" x14ac:dyDescent="0.2"/>
    <row r="15932" s="166" customFormat="1" x14ac:dyDescent="0.2"/>
    <row r="15933" s="166" customFormat="1" x14ac:dyDescent="0.2"/>
    <row r="15934" s="166" customFormat="1" x14ac:dyDescent="0.2"/>
    <row r="15935" s="166" customFormat="1" x14ac:dyDescent="0.2"/>
    <row r="15936" s="166" customFormat="1" x14ac:dyDescent="0.2"/>
    <row r="15937" s="166" customFormat="1" x14ac:dyDescent="0.2"/>
    <row r="15938" s="166" customFormat="1" x14ac:dyDescent="0.2"/>
    <row r="15939" s="166" customFormat="1" x14ac:dyDescent="0.2"/>
    <row r="15940" s="166" customFormat="1" x14ac:dyDescent="0.2"/>
    <row r="15941" s="166" customFormat="1" x14ac:dyDescent="0.2"/>
    <row r="15942" s="166" customFormat="1" x14ac:dyDescent="0.2"/>
    <row r="15943" s="166" customFormat="1" x14ac:dyDescent="0.2"/>
    <row r="15944" s="166" customFormat="1" x14ac:dyDescent="0.2"/>
    <row r="15945" s="166" customFormat="1" x14ac:dyDescent="0.2"/>
    <row r="15946" s="166" customFormat="1" x14ac:dyDescent="0.2"/>
    <row r="15947" s="166" customFormat="1" x14ac:dyDescent="0.2"/>
    <row r="15948" s="166" customFormat="1" x14ac:dyDescent="0.2"/>
    <row r="15949" s="166" customFormat="1" x14ac:dyDescent="0.2"/>
    <row r="15950" s="166" customFormat="1" x14ac:dyDescent="0.2"/>
    <row r="15951" s="166" customFormat="1" x14ac:dyDescent="0.2"/>
    <row r="15952" s="166" customFormat="1" x14ac:dyDescent="0.2"/>
    <row r="15953" s="166" customFormat="1" x14ac:dyDescent="0.2"/>
    <row r="15954" s="166" customFormat="1" x14ac:dyDescent="0.2"/>
    <row r="15955" s="166" customFormat="1" x14ac:dyDescent="0.2"/>
    <row r="15956" s="166" customFormat="1" x14ac:dyDescent="0.2"/>
    <row r="15957" s="166" customFormat="1" x14ac:dyDescent="0.2"/>
    <row r="15958" s="166" customFormat="1" x14ac:dyDescent="0.2"/>
    <row r="15959" s="166" customFormat="1" x14ac:dyDescent="0.2"/>
    <row r="15960" s="166" customFormat="1" x14ac:dyDescent="0.2"/>
    <row r="15961" s="166" customFormat="1" x14ac:dyDescent="0.2"/>
    <row r="15962" s="166" customFormat="1" x14ac:dyDescent="0.2"/>
    <row r="15963" s="166" customFormat="1" x14ac:dyDescent="0.2"/>
    <row r="15964" s="166" customFormat="1" x14ac:dyDescent="0.2"/>
    <row r="15965" s="166" customFormat="1" x14ac:dyDescent="0.2"/>
    <row r="15966" s="166" customFormat="1" x14ac:dyDescent="0.2"/>
    <row r="15967" s="166" customFormat="1" x14ac:dyDescent="0.2"/>
    <row r="15968" s="166" customFormat="1" x14ac:dyDescent="0.2"/>
    <row r="15969" s="166" customFormat="1" x14ac:dyDescent="0.2"/>
    <row r="15970" s="166" customFormat="1" x14ac:dyDescent="0.2"/>
    <row r="15971" s="166" customFormat="1" x14ac:dyDescent="0.2"/>
    <row r="15972" s="166" customFormat="1" x14ac:dyDescent="0.2"/>
    <row r="15973" s="166" customFormat="1" x14ac:dyDescent="0.2"/>
    <row r="15974" s="166" customFormat="1" x14ac:dyDescent="0.2"/>
    <row r="15975" s="166" customFormat="1" x14ac:dyDescent="0.2"/>
    <row r="15976" s="166" customFormat="1" x14ac:dyDescent="0.2"/>
    <row r="15977" s="166" customFormat="1" x14ac:dyDescent="0.2"/>
    <row r="15978" s="166" customFormat="1" x14ac:dyDescent="0.2"/>
    <row r="15979" s="166" customFormat="1" x14ac:dyDescent="0.2"/>
    <row r="15980" s="166" customFormat="1" x14ac:dyDescent="0.2"/>
    <row r="15981" s="166" customFormat="1" x14ac:dyDescent="0.2"/>
    <row r="15982" s="166" customFormat="1" x14ac:dyDescent="0.2"/>
    <row r="15983" s="166" customFormat="1" x14ac:dyDescent="0.2"/>
    <row r="15984" s="166" customFormat="1" x14ac:dyDescent="0.2"/>
    <row r="15985" s="166" customFormat="1" x14ac:dyDescent="0.2"/>
    <row r="15986" s="166" customFormat="1" x14ac:dyDescent="0.2"/>
    <row r="15987" s="166" customFormat="1" x14ac:dyDescent="0.2"/>
    <row r="15988" s="166" customFormat="1" x14ac:dyDescent="0.2"/>
    <row r="15989" s="166" customFormat="1" x14ac:dyDescent="0.2"/>
    <row r="15990" s="166" customFormat="1" x14ac:dyDescent="0.2"/>
    <row r="15991" s="166" customFormat="1" x14ac:dyDescent="0.2"/>
    <row r="15992" s="166" customFormat="1" x14ac:dyDescent="0.2"/>
    <row r="15993" s="166" customFormat="1" x14ac:dyDescent="0.2"/>
    <row r="15994" s="166" customFormat="1" x14ac:dyDescent="0.2"/>
    <row r="15995" s="166" customFormat="1" x14ac:dyDescent="0.2"/>
    <row r="15996" s="166" customFormat="1" x14ac:dyDescent="0.2"/>
    <row r="15997" s="166" customFormat="1" x14ac:dyDescent="0.2"/>
    <row r="15998" s="166" customFormat="1" x14ac:dyDescent="0.2"/>
    <row r="15999" s="166" customFormat="1" x14ac:dyDescent="0.2"/>
    <row r="16000" s="166" customFormat="1" x14ac:dyDescent="0.2"/>
    <row r="16001" s="166" customFormat="1" x14ac:dyDescent="0.2"/>
    <row r="16002" s="166" customFormat="1" x14ac:dyDescent="0.2"/>
    <row r="16003" s="166" customFormat="1" x14ac:dyDescent="0.2"/>
    <row r="16004" s="166" customFormat="1" x14ac:dyDescent="0.2"/>
    <row r="16005" s="166" customFormat="1" x14ac:dyDescent="0.2"/>
    <row r="16006" s="166" customFormat="1" x14ac:dyDescent="0.2"/>
    <row r="16007" s="166" customFormat="1" x14ac:dyDescent="0.2"/>
    <row r="16008" s="166" customFormat="1" x14ac:dyDescent="0.2"/>
    <row r="16009" s="166" customFormat="1" x14ac:dyDescent="0.2"/>
    <row r="16010" s="166" customFormat="1" x14ac:dyDescent="0.2"/>
    <row r="16011" s="166" customFormat="1" x14ac:dyDescent="0.2"/>
    <row r="16012" s="166" customFormat="1" x14ac:dyDescent="0.2"/>
    <row r="16013" s="166" customFormat="1" x14ac:dyDescent="0.2"/>
    <row r="16014" s="166" customFormat="1" x14ac:dyDescent="0.2"/>
    <row r="16015" s="166" customFormat="1" x14ac:dyDescent="0.2"/>
    <row r="16016" s="166" customFormat="1" x14ac:dyDescent="0.2"/>
    <row r="16017" s="166" customFormat="1" x14ac:dyDescent="0.2"/>
    <row r="16018" s="166" customFormat="1" x14ac:dyDescent="0.2"/>
    <row r="16019" s="166" customFormat="1" x14ac:dyDescent="0.2"/>
    <row r="16020" s="166" customFormat="1" x14ac:dyDescent="0.2"/>
    <row r="16021" s="166" customFormat="1" x14ac:dyDescent="0.2"/>
    <row r="16022" s="166" customFormat="1" x14ac:dyDescent="0.2"/>
    <row r="16023" s="166" customFormat="1" x14ac:dyDescent="0.2"/>
    <row r="16024" s="166" customFormat="1" x14ac:dyDescent="0.2"/>
    <row r="16025" s="166" customFormat="1" x14ac:dyDescent="0.2"/>
    <row r="16026" s="166" customFormat="1" x14ac:dyDescent="0.2"/>
    <row r="16027" s="166" customFormat="1" x14ac:dyDescent="0.2"/>
    <row r="16028" s="166" customFormat="1" x14ac:dyDescent="0.2"/>
    <row r="16029" s="166" customFormat="1" x14ac:dyDescent="0.2"/>
    <row r="16030" s="166" customFormat="1" x14ac:dyDescent="0.2"/>
    <row r="16031" s="166" customFormat="1" x14ac:dyDescent="0.2"/>
    <row r="16032" s="166" customFormat="1" x14ac:dyDescent="0.2"/>
    <row r="16033" s="166" customFormat="1" x14ac:dyDescent="0.2"/>
    <row r="16034" s="166" customFormat="1" x14ac:dyDescent="0.2"/>
    <row r="16035" s="166" customFormat="1" x14ac:dyDescent="0.2"/>
    <row r="16036" s="166" customFormat="1" x14ac:dyDescent="0.2"/>
    <row r="16037" s="166" customFormat="1" x14ac:dyDescent="0.2"/>
    <row r="16038" s="166" customFormat="1" x14ac:dyDescent="0.2"/>
    <row r="16039" s="166" customFormat="1" x14ac:dyDescent="0.2"/>
    <row r="16040" s="166" customFormat="1" x14ac:dyDescent="0.2"/>
    <row r="16041" s="166" customFormat="1" x14ac:dyDescent="0.2"/>
    <row r="16042" s="166" customFormat="1" x14ac:dyDescent="0.2"/>
    <row r="16043" s="166" customFormat="1" x14ac:dyDescent="0.2"/>
    <row r="16044" s="166" customFormat="1" x14ac:dyDescent="0.2"/>
    <row r="16045" s="166" customFormat="1" x14ac:dyDescent="0.2"/>
    <row r="16046" s="166" customFormat="1" x14ac:dyDescent="0.2"/>
    <row r="16047" s="166" customFormat="1" x14ac:dyDescent="0.2"/>
    <row r="16048" s="166" customFormat="1" x14ac:dyDescent="0.2"/>
    <row r="16049" s="166" customFormat="1" x14ac:dyDescent="0.2"/>
    <row r="16050" s="166" customFormat="1" x14ac:dyDescent="0.2"/>
    <row r="16051" s="166" customFormat="1" x14ac:dyDescent="0.2"/>
    <row r="16052" s="166" customFormat="1" x14ac:dyDescent="0.2"/>
    <row r="16053" s="166" customFormat="1" x14ac:dyDescent="0.2"/>
    <row r="16054" s="166" customFormat="1" x14ac:dyDescent="0.2"/>
    <row r="16055" s="166" customFormat="1" x14ac:dyDescent="0.2"/>
    <row r="16056" s="166" customFormat="1" x14ac:dyDescent="0.2"/>
    <row r="16057" s="166" customFormat="1" x14ac:dyDescent="0.2"/>
    <row r="16058" s="166" customFormat="1" x14ac:dyDescent="0.2"/>
    <row r="16059" s="166" customFormat="1" x14ac:dyDescent="0.2"/>
    <row r="16060" s="166" customFormat="1" x14ac:dyDescent="0.2"/>
    <row r="16061" s="166" customFormat="1" x14ac:dyDescent="0.2"/>
    <row r="16062" s="166" customFormat="1" x14ac:dyDescent="0.2"/>
    <row r="16063" s="166" customFormat="1" x14ac:dyDescent="0.2"/>
    <row r="16064" s="166" customFormat="1" x14ac:dyDescent="0.2"/>
    <row r="16065" s="166" customFormat="1" x14ac:dyDescent="0.2"/>
    <row r="16066" s="166" customFormat="1" x14ac:dyDescent="0.2"/>
    <row r="16067" s="166" customFormat="1" x14ac:dyDescent="0.2"/>
    <row r="16068" s="166" customFormat="1" x14ac:dyDescent="0.2"/>
    <row r="16069" s="166" customFormat="1" x14ac:dyDescent="0.2"/>
    <row r="16070" s="166" customFormat="1" x14ac:dyDescent="0.2"/>
    <row r="16071" s="166" customFormat="1" x14ac:dyDescent="0.2"/>
    <row r="16072" s="166" customFormat="1" x14ac:dyDescent="0.2"/>
    <row r="16073" s="166" customFormat="1" x14ac:dyDescent="0.2"/>
    <row r="16074" s="166" customFormat="1" x14ac:dyDescent="0.2"/>
    <row r="16075" s="166" customFormat="1" x14ac:dyDescent="0.2"/>
    <row r="16076" s="166" customFormat="1" x14ac:dyDescent="0.2"/>
    <row r="16077" s="166" customFormat="1" x14ac:dyDescent="0.2"/>
    <row r="16078" s="166" customFormat="1" x14ac:dyDescent="0.2"/>
    <row r="16079" s="166" customFormat="1" x14ac:dyDescent="0.2"/>
    <row r="16080" s="166" customFormat="1" x14ac:dyDescent="0.2"/>
    <row r="16081" s="166" customFormat="1" x14ac:dyDescent="0.2"/>
    <row r="16082" s="166" customFormat="1" x14ac:dyDescent="0.2"/>
    <row r="16083" s="166" customFormat="1" x14ac:dyDescent="0.2"/>
    <row r="16084" s="166" customFormat="1" x14ac:dyDescent="0.2"/>
    <row r="16085" s="166" customFormat="1" x14ac:dyDescent="0.2"/>
    <row r="16086" s="166" customFormat="1" x14ac:dyDescent="0.2"/>
    <row r="16087" s="166" customFormat="1" x14ac:dyDescent="0.2"/>
    <row r="16088" s="166" customFormat="1" x14ac:dyDescent="0.2"/>
    <row r="16089" s="166" customFormat="1" x14ac:dyDescent="0.2"/>
    <row r="16090" s="166" customFormat="1" x14ac:dyDescent="0.2"/>
    <row r="16091" s="166" customFormat="1" x14ac:dyDescent="0.2"/>
    <row r="16092" s="166" customFormat="1" x14ac:dyDescent="0.2"/>
    <row r="16093" s="166" customFormat="1" x14ac:dyDescent="0.2"/>
    <row r="16094" s="166" customFormat="1" x14ac:dyDescent="0.2"/>
    <row r="16095" s="166" customFormat="1" x14ac:dyDescent="0.2"/>
    <row r="16096" s="166" customFormat="1" x14ac:dyDescent="0.2"/>
    <row r="16097" s="166" customFormat="1" x14ac:dyDescent="0.2"/>
    <row r="16098" s="166" customFormat="1" x14ac:dyDescent="0.2"/>
    <row r="16099" s="166" customFormat="1" x14ac:dyDescent="0.2"/>
    <row r="16100" s="166" customFormat="1" x14ac:dyDescent="0.2"/>
    <row r="16101" s="166" customFormat="1" x14ac:dyDescent="0.2"/>
    <row r="16102" s="166" customFormat="1" x14ac:dyDescent="0.2"/>
    <row r="16103" s="166" customFormat="1" x14ac:dyDescent="0.2"/>
    <row r="16104" s="166" customFormat="1" x14ac:dyDescent="0.2"/>
    <row r="16105" s="166" customFormat="1" x14ac:dyDescent="0.2"/>
    <row r="16106" s="166" customFormat="1" x14ac:dyDescent="0.2"/>
    <row r="16107" s="166" customFormat="1" x14ac:dyDescent="0.2"/>
    <row r="16108" s="166" customFormat="1" x14ac:dyDescent="0.2"/>
    <row r="16109" s="166" customFormat="1" x14ac:dyDescent="0.2"/>
    <row r="16110" s="166" customFormat="1" x14ac:dyDescent="0.2"/>
    <row r="16111" s="166" customFormat="1" x14ac:dyDescent="0.2"/>
    <row r="16112" s="166" customFormat="1" x14ac:dyDescent="0.2"/>
    <row r="16113" s="166" customFormat="1" x14ac:dyDescent="0.2"/>
    <row r="16114" s="166" customFormat="1" x14ac:dyDescent="0.2"/>
    <row r="16115" s="166" customFormat="1" x14ac:dyDescent="0.2"/>
    <row r="16116" s="166" customFormat="1" x14ac:dyDescent="0.2"/>
    <row r="16117" s="166" customFormat="1" x14ac:dyDescent="0.2"/>
    <row r="16118" s="166" customFormat="1" x14ac:dyDescent="0.2"/>
    <row r="16119" s="166" customFormat="1" x14ac:dyDescent="0.2"/>
    <row r="16120" s="166" customFormat="1" x14ac:dyDescent="0.2"/>
    <row r="16121" s="166" customFormat="1" x14ac:dyDescent="0.2"/>
    <row r="16122" s="166" customFormat="1" x14ac:dyDescent="0.2"/>
    <row r="16123" s="166" customFormat="1" x14ac:dyDescent="0.2"/>
    <row r="16124" s="166" customFormat="1" x14ac:dyDescent="0.2"/>
    <row r="16125" s="166" customFormat="1" x14ac:dyDescent="0.2"/>
    <row r="16126" s="166" customFormat="1" x14ac:dyDescent="0.2"/>
    <row r="16127" s="166" customFormat="1" x14ac:dyDescent="0.2"/>
    <row r="16128" s="166" customFormat="1" x14ac:dyDescent="0.2"/>
    <row r="16129" s="166" customFormat="1" x14ac:dyDescent="0.2"/>
    <row r="16130" s="166" customFormat="1" x14ac:dyDescent="0.2"/>
    <row r="16131" s="166" customFormat="1" x14ac:dyDescent="0.2"/>
    <row r="16132" s="166" customFormat="1" x14ac:dyDescent="0.2"/>
    <row r="16133" s="166" customFormat="1" x14ac:dyDescent="0.2"/>
    <row r="16134" s="166" customFormat="1" x14ac:dyDescent="0.2"/>
    <row r="16135" s="166" customFormat="1" x14ac:dyDescent="0.2"/>
    <row r="16136" s="166" customFormat="1" x14ac:dyDescent="0.2"/>
    <row r="16137" s="166" customFormat="1" x14ac:dyDescent="0.2"/>
    <row r="16138" s="166" customFormat="1" x14ac:dyDescent="0.2"/>
    <row r="16139" s="166" customFormat="1" x14ac:dyDescent="0.2"/>
    <row r="16140" s="166" customFormat="1" x14ac:dyDescent="0.2"/>
    <row r="16141" s="166" customFormat="1" x14ac:dyDescent="0.2"/>
    <row r="16142" s="166" customFormat="1" x14ac:dyDescent="0.2"/>
    <row r="16143" s="166" customFormat="1" x14ac:dyDescent="0.2"/>
    <row r="16144" s="166" customFormat="1" x14ac:dyDescent="0.2"/>
    <row r="16145" s="166" customFormat="1" x14ac:dyDescent="0.2"/>
    <row r="16146" s="166" customFormat="1" x14ac:dyDescent="0.2"/>
    <row r="16147" s="166" customFormat="1" x14ac:dyDescent="0.2"/>
    <row r="16148" s="166" customFormat="1" x14ac:dyDescent="0.2"/>
    <row r="16149" s="166" customFormat="1" x14ac:dyDescent="0.2"/>
    <row r="16150" s="166" customFormat="1" x14ac:dyDescent="0.2"/>
    <row r="16151" s="166" customFormat="1" x14ac:dyDescent="0.2"/>
    <row r="16152" s="166" customFormat="1" x14ac:dyDescent="0.2"/>
    <row r="16153" s="166" customFormat="1" x14ac:dyDescent="0.2"/>
    <row r="16154" s="166" customFormat="1" x14ac:dyDescent="0.2"/>
    <row r="16155" s="166" customFormat="1" x14ac:dyDescent="0.2"/>
    <row r="16156" s="166" customFormat="1" x14ac:dyDescent="0.2"/>
    <row r="16157" s="166" customFormat="1" x14ac:dyDescent="0.2"/>
    <row r="16158" s="166" customFormat="1" x14ac:dyDescent="0.2"/>
    <row r="16159" s="166" customFormat="1" x14ac:dyDescent="0.2"/>
    <row r="16160" s="166" customFormat="1" x14ac:dyDescent="0.2"/>
    <row r="16161" s="166" customFormat="1" x14ac:dyDescent="0.2"/>
    <row r="16162" s="166" customFormat="1" x14ac:dyDescent="0.2"/>
    <row r="16163" s="166" customFormat="1" x14ac:dyDescent="0.2"/>
    <row r="16164" s="166" customFormat="1" x14ac:dyDescent="0.2"/>
    <row r="16165" s="166" customFormat="1" x14ac:dyDescent="0.2"/>
    <row r="16166" s="166" customFormat="1" x14ac:dyDescent="0.2"/>
    <row r="16167" s="166" customFormat="1" x14ac:dyDescent="0.2"/>
    <row r="16168" s="166" customFormat="1" x14ac:dyDescent="0.2"/>
    <row r="16169" s="166" customFormat="1" x14ac:dyDescent="0.2"/>
    <row r="16170" s="166" customFormat="1" x14ac:dyDescent="0.2"/>
    <row r="16171" s="166" customFormat="1" x14ac:dyDescent="0.2"/>
    <row r="16172" s="166" customFormat="1" x14ac:dyDescent="0.2"/>
    <row r="16173" s="166" customFormat="1" x14ac:dyDescent="0.2"/>
    <row r="16174" s="166" customFormat="1" x14ac:dyDescent="0.2"/>
    <row r="16175" s="166" customFormat="1" x14ac:dyDescent="0.2"/>
    <row r="16176" s="166" customFormat="1" x14ac:dyDescent="0.2"/>
    <row r="16177" s="166" customFormat="1" x14ac:dyDescent="0.2"/>
    <row r="16178" s="166" customFormat="1" x14ac:dyDescent="0.2"/>
    <row r="16179" s="166" customFormat="1" x14ac:dyDescent="0.2"/>
    <row r="16180" s="166" customFormat="1" x14ac:dyDescent="0.2"/>
    <row r="16181" s="166" customFormat="1" x14ac:dyDescent="0.2"/>
    <row r="16182" s="166" customFormat="1" x14ac:dyDescent="0.2"/>
    <row r="16183" s="166" customFormat="1" x14ac:dyDescent="0.2"/>
    <row r="16184" s="166" customFormat="1" x14ac:dyDescent="0.2"/>
    <row r="16185" s="166" customFormat="1" x14ac:dyDescent="0.2"/>
    <row r="16186" s="166" customFormat="1" x14ac:dyDescent="0.2"/>
    <row r="16187" s="166" customFormat="1" x14ac:dyDescent="0.2"/>
    <row r="16188" s="166" customFormat="1" x14ac:dyDescent="0.2"/>
    <row r="16189" s="166" customFormat="1" x14ac:dyDescent="0.2"/>
    <row r="16190" s="166" customFormat="1" x14ac:dyDescent="0.2"/>
    <row r="16191" s="166" customFormat="1" x14ac:dyDescent="0.2"/>
    <row r="16192" s="166" customFormat="1" x14ac:dyDescent="0.2"/>
    <row r="16193" s="166" customFormat="1" x14ac:dyDescent="0.2"/>
    <row r="16194" s="166" customFormat="1" x14ac:dyDescent="0.2"/>
    <row r="16195" s="166" customFormat="1" x14ac:dyDescent="0.2"/>
    <row r="16196" s="166" customFormat="1" x14ac:dyDescent="0.2"/>
    <row r="16197" s="166" customFormat="1" x14ac:dyDescent="0.2"/>
    <row r="16198" s="166" customFormat="1" x14ac:dyDescent="0.2"/>
    <row r="16199" s="166" customFormat="1" x14ac:dyDescent="0.2"/>
    <row r="16200" s="166" customFormat="1" x14ac:dyDescent="0.2"/>
    <row r="16201" s="166" customFormat="1" x14ac:dyDescent="0.2"/>
    <row r="16202" s="166" customFormat="1" x14ac:dyDescent="0.2"/>
    <row r="16203" s="166" customFormat="1" x14ac:dyDescent="0.2"/>
    <row r="16204" s="166" customFormat="1" x14ac:dyDescent="0.2"/>
    <row r="16205" s="166" customFormat="1" x14ac:dyDescent="0.2"/>
    <row r="16206" s="166" customFormat="1" x14ac:dyDescent="0.2"/>
    <row r="16207" s="166" customFormat="1" x14ac:dyDescent="0.2"/>
    <row r="16208" s="166" customFormat="1" x14ac:dyDescent="0.2"/>
    <row r="16209" s="166" customFormat="1" x14ac:dyDescent="0.2"/>
    <row r="16210" s="166" customFormat="1" x14ac:dyDescent="0.2"/>
    <row r="16211" s="166" customFormat="1" x14ac:dyDescent="0.2"/>
    <row r="16212" s="166" customFormat="1" x14ac:dyDescent="0.2"/>
    <row r="16213" s="166" customFormat="1" x14ac:dyDescent="0.2"/>
    <row r="16214" s="166" customFormat="1" x14ac:dyDescent="0.2"/>
    <row r="16215" s="166" customFormat="1" x14ac:dyDescent="0.2"/>
    <row r="16216" s="166" customFormat="1" x14ac:dyDescent="0.2"/>
    <row r="16217" s="166" customFormat="1" x14ac:dyDescent="0.2"/>
    <row r="16218" s="166" customFormat="1" x14ac:dyDescent="0.2"/>
    <row r="16219" s="166" customFormat="1" x14ac:dyDescent="0.2"/>
    <row r="16220" s="166" customFormat="1" x14ac:dyDescent="0.2"/>
    <row r="16221" s="166" customFormat="1" x14ac:dyDescent="0.2"/>
    <row r="16222" s="166" customFormat="1" x14ac:dyDescent="0.2"/>
    <row r="16223" s="166" customFormat="1" x14ac:dyDescent="0.2"/>
    <row r="16224" s="166" customFormat="1" x14ac:dyDescent="0.2"/>
    <row r="16225" s="166" customFormat="1" x14ac:dyDescent="0.2"/>
    <row r="16226" s="166" customFormat="1" x14ac:dyDescent="0.2"/>
    <row r="16227" s="166" customFormat="1" x14ac:dyDescent="0.2"/>
    <row r="16228" s="166" customFormat="1" x14ac:dyDescent="0.2"/>
    <row r="16229" s="166" customFormat="1" x14ac:dyDescent="0.2"/>
    <row r="16230" s="166" customFormat="1" x14ac:dyDescent="0.2"/>
    <row r="16231" s="166" customFormat="1" x14ac:dyDescent="0.2"/>
    <row r="16232" s="166" customFormat="1" x14ac:dyDescent="0.2"/>
    <row r="16233" s="166" customFormat="1" x14ac:dyDescent="0.2"/>
    <row r="16234" s="166" customFormat="1" x14ac:dyDescent="0.2"/>
    <row r="16235" s="166" customFormat="1" x14ac:dyDescent="0.2"/>
    <row r="16236" s="166" customFormat="1" x14ac:dyDescent="0.2"/>
    <row r="16237" s="166" customFormat="1" x14ac:dyDescent="0.2"/>
    <row r="16238" s="166" customFormat="1" x14ac:dyDescent="0.2"/>
    <row r="16239" s="166" customFormat="1" x14ac:dyDescent="0.2"/>
    <row r="16240" s="166" customFormat="1" x14ac:dyDescent="0.2"/>
    <row r="16241" s="166" customFormat="1" x14ac:dyDescent="0.2"/>
    <row r="16242" s="166" customFormat="1" x14ac:dyDescent="0.2"/>
    <row r="16243" s="166" customFormat="1" x14ac:dyDescent="0.2"/>
    <row r="16244" s="166" customFormat="1" x14ac:dyDescent="0.2"/>
    <row r="16245" s="166" customFormat="1" x14ac:dyDescent="0.2"/>
    <row r="16246" s="166" customFormat="1" x14ac:dyDescent="0.2"/>
    <row r="16247" s="166" customFormat="1" x14ac:dyDescent="0.2"/>
    <row r="16248" s="166" customFormat="1" x14ac:dyDescent="0.2"/>
    <row r="16249" s="166" customFormat="1" x14ac:dyDescent="0.2"/>
    <row r="16250" s="166" customFormat="1" x14ac:dyDescent="0.2"/>
    <row r="16251" s="166" customFormat="1" x14ac:dyDescent="0.2"/>
    <row r="16252" s="166" customFormat="1" x14ac:dyDescent="0.2"/>
    <row r="16253" s="166" customFormat="1" x14ac:dyDescent="0.2"/>
    <row r="16254" s="166" customFormat="1" x14ac:dyDescent="0.2"/>
    <row r="16255" s="166" customFormat="1" x14ac:dyDescent="0.2"/>
    <row r="16256" s="166" customFormat="1" x14ac:dyDescent="0.2"/>
    <row r="16257" s="166" customFormat="1" x14ac:dyDescent="0.2"/>
    <row r="16258" s="166" customFormat="1" x14ac:dyDescent="0.2"/>
    <row r="16259" s="166" customFormat="1" x14ac:dyDescent="0.2"/>
    <row r="16260" s="166" customFormat="1" x14ac:dyDescent="0.2"/>
    <row r="16261" s="166" customFormat="1" x14ac:dyDescent="0.2"/>
    <row r="16262" s="166" customFormat="1" x14ac:dyDescent="0.2"/>
    <row r="16263" s="166" customFormat="1" x14ac:dyDescent="0.2"/>
    <row r="16264" s="166" customFormat="1" x14ac:dyDescent="0.2"/>
    <row r="16265" s="166" customFormat="1" x14ac:dyDescent="0.2"/>
    <row r="16266" s="166" customFormat="1" x14ac:dyDescent="0.2"/>
    <row r="16267" s="166" customFormat="1" x14ac:dyDescent="0.2"/>
    <row r="16268" s="166" customFormat="1" x14ac:dyDescent="0.2"/>
    <row r="16269" s="166" customFormat="1" x14ac:dyDescent="0.2"/>
    <row r="16270" s="166" customFormat="1" x14ac:dyDescent="0.2"/>
    <row r="16271" s="166" customFormat="1" x14ac:dyDescent="0.2"/>
    <row r="16272" s="166" customFormat="1" x14ac:dyDescent="0.2"/>
    <row r="16273" s="166" customFormat="1" x14ac:dyDescent="0.2"/>
    <row r="16274" s="166" customFormat="1" x14ac:dyDescent="0.2"/>
    <row r="16275" s="166" customFormat="1" x14ac:dyDescent="0.2"/>
    <row r="16276" s="166" customFormat="1" x14ac:dyDescent="0.2"/>
    <row r="16277" s="166" customFormat="1" x14ac:dyDescent="0.2"/>
    <row r="16278" s="166" customFormat="1" x14ac:dyDescent="0.2"/>
    <row r="16279" s="166" customFormat="1" x14ac:dyDescent="0.2"/>
    <row r="16280" s="166" customFormat="1" x14ac:dyDescent="0.2"/>
    <row r="16281" s="166" customFormat="1" x14ac:dyDescent="0.2"/>
    <row r="16282" s="166" customFormat="1" x14ac:dyDescent="0.2"/>
    <row r="16283" s="166" customFormat="1" x14ac:dyDescent="0.2"/>
    <row r="16284" s="166" customFormat="1" x14ac:dyDescent="0.2"/>
    <row r="16285" s="166" customFormat="1" x14ac:dyDescent="0.2"/>
    <row r="16286" s="166" customFormat="1" x14ac:dyDescent="0.2"/>
    <row r="16287" s="166" customFormat="1" x14ac:dyDescent="0.2"/>
    <row r="16288" s="166" customFormat="1" x14ac:dyDescent="0.2"/>
    <row r="16289" s="166" customFormat="1" x14ac:dyDescent="0.2"/>
    <row r="16290" s="166" customFormat="1" x14ac:dyDescent="0.2"/>
    <row r="16291" s="166" customFormat="1" x14ac:dyDescent="0.2"/>
    <row r="16292" s="166" customFormat="1" x14ac:dyDescent="0.2"/>
    <row r="16293" s="166" customFormat="1" x14ac:dyDescent="0.2"/>
    <row r="16294" s="166" customFormat="1" x14ac:dyDescent="0.2"/>
    <row r="16295" s="166" customFormat="1" x14ac:dyDescent="0.2"/>
    <row r="16296" s="166" customFormat="1" x14ac:dyDescent="0.2"/>
    <row r="16297" s="166" customFormat="1" x14ac:dyDescent="0.2"/>
    <row r="16298" s="166" customFormat="1" x14ac:dyDescent="0.2"/>
    <row r="16299" s="166" customFormat="1" x14ac:dyDescent="0.2"/>
    <row r="16300" s="166" customFormat="1" x14ac:dyDescent="0.2"/>
    <row r="16301" s="166" customFormat="1" x14ac:dyDescent="0.2"/>
    <row r="16302" s="166" customFormat="1" x14ac:dyDescent="0.2"/>
    <row r="16303" s="166" customFormat="1" x14ac:dyDescent="0.2"/>
    <row r="16304" s="166" customFormat="1" x14ac:dyDescent="0.2"/>
    <row r="16305" s="166" customFormat="1" x14ac:dyDescent="0.2"/>
    <row r="16306" s="166" customFormat="1" x14ac:dyDescent="0.2"/>
    <row r="16307" s="166" customFormat="1" x14ac:dyDescent="0.2"/>
    <row r="16308" s="166" customFormat="1" x14ac:dyDescent="0.2"/>
    <row r="16309" s="166" customFormat="1" x14ac:dyDescent="0.2"/>
    <row r="16310" s="166" customFormat="1" x14ac:dyDescent="0.2"/>
    <row r="16311" s="166" customFormat="1" x14ac:dyDescent="0.2"/>
    <row r="16312" s="166" customFormat="1" x14ac:dyDescent="0.2"/>
    <row r="16313" s="166" customFormat="1" x14ac:dyDescent="0.2"/>
    <row r="16314" s="166" customFormat="1" x14ac:dyDescent="0.2"/>
    <row r="16315" s="166" customFormat="1" x14ac:dyDescent="0.2"/>
    <row r="16316" s="166" customFormat="1" x14ac:dyDescent="0.2"/>
    <row r="16317" s="166" customFormat="1" x14ac:dyDescent="0.2"/>
    <row r="16318" s="166" customFormat="1" x14ac:dyDescent="0.2"/>
    <row r="16319" s="166" customFormat="1" x14ac:dyDescent="0.2"/>
    <row r="16320" s="166" customFormat="1" x14ac:dyDescent="0.2"/>
    <row r="16321" s="166" customFormat="1" x14ac:dyDescent="0.2"/>
    <row r="16322" s="166" customFormat="1" x14ac:dyDescent="0.2"/>
    <row r="16323" s="166" customFormat="1" x14ac:dyDescent="0.2"/>
    <row r="16324" s="166" customFormat="1" x14ac:dyDescent="0.2"/>
    <row r="16325" s="166" customFormat="1" x14ac:dyDescent="0.2"/>
    <row r="16326" s="166" customFormat="1" x14ac:dyDescent="0.2"/>
    <row r="16327" s="166" customFormat="1" x14ac:dyDescent="0.2"/>
    <row r="16328" s="166" customFormat="1" x14ac:dyDescent="0.2"/>
    <row r="16329" s="166" customFormat="1" x14ac:dyDescent="0.2"/>
    <row r="16330" s="166" customFormat="1" x14ac:dyDescent="0.2"/>
    <row r="16331" s="166" customFormat="1" x14ac:dyDescent="0.2"/>
    <row r="16332" s="166" customFormat="1" x14ac:dyDescent="0.2"/>
    <row r="16333" s="166" customFormat="1" x14ac:dyDescent="0.2"/>
    <row r="16334" s="166" customFormat="1" x14ac:dyDescent="0.2"/>
    <row r="16335" s="166" customFormat="1" x14ac:dyDescent="0.2"/>
    <row r="16336" s="166" customFormat="1" x14ac:dyDescent="0.2"/>
    <row r="16337" s="166" customFormat="1" x14ac:dyDescent="0.2"/>
    <row r="16338" s="166" customFormat="1" x14ac:dyDescent="0.2"/>
    <row r="16339" s="166" customFormat="1" x14ac:dyDescent="0.2"/>
    <row r="16340" s="166" customFormat="1" x14ac:dyDescent="0.2"/>
    <row r="16341" s="166" customFormat="1" x14ac:dyDescent="0.2"/>
    <row r="16342" s="166" customFormat="1" x14ac:dyDescent="0.2"/>
    <row r="16343" s="166" customFormat="1" x14ac:dyDescent="0.2"/>
    <row r="16344" s="166" customFormat="1" x14ac:dyDescent="0.2"/>
    <row r="16345" s="166" customFormat="1" x14ac:dyDescent="0.2"/>
    <row r="16346" s="166" customFormat="1" x14ac:dyDescent="0.2"/>
    <row r="16347" s="166" customFormat="1" x14ac:dyDescent="0.2"/>
    <row r="16348" s="166" customFormat="1" x14ac:dyDescent="0.2"/>
    <row r="16349" s="166" customFormat="1" x14ac:dyDescent="0.2"/>
    <row r="16350" s="166" customFormat="1" x14ac:dyDescent="0.2"/>
    <row r="16351" s="166" customFormat="1" x14ac:dyDescent="0.2"/>
    <row r="16352" s="166" customFormat="1" x14ac:dyDescent="0.2"/>
    <row r="16353" s="166" customFormat="1" x14ac:dyDescent="0.2"/>
    <row r="16354" s="166" customFormat="1" x14ac:dyDescent="0.2"/>
    <row r="16355" s="166" customFormat="1" x14ac:dyDescent="0.2"/>
    <row r="16356" s="166" customFormat="1" x14ac:dyDescent="0.2"/>
    <row r="16357" s="166" customFormat="1" x14ac:dyDescent="0.2"/>
    <row r="16358" s="166" customFormat="1" x14ac:dyDescent="0.2"/>
    <row r="16359" s="166" customFormat="1" x14ac:dyDescent="0.2"/>
    <row r="16360" s="166" customFormat="1" x14ac:dyDescent="0.2"/>
    <row r="16361" s="166" customFormat="1" x14ac:dyDescent="0.2"/>
    <row r="16362" s="166" customFormat="1" x14ac:dyDescent="0.2"/>
    <row r="16363" s="166" customFormat="1" x14ac:dyDescent="0.2"/>
    <row r="16364" s="166" customFormat="1" x14ac:dyDescent="0.2"/>
    <row r="16365" s="166" customFormat="1" x14ac:dyDescent="0.2"/>
    <row r="16366" s="166" customFormat="1" x14ac:dyDescent="0.2"/>
    <row r="16367" s="166" customFormat="1" x14ac:dyDescent="0.2"/>
    <row r="16368" s="166" customFormat="1" x14ac:dyDescent="0.2"/>
    <row r="16369" s="166" customFormat="1" x14ac:dyDescent="0.2"/>
    <row r="16370" s="166" customFormat="1" x14ac:dyDescent="0.2"/>
    <row r="16371" s="166" customFormat="1" x14ac:dyDescent="0.2"/>
    <row r="16372" s="166" customFormat="1" x14ac:dyDescent="0.2"/>
    <row r="16373" s="166" customFormat="1" x14ac:dyDescent="0.2"/>
    <row r="16374" s="166" customFormat="1" x14ac:dyDescent="0.2"/>
    <row r="16375" s="166" customFormat="1" x14ac:dyDescent="0.2"/>
    <row r="16376" s="166" customFormat="1" x14ac:dyDescent="0.2"/>
    <row r="16377" s="166" customFormat="1" x14ac:dyDescent="0.2"/>
    <row r="16378" s="166" customFormat="1" x14ac:dyDescent="0.2"/>
    <row r="16379" s="166" customFormat="1" x14ac:dyDescent="0.2"/>
    <row r="16380" s="166" customFormat="1" x14ac:dyDescent="0.2"/>
    <row r="16381" s="166" customFormat="1" x14ac:dyDescent="0.2"/>
    <row r="16382" s="166" customFormat="1" x14ac:dyDescent="0.2"/>
    <row r="16383" s="166" customFormat="1" x14ac:dyDescent="0.2"/>
    <row r="16384" s="166" customFormat="1" x14ac:dyDescent="0.2"/>
    <row r="16385" s="166" customFormat="1" x14ac:dyDescent="0.2"/>
    <row r="16386" s="166" customFormat="1" x14ac:dyDescent="0.2"/>
    <row r="16387" s="166" customFormat="1" x14ac:dyDescent="0.2"/>
    <row r="16388" s="166" customFormat="1" x14ac:dyDescent="0.2"/>
    <row r="16389" s="166" customFormat="1" x14ac:dyDescent="0.2"/>
    <row r="16390" s="166" customFormat="1" x14ac:dyDescent="0.2"/>
    <row r="16391" s="166" customFormat="1" x14ac:dyDescent="0.2"/>
    <row r="16392" s="166" customFormat="1" x14ac:dyDescent="0.2"/>
    <row r="16393" s="166" customFormat="1" x14ac:dyDescent="0.2"/>
    <row r="16394" s="166" customFormat="1" x14ac:dyDescent="0.2"/>
    <row r="16395" s="166" customFormat="1" x14ac:dyDescent="0.2"/>
    <row r="16396" s="166" customFormat="1" x14ac:dyDescent="0.2"/>
    <row r="16397" s="166" customFormat="1" x14ac:dyDescent="0.2"/>
    <row r="16398" s="166" customFormat="1" x14ac:dyDescent="0.2"/>
    <row r="16399" s="166" customFormat="1" x14ac:dyDescent="0.2"/>
    <row r="16400" s="166" customFormat="1" x14ac:dyDescent="0.2"/>
    <row r="16401" s="166" customFormat="1" x14ac:dyDescent="0.2"/>
    <row r="16402" s="166" customFormat="1" x14ac:dyDescent="0.2"/>
    <row r="16403" s="166" customFormat="1" x14ac:dyDescent="0.2"/>
    <row r="16404" s="166" customFormat="1" x14ac:dyDescent="0.2"/>
    <row r="16405" s="166" customFormat="1" x14ac:dyDescent="0.2"/>
    <row r="16406" s="166" customFormat="1" x14ac:dyDescent="0.2"/>
    <row r="16407" s="166" customFormat="1" x14ac:dyDescent="0.2"/>
    <row r="16408" s="166" customFormat="1" x14ac:dyDescent="0.2"/>
    <row r="16409" s="166" customFormat="1" x14ac:dyDescent="0.2"/>
    <row r="16410" s="166" customFormat="1" x14ac:dyDescent="0.2"/>
    <row r="16411" s="166" customFormat="1" x14ac:dyDescent="0.2"/>
    <row r="16412" s="166" customFormat="1" x14ac:dyDescent="0.2"/>
    <row r="16413" s="166" customFormat="1" x14ac:dyDescent="0.2"/>
    <row r="16414" s="166" customFormat="1" x14ac:dyDescent="0.2"/>
    <row r="16415" s="166" customFormat="1" x14ac:dyDescent="0.2"/>
    <row r="16416" s="166" customFormat="1" x14ac:dyDescent="0.2"/>
    <row r="16417" s="166" customFormat="1" x14ac:dyDescent="0.2"/>
    <row r="16418" s="166" customFormat="1" x14ac:dyDescent="0.2"/>
    <row r="16419" s="166" customFormat="1" x14ac:dyDescent="0.2"/>
    <row r="16420" s="166" customFormat="1" x14ac:dyDescent="0.2"/>
    <row r="16421" s="166" customFormat="1" x14ac:dyDescent="0.2"/>
    <row r="16422" s="166" customFormat="1" x14ac:dyDescent="0.2"/>
    <row r="16423" s="166" customFormat="1" x14ac:dyDescent="0.2"/>
    <row r="16424" s="166" customFormat="1" x14ac:dyDescent="0.2"/>
    <row r="16425" s="166" customFormat="1" x14ac:dyDescent="0.2"/>
    <row r="16426" s="166" customFormat="1" x14ac:dyDescent="0.2"/>
    <row r="16427" s="166" customFormat="1" x14ac:dyDescent="0.2"/>
    <row r="16428" s="166" customFormat="1" x14ac:dyDescent="0.2"/>
    <row r="16429" s="166" customFormat="1" x14ac:dyDescent="0.2"/>
    <row r="16430" s="166" customFormat="1" x14ac:dyDescent="0.2"/>
    <row r="16431" s="166" customFormat="1" x14ac:dyDescent="0.2"/>
    <row r="16432" s="166" customFormat="1" x14ac:dyDescent="0.2"/>
    <row r="16433" s="166" customFormat="1" x14ac:dyDescent="0.2"/>
    <row r="16434" s="166" customFormat="1" x14ac:dyDescent="0.2"/>
    <row r="16435" s="166" customFormat="1" x14ac:dyDescent="0.2"/>
    <row r="16436" s="166" customFormat="1" x14ac:dyDescent="0.2"/>
    <row r="16437" s="166" customFormat="1" x14ac:dyDescent="0.2"/>
    <row r="16438" s="166" customFormat="1" x14ac:dyDescent="0.2"/>
    <row r="16439" s="166" customFormat="1" x14ac:dyDescent="0.2"/>
    <row r="16440" s="166" customFormat="1" x14ac:dyDescent="0.2"/>
    <row r="16441" s="166" customFormat="1" x14ac:dyDescent="0.2"/>
    <row r="16442" s="166" customFormat="1" x14ac:dyDescent="0.2"/>
    <row r="16443" s="166" customFormat="1" x14ac:dyDescent="0.2"/>
    <row r="16444" s="166" customFormat="1" x14ac:dyDescent="0.2"/>
    <row r="16445" s="166" customFormat="1" x14ac:dyDescent="0.2"/>
    <row r="16446" s="166" customFormat="1" x14ac:dyDescent="0.2"/>
    <row r="16447" s="166" customFormat="1" x14ac:dyDescent="0.2"/>
    <row r="16448" s="166" customFormat="1" x14ac:dyDescent="0.2"/>
    <row r="16449" s="166" customFormat="1" x14ac:dyDescent="0.2"/>
    <row r="16450" s="166" customFormat="1" x14ac:dyDescent="0.2"/>
    <row r="16451" s="166" customFormat="1" x14ac:dyDescent="0.2"/>
    <row r="16452" s="166" customFormat="1" x14ac:dyDescent="0.2"/>
    <row r="16453" s="166" customFormat="1" x14ac:dyDescent="0.2"/>
    <row r="16454" s="166" customFormat="1" x14ac:dyDescent="0.2"/>
    <row r="16455" s="166" customFormat="1" x14ac:dyDescent="0.2"/>
    <row r="16456" s="166" customFormat="1" x14ac:dyDescent="0.2"/>
    <row r="16457" s="166" customFormat="1" x14ac:dyDescent="0.2"/>
    <row r="16458" s="166" customFormat="1" x14ac:dyDescent="0.2"/>
    <row r="16459" s="166" customFormat="1" x14ac:dyDescent="0.2"/>
    <row r="16460" s="166" customFormat="1" x14ac:dyDescent="0.2"/>
    <row r="16461" s="166" customFormat="1" x14ac:dyDescent="0.2"/>
    <row r="16462" s="166" customFormat="1" x14ac:dyDescent="0.2"/>
    <row r="16463" s="166" customFormat="1" x14ac:dyDescent="0.2"/>
    <row r="16464" s="166" customFormat="1" x14ac:dyDescent="0.2"/>
    <row r="16465" s="166" customFormat="1" x14ac:dyDescent="0.2"/>
    <row r="16466" s="166" customFormat="1" x14ac:dyDescent="0.2"/>
    <row r="16467" s="166" customFormat="1" x14ac:dyDescent="0.2"/>
    <row r="16468" s="166" customFormat="1" x14ac:dyDescent="0.2"/>
    <row r="16469" s="166" customFormat="1" x14ac:dyDescent="0.2"/>
    <row r="16470" s="166" customFormat="1" x14ac:dyDescent="0.2"/>
    <row r="16471" s="166" customFormat="1" x14ac:dyDescent="0.2"/>
    <row r="16472" s="166" customFormat="1" x14ac:dyDescent="0.2"/>
    <row r="16473" s="166" customFormat="1" x14ac:dyDescent="0.2"/>
    <row r="16474" s="166" customFormat="1" x14ac:dyDescent="0.2"/>
    <row r="16475" s="166" customFormat="1" x14ac:dyDescent="0.2"/>
    <row r="16476" s="166" customFormat="1" x14ac:dyDescent="0.2"/>
    <row r="16477" s="166" customFormat="1" x14ac:dyDescent="0.2"/>
    <row r="16478" s="166" customFormat="1" x14ac:dyDescent="0.2"/>
    <row r="16479" s="166" customFormat="1" x14ac:dyDescent="0.2"/>
    <row r="16480" s="166" customFormat="1" x14ac:dyDescent="0.2"/>
    <row r="16481" s="166" customFormat="1" x14ac:dyDescent="0.2"/>
    <row r="16482" s="166" customFormat="1" x14ac:dyDescent="0.2"/>
    <row r="16483" s="166" customFormat="1" x14ac:dyDescent="0.2"/>
    <row r="16484" s="166" customFormat="1" x14ac:dyDescent="0.2"/>
    <row r="16485" s="166" customFormat="1" x14ac:dyDescent="0.2"/>
    <row r="16486" s="166" customFormat="1" x14ac:dyDescent="0.2"/>
    <row r="16487" s="166" customFormat="1" x14ac:dyDescent="0.2"/>
    <row r="16488" s="166" customFormat="1" x14ac:dyDescent="0.2"/>
    <row r="16489" s="166" customFormat="1" x14ac:dyDescent="0.2"/>
    <row r="16490" s="166" customFormat="1" x14ac:dyDescent="0.2"/>
    <row r="16491" s="166" customFormat="1" x14ac:dyDescent="0.2"/>
    <row r="16492" s="166" customFormat="1" x14ac:dyDescent="0.2"/>
    <row r="16493" s="166" customFormat="1" x14ac:dyDescent="0.2"/>
    <row r="16494" s="166" customFormat="1" x14ac:dyDescent="0.2"/>
    <row r="16495" s="166" customFormat="1" x14ac:dyDescent="0.2"/>
    <row r="16496" s="166" customFormat="1" x14ac:dyDescent="0.2"/>
    <row r="16497" s="166" customFormat="1" x14ac:dyDescent="0.2"/>
    <row r="16498" s="166" customFormat="1" x14ac:dyDescent="0.2"/>
    <row r="16499" s="166" customFormat="1" x14ac:dyDescent="0.2"/>
    <row r="16500" s="166" customFormat="1" x14ac:dyDescent="0.2"/>
    <row r="16501" s="166" customFormat="1" x14ac:dyDescent="0.2"/>
    <row r="16502" s="166" customFormat="1" x14ac:dyDescent="0.2"/>
    <row r="16503" s="166" customFormat="1" x14ac:dyDescent="0.2"/>
    <row r="16504" s="166" customFormat="1" x14ac:dyDescent="0.2"/>
    <row r="16505" s="166" customFormat="1" x14ac:dyDescent="0.2"/>
    <row r="16506" s="166" customFormat="1" x14ac:dyDescent="0.2"/>
    <row r="16507" s="166" customFormat="1" x14ac:dyDescent="0.2"/>
    <row r="16508" s="166" customFormat="1" x14ac:dyDescent="0.2"/>
    <row r="16509" s="166" customFormat="1" x14ac:dyDescent="0.2"/>
    <row r="16510" s="166" customFormat="1" x14ac:dyDescent="0.2"/>
    <row r="16511" s="166" customFormat="1" x14ac:dyDescent="0.2"/>
    <row r="16512" s="166" customFormat="1" x14ac:dyDescent="0.2"/>
    <row r="16513" s="166" customFormat="1" x14ac:dyDescent="0.2"/>
    <row r="16514" s="166" customFormat="1" x14ac:dyDescent="0.2"/>
    <row r="16515" s="166" customFormat="1" x14ac:dyDescent="0.2"/>
    <row r="16516" s="166" customFormat="1" x14ac:dyDescent="0.2"/>
    <row r="16517" s="166" customFormat="1" x14ac:dyDescent="0.2"/>
    <row r="16518" s="166" customFormat="1" x14ac:dyDescent="0.2"/>
    <row r="16519" s="166" customFormat="1" x14ac:dyDescent="0.2"/>
    <row r="16520" s="166" customFormat="1" x14ac:dyDescent="0.2"/>
    <row r="16521" s="166" customFormat="1" x14ac:dyDescent="0.2"/>
    <row r="16522" s="166" customFormat="1" x14ac:dyDescent="0.2"/>
    <row r="16523" s="166" customFormat="1" x14ac:dyDescent="0.2"/>
    <row r="16524" s="166" customFormat="1" x14ac:dyDescent="0.2"/>
    <row r="16525" s="166" customFormat="1" x14ac:dyDescent="0.2"/>
    <row r="16526" s="166" customFormat="1" x14ac:dyDescent="0.2"/>
    <row r="16527" s="166" customFormat="1" x14ac:dyDescent="0.2"/>
    <row r="16528" s="166" customFormat="1" x14ac:dyDescent="0.2"/>
    <row r="16529" s="166" customFormat="1" x14ac:dyDescent="0.2"/>
    <row r="16530" s="166" customFormat="1" x14ac:dyDescent="0.2"/>
    <row r="16531" s="166" customFormat="1" x14ac:dyDescent="0.2"/>
    <row r="16532" s="166" customFormat="1" x14ac:dyDescent="0.2"/>
    <row r="16533" s="166" customFormat="1" x14ac:dyDescent="0.2"/>
    <row r="16534" s="166" customFormat="1" x14ac:dyDescent="0.2"/>
    <row r="16535" s="166" customFormat="1" x14ac:dyDescent="0.2"/>
    <row r="16536" s="166" customFormat="1" x14ac:dyDescent="0.2"/>
    <row r="16537" s="166" customFormat="1" x14ac:dyDescent="0.2"/>
    <row r="16538" s="166" customFormat="1" x14ac:dyDescent="0.2"/>
    <row r="16539" s="166" customFormat="1" x14ac:dyDescent="0.2"/>
    <row r="16540" s="166" customFormat="1" x14ac:dyDescent="0.2"/>
    <row r="16541" s="166" customFormat="1" x14ac:dyDescent="0.2"/>
    <row r="16542" s="166" customFormat="1" x14ac:dyDescent="0.2"/>
    <row r="16543" s="166" customFormat="1" x14ac:dyDescent="0.2"/>
    <row r="16544" s="166" customFormat="1" x14ac:dyDescent="0.2"/>
    <row r="16545" s="166" customFormat="1" x14ac:dyDescent="0.2"/>
    <row r="16546" s="166" customFormat="1" x14ac:dyDescent="0.2"/>
    <row r="16547" s="166" customFormat="1" x14ac:dyDescent="0.2"/>
    <row r="16548" s="166" customFormat="1" x14ac:dyDescent="0.2"/>
    <row r="16549" s="166" customFormat="1" x14ac:dyDescent="0.2"/>
    <row r="16550" s="166" customFormat="1" x14ac:dyDescent="0.2"/>
    <row r="16551" s="166" customFormat="1" x14ac:dyDescent="0.2"/>
    <row r="16552" s="166" customFormat="1" x14ac:dyDescent="0.2"/>
    <row r="16553" s="166" customFormat="1" x14ac:dyDescent="0.2"/>
    <row r="16554" s="166" customFormat="1" x14ac:dyDescent="0.2"/>
    <row r="16555" s="166" customFormat="1" x14ac:dyDescent="0.2"/>
    <row r="16556" s="166" customFormat="1" x14ac:dyDescent="0.2"/>
    <row r="16557" s="166" customFormat="1" x14ac:dyDescent="0.2"/>
    <row r="16558" s="166" customFormat="1" x14ac:dyDescent="0.2"/>
    <row r="16559" s="166" customFormat="1" x14ac:dyDescent="0.2"/>
    <row r="16560" s="166" customFormat="1" x14ac:dyDescent="0.2"/>
    <row r="16561" s="166" customFormat="1" x14ac:dyDescent="0.2"/>
    <row r="16562" s="166" customFormat="1" x14ac:dyDescent="0.2"/>
    <row r="16563" s="166" customFormat="1" x14ac:dyDescent="0.2"/>
    <row r="16564" s="166" customFormat="1" x14ac:dyDescent="0.2"/>
    <row r="16565" s="166" customFormat="1" x14ac:dyDescent="0.2"/>
    <row r="16566" s="166" customFormat="1" x14ac:dyDescent="0.2"/>
    <row r="16567" s="166" customFormat="1" x14ac:dyDescent="0.2"/>
    <row r="16568" s="166" customFormat="1" x14ac:dyDescent="0.2"/>
    <row r="16569" s="166" customFormat="1" x14ac:dyDescent="0.2"/>
    <row r="16570" s="166" customFormat="1" x14ac:dyDescent="0.2"/>
    <row r="16571" s="166" customFormat="1" x14ac:dyDescent="0.2"/>
    <row r="16572" s="166" customFormat="1" x14ac:dyDescent="0.2"/>
    <row r="16573" s="166" customFormat="1" x14ac:dyDescent="0.2"/>
    <row r="16574" s="166" customFormat="1" x14ac:dyDescent="0.2"/>
    <row r="16575" s="166" customFormat="1" x14ac:dyDescent="0.2"/>
    <row r="16576" s="166" customFormat="1" x14ac:dyDescent="0.2"/>
    <row r="16577" s="166" customFormat="1" x14ac:dyDescent="0.2"/>
    <row r="16578" s="166" customFormat="1" x14ac:dyDescent="0.2"/>
    <row r="16579" s="166" customFormat="1" x14ac:dyDescent="0.2"/>
    <row r="16580" s="166" customFormat="1" x14ac:dyDescent="0.2"/>
    <row r="16581" s="166" customFormat="1" x14ac:dyDescent="0.2"/>
    <row r="16582" s="166" customFormat="1" x14ac:dyDescent="0.2"/>
    <row r="16583" s="166" customFormat="1" x14ac:dyDescent="0.2"/>
    <row r="16584" s="166" customFormat="1" x14ac:dyDescent="0.2"/>
    <row r="16585" s="166" customFormat="1" x14ac:dyDescent="0.2"/>
    <row r="16586" s="166" customFormat="1" x14ac:dyDescent="0.2"/>
    <row r="16587" s="166" customFormat="1" x14ac:dyDescent="0.2"/>
    <row r="16588" s="166" customFormat="1" x14ac:dyDescent="0.2"/>
    <row r="16589" s="166" customFormat="1" x14ac:dyDescent="0.2"/>
    <row r="16590" s="166" customFormat="1" x14ac:dyDescent="0.2"/>
    <row r="16591" s="166" customFormat="1" x14ac:dyDescent="0.2"/>
    <row r="16592" s="166" customFormat="1" x14ac:dyDescent="0.2"/>
    <row r="16593" s="166" customFormat="1" x14ac:dyDescent="0.2"/>
    <row r="16594" s="166" customFormat="1" x14ac:dyDescent="0.2"/>
    <row r="16595" s="166" customFormat="1" x14ac:dyDescent="0.2"/>
    <row r="16596" s="166" customFormat="1" x14ac:dyDescent="0.2"/>
    <row r="16597" s="166" customFormat="1" x14ac:dyDescent="0.2"/>
    <row r="16598" s="166" customFormat="1" x14ac:dyDescent="0.2"/>
    <row r="16599" s="166" customFormat="1" x14ac:dyDescent="0.2"/>
    <row r="16600" s="166" customFormat="1" x14ac:dyDescent="0.2"/>
    <row r="16601" s="166" customFormat="1" x14ac:dyDescent="0.2"/>
    <row r="16602" s="166" customFormat="1" x14ac:dyDescent="0.2"/>
    <row r="16603" s="166" customFormat="1" x14ac:dyDescent="0.2"/>
    <row r="16604" s="166" customFormat="1" x14ac:dyDescent="0.2"/>
    <row r="16605" s="166" customFormat="1" x14ac:dyDescent="0.2"/>
    <row r="16606" s="166" customFormat="1" x14ac:dyDescent="0.2"/>
    <row r="16607" s="166" customFormat="1" x14ac:dyDescent="0.2"/>
    <row r="16608" s="166" customFormat="1" x14ac:dyDescent="0.2"/>
    <row r="16609" s="166" customFormat="1" x14ac:dyDescent="0.2"/>
    <row r="16610" s="166" customFormat="1" x14ac:dyDescent="0.2"/>
    <row r="16611" s="166" customFormat="1" x14ac:dyDescent="0.2"/>
    <row r="16612" s="166" customFormat="1" x14ac:dyDescent="0.2"/>
    <row r="16613" s="166" customFormat="1" x14ac:dyDescent="0.2"/>
    <row r="16614" s="166" customFormat="1" x14ac:dyDescent="0.2"/>
    <row r="16615" s="166" customFormat="1" x14ac:dyDescent="0.2"/>
    <row r="16616" s="166" customFormat="1" x14ac:dyDescent="0.2"/>
    <row r="16617" s="166" customFormat="1" x14ac:dyDescent="0.2"/>
    <row r="16618" s="166" customFormat="1" x14ac:dyDescent="0.2"/>
    <row r="16619" s="166" customFormat="1" x14ac:dyDescent="0.2"/>
    <row r="16620" s="166" customFormat="1" x14ac:dyDescent="0.2"/>
    <row r="16621" s="166" customFormat="1" x14ac:dyDescent="0.2"/>
    <row r="16622" s="166" customFormat="1" x14ac:dyDescent="0.2"/>
    <row r="16623" s="166" customFormat="1" x14ac:dyDescent="0.2"/>
    <row r="16624" s="166" customFormat="1" x14ac:dyDescent="0.2"/>
    <row r="16625" s="166" customFormat="1" x14ac:dyDescent="0.2"/>
    <row r="16626" s="166" customFormat="1" x14ac:dyDescent="0.2"/>
    <row r="16627" s="166" customFormat="1" x14ac:dyDescent="0.2"/>
    <row r="16628" s="166" customFormat="1" x14ac:dyDescent="0.2"/>
    <row r="16629" s="166" customFormat="1" x14ac:dyDescent="0.2"/>
    <row r="16630" s="166" customFormat="1" x14ac:dyDescent="0.2"/>
    <row r="16631" s="166" customFormat="1" x14ac:dyDescent="0.2"/>
    <row r="16632" s="166" customFormat="1" x14ac:dyDescent="0.2"/>
    <row r="16633" s="166" customFormat="1" x14ac:dyDescent="0.2"/>
    <row r="16634" s="166" customFormat="1" x14ac:dyDescent="0.2"/>
    <row r="16635" s="166" customFormat="1" x14ac:dyDescent="0.2"/>
    <row r="16636" s="166" customFormat="1" x14ac:dyDescent="0.2"/>
    <row r="16637" s="166" customFormat="1" x14ac:dyDescent="0.2"/>
    <row r="16638" s="166" customFormat="1" x14ac:dyDescent="0.2"/>
    <row r="16639" s="166" customFormat="1" x14ac:dyDescent="0.2"/>
    <row r="16640" s="166" customFormat="1" x14ac:dyDescent="0.2"/>
    <row r="16641" s="166" customFormat="1" x14ac:dyDescent="0.2"/>
    <row r="16642" s="166" customFormat="1" x14ac:dyDescent="0.2"/>
    <row r="16643" s="166" customFormat="1" x14ac:dyDescent="0.2"/>
    <row r="16644" s="166" customFormat="1" x14ac:dyDescent="0.2"/>
    <row r="16645" s="166" customFormat="1" x14ac:dyDescent="0.2"/>
    <row r="16646" s="166" customFormat="1" x14ac:dyDescent="0.2"/>
    <row r="16647" s="166" customFormat="1" x14ac:dyDescent="0.2"/>
    <row r="16648" s="166" customFormat="1" x14ac:dyDescent="0.2"/>
    <row r="16649" s="166" customFormat="1" x14ac:dyDescent="0.2"/>
    <row r="16650" s="166" customFormat="1" x14ac:dyDescent="0.2"/>
    <row r="16651" s="166" customFormat="1" x14ac:dyDescent="0.2"/>
    <row r="16652" s="166" customFormat="1" x14ac:dyDescent="0.2"/>
    <row r="16653" s="166" customFormat="1" x14ac:dyDescent="0.2"/>
    <row r="16654" s="166" customFormat="1" x14ac:dyDescent="0.2"/>
    <row r="16655" s="166" customFormat="1" x14ac:dyDescent="0.2"/>
    <row r="16656" s="166" customFormat="1" x14ac:dyDescent="0.2"/>
    <row r="16657" s="166" customFormat="1" x14ac:dyDescent="0.2"/>
    <row r="16658" s="166" customFormat="1" x14ac:dyDescent="0.2"/>
    <row r="16659" s="166" customFormat="1" x14ac:dyDescent="0.2"/>
    <row r="16660" s="166" customFormat="1" x14ac:dyDescent="0.2"/>
    <row r="16661" s="166" customFormat="1" x14ac:dyDescent="0.2"/>
    <row r="16662" s="166" customFormat="1" x14ac:dyDescent="0.2"/>
    <row r="16663" s="166" customFormat="1" x14ac:dyDescent="0.2"/>
    <row r="16664" s="166" customFormat="1" x14ac:dyDescent="0.2"/>
    <row r="16665" s="166" customFormat="1" x14ac:dyDescent="0.2"/>
    <row r="16666" s="166" customFormat="1" x14ac:dyDescent="0.2"/>
    <row r="16667" s="166" customFormat="1" x14ac:dyDescent="0.2"/>
    <row r="16668" s="166" customFormat="1" x14ac:dyDescent="0.2"/>
    <row r="16669" s="166" customFormat="1" x14ac:dyDescent="0.2"/>
    <row r="16670" s="166" customFormat="1" x14ac:dyDescent="0.2"/>
    <row r="16671" s="166" customFormat="1" x14ac:dyDescent="0.2"/>
    <row r="16672" s="166" customFormat="1" x14ac:dyDescent="0.2"/>
    <row r="16673" s="166" customFormat="1" x14ac:dyDescent="0.2"/>
    <row r="16674" s="166" customFormat="1" x14ac:dyDescent="0.2"/>
    <row r="16675" s="166" customFormat="1" x14ac:dyDescent="0.2"/>
    <row r="16676" s="166" customFormat="1" x14ac:dyDescent="0.2"/>
    <row r="16677" s="166" customFormat="1" x14ac:dyDescent="0.2"/>
    <row r="16678" s="166" customFormat="1" x14ac:dyDescent="0.2"/>
    <row r="16679" s="166" customFormat="1" x14ac:dyDescent="0.2"/>
    <row r="16680" s="166" customFormat="1" x14ac:dyDescent="0.2"/>
    <row r="16681" s="166" customFormat="1" x14ac:dyDescent="0.2"/>
    <row r="16682" s="166" customFormat="1" x14ac:dyDescent="0.2"/>
    <row r="16683" s="166" customFormat="1" x14ac:dyDescent="0.2"/>
    <row r="16684" s="166" customFormat="1" x14ac:dyDescent="0.2"/>
    <row r="16685" s="166" customFormat="1" x14ac:dyDescent="0.2"/>
    <row r="16686" s="166" customFormat="1" x14ac:dyDescent="0.2"/>
    <row r="16687" s="166" customFormat="1" x14ac:dyDescent="0.2"/>
    <row r="16688" s="166" customFormat="1" x14ac:dyDescent="0.2"/>
    <row r="16689" s="166" customFormat="1" x14ac:dyDescent="0.2"/>
    <row r="16690" s="166" customFormat="1" x14ac:dyDescent="0.2"/>
    <row r="16691" s="166" customFormat="1" x14ac:dyDescent="0.2"/>
    <row r="16692" s="166" customFormat="1" x14ac:dyDescent="0.2"/>
    <row r="16693" s="166" customFormat="1" x14ac:dyDescent="0.2"/>
    <row r="16694" s="166" customFormat="1" x14ac:dyDescent="0.2"/>
    <row r="16695" s="166" customFormat="1" x14ac:dyDescent="0.2"/>
    <row r="16696" s="166" customFormat="1" x14ac:dyDescent="0.2"/>
    <row r="16697" s="166" customFormat="1" x14ac:dyDescent="0.2"/>
    <row r="16698" s="166" customFormat="1" x14ac:dyDescent="0.2"/>
    <row r="16699" s="166" customFormat="1" x14ac:dyDescent="0.2"/>
    <row r="16700" s="166" customFormat="1" x14ac:dyDescent="0.2"/>
    <row r="16701" s="166" customFormat="1" x14ac:dyDescent="0.2"/>
    <row r="16702" s="166" customFormat="1" x14ac:dyDescent="0.2"/>
    <row r="16703" s="166" customFormat="1" x14ac:dyDescent="0.2"/>
    <row r="16704" s="166" customFormat="1" x14ac:dyDescent="0.2"/>
    <row r="16705" s="166" customFormat="1" x14ac:dyDescent="0.2"/>
    <row r="16706" s="166" customFormat="1" x14ac:dyDescent="0.2"/>
    <row r="16707" s="166" customFormat="1" x14ac:dyDescent="0.2"/>
    <row r="16708" s="166" customFormat="1" x14ac:dyDescent="0.2"/>
    <row r="16709" s="166" customFormat="1" x14ac:dyDescent="0.2"/>
    <row r="16710" s="166" customFormat="1" x14ac:dyDescent="0.2"/>
    <row r="16711" s="166" customFormat="1" x14ac:dyDescent="0.2"/>
    <row r="16712" s="166" customFormat="1" x14ac:dyDescent="0.2"/>
    <row r="16713" s="166" customFormat="1" x14ac:dyDescent="0.2"/>
    <row r="16714" s="166" customFormat="1" x14ac:dyDescent="0.2"/>
    <row r="16715" s="166" customFormat="1" x14ac:dyDescent="0.2"/>
    <row r="16716" s="166" customFormat="1" x14ac:dyDescent="0.2"/>
    <row r="16717" s="166" customFormat="1" x14ac:dyDescent="0.2"/>
    <row r="16718" s="166" customFormat="1" x14ac:dyDescent="0.2"/>
    <row r="16719" s="166" customFormat="1" x14ac:dyDescent="0.2"/>
    <row r="16720" s="166" customFormat="1" x14ac:dyDescent="0.2"/>
    <row r="16721" s="166" customFormat="1" x14ac:dyDescent="0.2"/>
    <row r="16722" s="166" customFormat="1" x14ac:dyDescent="0.2"/>
    <row r="16723" s="166" customFormat="1" x14ac:dyDescent="0.2"/>
    <row r="16724" s="166" customFormat="1" x14ac:dyDescent="0.2"/>
    <row r="16725" s="166" customFormat="1" x14ac:dyDescent="0.2"/>
    <row r="16726" s="166" customFormat="1" x14ac:dyDescent="0.2"/>
    <row r="16727" s="166" customFormat="1" x14ac:dyDescent="0.2"/>
    <row r="16728" s="166" customFormat="1" x14ac:dyDescent="0.2"/>
    <row r="16729" s="166" customFormat="1" x14ac:dyDescent="0.2"/>
    <row r="16730" s="166" customFormat="1" x14ac:dyDescent="0.2"/>
    <row r="16731" s="166" customFormat="1" x14ac:dyDescent="0.2"/>
    <row r="16732" s="166" customFormat="1" x14ac:dyDescent="0.2"/>
    <row r="16733" s="166" customFormat="1" x14ac:dyDescent="0.2"/>
    <row r="16734" s="166" customFormat="1" x14ac:dyDescent="0.2"/>
    <row r="16735" s="166" customFormat="1" x14ac:dyDescent="0.2"/>
    <row r="16736" s="166" customFormat="1" x14ac:dyDescent="0.2"/>
    <row r="16737" s="166" customFormat="1" x14ac:dyDescent="0.2"/>
    <row r="16738" s="166" customFormat="1" x14ac:dyDescent="0.2"/>
    <row r="16739" s="166" customFormat="1" x14ac:dyDescent="0.2"/>
    <row r="16740" s="166" customFormat="1" x14ac:dyDescent="0.2"/>
    <row r="16741" s="166" customFormat="1" x14ac:dyDescent="0.2"/>
    <row r="16742" s="166" customFormat="1" x14ac:dyDescent="0.2"/>
    <row r="16743" s="166" customFormat="1" x14ac:dyDescent="0.2"/>
    <row r="16744" s="166" customFormat="1" x14ac:dyDescent="0.2"/>
    <row r="16745" s="166" customFormat="1" x14ac:dyDescent="0.2"/>
    <row r="16746" s="166" customFormat="1" x14ac:dyDescent="0.2"/>
    <row r="16747" s="166" customFormat="1" x14ac:dyDescent="0.2"/>
    <row r="16748" s="166" customFormat="1" x14ac:dyDescent="0.2"/>
    <row r="16749" s="166" customFormat="1" x14ac:dyDescent="0.2"/>
    <row r="16750" s="166" customFormat="1" x14ac:dyDescent="0.2"/>
    <row r="16751" s="166" customFormat="1" x14ac:dyDescent="0.2"/>
    <row r="16752" s="166" customFormat="1" x14ac:dyDescent="0.2"/>
    <row r="16753" s="166" customFormat="1" x14ac:dyDescent="0.2"/>
    <row r="16754" s="166" customFormat="1" x14ac:dyDescent="0.2"/>
    <row r="16755" s="166" customFormat="1" x14ac:dyDescent="0.2"/>
    <row r="16756" s="166" customFormat="1" x14ac:dyDescent="0.2"/>
    <row r="16757" s="166" customFormat="1" x14ac:dyDescent="0.2"/>
    <row r="16758" s="166" customFormat="1" x14ac:dyDescent="0.2"/>
    <row r="16759" s="166" customFormat="1" x14ac:dyDescent="0.2"/>
    <row r="16760" s="166" customFormat="1" x14ac:dyDescent="0.2"/>
    <row r="16761" s="166" customFormat="1" x14ac:dyDescent="0.2"/>
    <row r="16762" s="166" customFormat="1" x14ac:dyDescent="0.2"/>
    <row r="16763" s="166" customFormat="1" x14ac:dyDescent="0.2"/>
    <row r="16764" s="166" customFormat="1" x14ac:dyDescent="0.2"/>
    <row r="16765" s="166" customFormat="1" x14ac:dyDescent="0.2"/>
    <row r="16766" s="166" customFormat="1" x14ac:dyDescent="0.2"/>
    <row r="16767" s="166" customFormat="1" x14ac:dyDescent="0.2"/>
    <row r="16768" s="166" customFormat="1" x14ac:dyDescent="0.2"/>
    <row r="16769" s="166" customFormat="1" x14ac:dyDescent="0.2"/>
    <row r="16770" s="166" customFormat="1" x14ac:dyDescent="0.2"/>
    <row r="16771" s="166" customFormat="1" x14ac:dyDescent="0.2"/>
    <row r="16772" s="166" customFormat="1" x14ac:dyDescent="0.2"/>
    <row r="16773" s="166" customFormat="1" x14ac:dyDescent="0.2"/>
    <row r="16774" s="166" customFormat="1" x14ac:dyDescent="0.2"/>
    <row r="16775" s="166" customFormat="1" x14ac:dyDescent="0.2"/>
    <row r="16776" s="166" customFormat="1" x14ac:dyDescent="0.2"/>
    <row r="16777" s="166" customFormat="1" x14ac:dyDescent="0.2"/>
    <row r="16778" s="166" customFormat="1" x14ac:dyDescent="0.2"/>
    <row r="16779" s="166" customFormat="1" x14ac:dyDescent="0.2"/>
    <row r="16780" s="166" customFormat="1" x14ac:dyDescent="0.2"/>
    <row r="16781" s="166" customFormat="1" x14ac:dyDescent="0.2"/>
    <row r="16782" s="166" customFormat="1" x14ac:dyDescent="0.2"/>
    <row r="16783" s="166" customFormat="1" x14ac:dyDescent="0.2"/>
    <row r="16784" s="166" customFormat="1" x14ac:dyDescent="0.2"/>
    <row r="16785" s="166" customFormat="1" x14ac:dyDescent="0.2"/>
    <row r="16786" s="166" customFormat="1" x14ac:dyDescent="0.2"/>
    <row r="16787" s="166" customFormat="1" x14ac:dyDescent="0.2"/>
    <row r="16788" s="166" customFormat="1" x14ac:dyDescent="0.2"/>
    <row r="16789" s="166" customFormat="1" x14ac:dyDescent="0.2"/>
    <row r="16790" s="166" customFormat="1" x14ac:dyDescent="0.2"/>
    <row r="16791" s="166" customFormat="1" x14ac:dyDescent="0.2"/>
    <row r="16792" s="166" customFormat="1" x14ac:dyDescent="0.2"/>
    <row r="16793" s="166" customFormat="1" x14ac:dyDescent="0.2"/>
    <row r="16794" s="166" customFormat="1" x14ac:dyDescent="0.2"/>
    <row r="16795" s="166" customFormat="1" x14ac:dyDescent="0.2"/>
    <row r="16796" s="166" customFormat="1" x14ac:dyDescent="0.2"/>
    <row r="16797" s="166" customFormat="1" x14ac:dyDescent="0.2"/>
    <row r="16798" s="166" customFormat="1" x14ac:dyDescent="0.2"/>
    <row r="16799" s="166" customFormat="1" x14ac:dyDescent="0.2"/>
    <row r="16800" s="166" customFormat="1" x14ac:dyDescent="0.2"/>
    <row r="16801" s="166" customFormat="1" x14ac:dyDescent="0.2"/>
    <row r="16802" s="166" customFormat="1" x14ac:dyDescent="0.2"/>
    <row r="16803" s="166" customFormat="1" x14ac:dyDescent="0.2"/>
    <row r="16804" s="166" customFormat="1" x14ac:dyDescent="0.2"/>
    <row r="16805" s="166" customFormat="1" x14ac:dyDescent="0.2"/>
    <row r="16806" s="166" customFormat="1" x14ac:dyDescent="0.2"/>
    <row r="16807" s="166" customFormat="1" x14ac:dyDescent="0.2"/>
    <row r="16808" s="166" customFormat="1" x14ac:dyDescent="0.2"/>
    <row r="16809" s="166" customFormat="1" x14ac:dyDescent="0.2"/>
    <row r="16810" s="166" customFormat="1" x14ac:dyDescent="0.2"/>
    <row r="16811" s="166" customFormat="1" x14ac:dyDescent="0.2"/>
    <row r="16812" s="166" customFormat="1" x14ac:dyDescent="0.2"/>
    <row r="16813" s="166" customFormat="1" x14ac:dyDescent="0.2"/>
    <row r="16814" s="166" customFormat="1" x14ac:dyDescent="0.2"/>
    <row r="16815" s="166" customFormat="1" x14ac:dyDescent="0.2"/>
    <row r="16816" s="166" customFormat="1" x14ac:dyDescent="0.2"/>
    <row r="16817" s="166" customFormat="1" x14ac:dyDescent="0.2"/>
    <row r="16818" s="166" customFormat="1" x14ac:dyDescent="0.2"/>
    <row r="16819" s="166" customFormat="1" x14ac:dyDescent="0.2"/>
    <row r="16820" s="166" customFormat="1" x14ac:dyDescent="0.2"/>
    <row r="16821" s="166" customFormat="1" x14ac:dyDescent="0.2"/>
    <row r="16822" s="166" customFormat="1" x14ac:dyDescent="0.2"/>
    <row r="16823" s="166" customFormat="1" x14ac:dyDescent="0.2"/>
    <row r="16824" s="166" customFormat="1" x14ac:dyDescent="0.2"/>
    <row r="16825" s="166" customFormat="1" x14ac:dyDescent="0.2"/>
    <row r="16826" s="166" customFormat="1" x14ac:dyDescent="0.2"/>
    <row r="16827" s="166" customFormat="1" x14ac:dyDescent="0.2"/>
    <row r="16828" s="166" customFormat="1" x14ac:dyDescent="0.2"/>
    <row r="16829" s="166" customFormat="1" x14ac:dyDescent="0.2"/>
    <row r="16830" s="166" customFormat="1" x14ac:dyDescent="0.2"/>
    <row r="16831" s="166" customFormat="1" x14ac:dyDescent="0.2"/>
    <row r="16832" s="166" customFormat="1" x14ac:dyDescent="0.2"/>
    <row r="16833" s="166" customFormat="1" x14ac:dyDescent="0.2"/>
    <row r="16834" s="166" customFormat="1" x14ac:dyDescent="0.2"/>
    <row r="16835" s="166" customFormat="1" x14ac:dyDescent="0.2"/>
    <row r="16836" s="166" customFormat="1" x14ac:dyDescent="0.2"/>
    <row r="16837" s="166" customFormat="1" x14ac:dyDescent="0.2"/>
    <row r="16838" s="166" customFormat="1" x14ac:dyDescent="0.2"/>
    <row r="16839" s="166" customFormat="1" x14ac:dyDescent="0.2"/>
    <row r="16840" s="166" customFormat="1" x14ac:dyDescent="0.2"/>
    <row r="16841" s="166" customFormat="1" x14ac:dyDescent="0.2"/>
    <row r="16842" s="166" customFormat="1" x14ac:dyDescent="0.2"/>
    <row r="16843" s="166" customFormat="1" x14ac:dyDescent="0.2"/>
    <row r="16844" s="166" customFormat="1" x14ac:dyDescent="0.2"/>
    <row r="16845" s="166" customFormat="1" x14ac:dyDescent="0.2"/>
    <row r="16846" s="166" customFormat="1" x14ac:dyDescent="0.2"/>
    <row r="16847" s="166" customFormat="1" x14ac:dyDescent="0.2"/>
    <row r="16848" s="166" customFormat="1" x14ac:dyDescent="0.2"/>
    <row r="16849" s="166" customFormat="1" x14ac:dyDescent="0.2"/>
    <row r="16850" s="166" customFormat="1" x14ac:dyDescent="0.2"/>
    <row r="16851" s="166" customFormat="1" x14ac:dyDescent="0.2"/>
    <row r="16852" s="166" customFormat="1" x14ac:dyDescent="0.2"/>
    <row r="16853" s="166" customFormat="1" x14ac:dyDescent="0.2"/>
    <row r="16854" s="166" customFormat="1" x14ac:dyDescent="0.2"/>
    <row r="16855" s="166" customFormat="1" x14ac:dyDescent="0.2"/>
    <row r="16856" s="166" customFormat="1" x14ac:dyDescent="0.2"/>
    <row r="16857" s="166" customFormat="1" x14ac:dyDescent="0.2"/>
    <row r="16858" s="166" customFormat="1" x14ac:dyDescent="0.2"/>
    <row r="16859" s="166" customFormat="1" x14ac:dyDescent="0.2"/>
    <row r="16860" s="166" customFormat="1" x14ac:dyDescent="0.2"/>
    <row r="16861" s="166" customFormat="1" x14ac:dyDescent="0.2"/>
    <row r="16862" s="166" customFormat="1" x14ac:dyDescent="0.2"/>
    <row r="16863" s="166" customFormat="1" x14ac:dyDescent="0.2"/>
    <row r="16864" s="166" customFormat="1" x14ac:dyDescent="0.2"/>
    <row r="16865" s="166" customFormat="1" x14ac:dyDescent="0.2"/>
    <row r="16866" s="166" customFormat="1" x14ac:dyDescent="0.2"/>
    <row r="16867" s="166" customFormat="1" x14ac:dyDescent="0.2"/>
    <row r="16868" s="166" customFormat="1" x14ac:dyDescent="0.2"/>
    <row r="16869" s="166" customFormat="1" x14ac:dyDescent="0.2"/>
    <row r="16870" s="166" customFormat="1" x14ac:dyDescent="0.2"/>
    <row r="16871" s="166" customFormat="1" x14ac:dyDescent="0.2"/>
    <row r="16872" s="166" customFormat="1" x14ac:dyDescent="0.2"/>
    <row r="16873" s="166" customFormat="1" x14ac:dyDescent="0.2"/>
    <row r="16874" s="166" customFormat="1" x14ac:dyDescent="0.2"/>
    <row r="16875" s="166" customFormat="1" x14ac:dyDescent="0.2"/>
    <row r="16876" s="166" customFormat="1" x14ac:dyDescent="0.2"/>
    <row r="16877" s="166" customFormat="1" x14ac:dyDescent="0.2"/>
    <row r="16878" s="166" customFormat="1" x14ac:dyDescent="0.2"/>
    <row r="16879" s="166" customFormat="1" x14ac:dyDescent="0.2"/>
    <row r="16880" s="166" customFormat="1" x14ac:dyDescent="0.2"/>
    <row r="16881" s="166" customFormat="1" x14ac:dyDescent="0.2"/>
    <row r="16882" s="166" customFormat="1" x14ac:dyDescent="0.2"/>
    <row r="16883" s="166" customFormat="1" x14ac:dyDescent="0.2"/>
    <row r="16884" s="166" customFormat="1" x14ac:dyDescent="0.2"/>
    <row r="16885" s="166" customFormat="1" x14ac:dyDescent="0.2"/>
    <row r="16886" s="166" customFormat="1" x14ac:dyDescent="0.2"/>
    <row r="16887" s="166" customFormat="1" x14ac:dyDescent="0.2"/>
    <row r="16888" s="166" customFormat="1" x14ac:dyDescent="0.2"/>
    <row r="16889" s="166" customFormat="1" x14ac:dyDescent="0.2"/>
    <row r="16890" s="166" customFormat="1" x14ac:dyDescent="0.2"/>
    <row r="16891" s="166" customFormat="1" x14ac:dyDescent="0.2"/>
    <row r="16892" s="166" customFormat="1" x14ac:dyDescent="0.2"/>
    <row r="16893" s="166" customFormat="1" x14ac:dyDescent="0.2"/>
    <row r="16894" s="166" customFormat="1" x14ac:dyDescent="0.2"/>
    <row r="16895" s="166" customFormat="1" x14ac:dyDescent="0.2"/>
    <row r="16896" s="166" customFormat="1" x14ac:dyDescent="0.2"/>
    <row r="16897" s="166" customFormat="1" x14ac:dyDescent="0.2"/>
    <row r="16898" s="166" customFormat="1" x14ac:dyDescent="0.2"/>
    <row r="16899" s="166" customFormat="1" x14ac:dyDescent="0.2"/>
    <row r="16900" s="166" customFormat="1" x14ac:dyDescent="0.2"/>
    <row r="16901" s="166" customFormat="1" x14ac:dyDescent="0.2"/>
    <row r="16902" s="166" customFormat="1" x14ac:dyDescent="0.2"/>
    <row r="16903" s="166" customFormat="1" x14ac:dyDescent="0.2"/>
    <row r="16904" s="166" customFormat="1" x14ac:dyDescent="0.2"/>
    <row r="16905" s="166" customFormat="1" x14ac:dyDescent="0.2"/>
    <row r="16906" s="166" customFormat="1" x14ac:dyDescent="0.2"/>
    <row r="16907" s="166" customFormat="1" x14ac:dyDescent="0.2"/>
    <row r="16908" s="166" customFormat="1" x14ac:dyDescent="0.2"/>
    <row r="16909" s="166" customFormat="1" x14ac:dyDescent="0.2"/>
    <row r="16910" s="166" customFormat="1" x14ac:dyDescent="0.2"/>
    <row r="16911" s="166" customFormat="1" x14ac:dyDescent="0.2"/>
    <row r="16912" s="166" customFormat="1" x14ac:dyDescent="0.2"/>
    <row r="16913" s="166" customFormat="1" x14ac:dyDescent="0.2"/>
    <row r="16914" s="166" customFormat="1" x14ac:dyDescent="0.2"/>
    <row r="16915" s="166" customFormat="1" x14ac:dyDescent="0.2"/>
    <row r="16916" s="166" customFormat="1" x14ac:dyDescent="0.2"/>
    <row r="16917" s="166" customFormat="1" x14ac:dyDescent="0.2"/>
    <row r="16918" s="166" customFormat="1" x14ac:dyDescent="0.2"/>
    <row r="16919" s="166" customFormat="1" x14ac:dyDescent="0.2"/>
    <row r="16920" s="166" customFormat="1" x14ac:dyDescent="0.2"/>
    <row r="16921" s="166" customFormat="1" x14ac:dyDescent="0.2"/>
    <row r="16922" s="166" customFormat="1" x14ac:dyDescent="0.2"/>
    <row r="16923" s="166" customFormat="1" x14ac:dyDescent="0.2"/>
    <row r="16924" s="166" customFormat="1" x14ac:dyDescent="0.2"/>
    <row r="16925" s="166" customFormat="1" x14ac:dyDescent="0.2"/>
    <row r="16926" s="166" customFormat="1" x14ac:dyDescent="0.2"/>
    <row r="16927" s="166" customFormat="1" x14ac:dyDescent="0.2"/>
    <row r="16928" s="166" customFormat="1" x14ac:dyDescent="0.2"/>
    <row r="16929" s="166" customFormat="1" x14ac:dyDescent="0.2"/>
    <row r="16930" s="166" customFormat="1" x14ac:dyDescent="0.2"/>
    <row r="16931" s="166" customFormat="1" x14ac:dyDescent="0.2"/>
    <row r="16932" s="166" customFormat="1" x14ac:dyDescent="0.2"/>
    <row r="16933" s="166" customFormat="1" x14ac:dyDescent="0.2"/>
    <row r="16934" s="166" customFormat="1" x14ac:dyDescent="0.2"/>
    <row r="16935" s="166" customFormat="1" x14ac:dyDescent="0.2"/>
    <row r="16936" s="166" customFormat="1" x14ac:dyDescent="0.2"/>
    <row r="16937" s="166" customFormat="1" x14ac:dyDescent="0.2"/>
    <row r="16938" s="166" customFormat="1" x14ac:dyDescent="0.2"/>
    <row r="16939" s="166" customFormat="1" x14ac:dyDescent="0.2"/>
    <row r="16940" s="166" customFormat="1" x14ac:dyDescent="0.2"/>
    <row r="16941" s="166" customFormat="1" x14ac:dyDescent="0.2"/>
    <row r="16942" s="166" customFormat="1" x14ac:dyDescent="0.2"/>
    <row r="16943" s="166" customFormat="1" x14ac:dyDescent="0.2"/>
    <row r="16944" s="166" customFormat="1" x14ac:dyDescent="0.2"/>
    <row r="16945" s="166" customFormat="1" x14ac:dyDescent="0.2"/>
    <row r="16946" s="166" customFormat="1" x14ac:dyDescent="0.2"/>
    <row r="16947" s="166" customFormat="1" x14ac:dyDescent="0.2"/>
    <row r="16948" s="166" customFormat="1" x14ac:dyDescent="0.2"/>
    <row r="16949" s="166" customFormat="1" x14ac:dyDescent="0.2"/>
    <row r="16950" s="166" customFormat="1" x14ac:dyDescent="0.2"/>
    <row r="16951" s="166" customFormat="1" x14ac:dyDescent="0.2"/>
    <row r="16952" s="166" customFormat="1" x14ac:dyDescent="0.2"/>
    <row r="16953" s="166" customFormat="1" x14ac:dyDescent="0.2"/>
    <row r="16954" s="166" customFormat="1" x14ac:dyDescent="0.2"/>
    <row r="16955" s="166" customFormat="1" x14ac:dyDescent="0.2"/>
    <row r="16956" s="166" customFormat="1" x14ac:dyDescent="0.2"/>
    <row r="16957" s="166" customFormat="1" x14ac:dyDescent="0.2"/>
    <row r="16958" s="166" customFormat="1" x14ac:dyDescent="0.2"/>
    <row r="16959" s="166" customFormat="1" x14ac:dyDescent="0.2"/>
    <row r="16960" s="166" customFormat="1" x14ac:dyDescent="0.2"/>
    <row r="16961" s="166" customFormat="1" x14ac:dyDescent="0.2"/>
    <row r="16962" s="166" customFormat="1" x14ac:dyDescent="0.2"/>
    <row r="16963" s="166" customFormat="1" x14ac:dyDescent="0.2"/>
    <row r="16964" s="166" customFormat="1" x14ac:dyDescent="0.2"/>
    <row r="16965" s="166" customFormat="1" x14ac:dyDescent="0.2"/>
    <row r="16966" s="166" customFormat="1" x14ac:dyDescent="0.2"/>
    <row r="16967" s="166" customFormat="1" x14ac:dyDescent="0.2"/>
    <row r="16968" s="166" customFormat="1" x14ac:dyDescent="0.2"/>
    <row r="16969" s="166" customFormat="1" x14ac:dyDescent="0.2"/>
    <row r="16970" s="166" customFormat="1" x14ac:dyDescent="0.2"/>
    <row r="16971" s="166" customFormat="1" x14ac:dyDescent="0.2"/>
    <row r="16972" s="166" customFormat="1" x14ac:dyDescent="0.2"/>
    <row r="16973" s="166" customFormat="1" x14ac:dyDescent="0.2"/>
    <row r="16974" s="166" customFormat="1" x14ac:dyDescent="0.2"/>
    <row r="16975" s="166" customFormat="1" x14ac:dyDescent="0.2"/>
    <row r="16976" s="166" customFormat="1" x14ac:dyDescent="0.2"/>
    <row r="16977" s="166" customFormat="1" x14ac:dyDescent="0.2"/>
    <row r="16978" s="166" customFormat="1" x14ac:dyDescent="0.2"/>
    <row r="16979" s="166" customFormat="1" x14ac:dyDescent="0.2"/>
    <row r="16980" s="166" customFormat="1" x14ac:dyDescent="0.2"/>
    <row r="16981" s="166" customFormat="1" x14ac:dyDescent="0.2"/>
    <row r="16982" s="166" customFormat="1" x14ac:dyDescent="0.2"/>
    <row r="16983" s="166" customFormat="1" x14ac:dyDescent="0.2"/>
    <row r="16984" s="166" customFormat="1" x14ac:dyDescent="0.2"/>
    <row r="16985" s="166" customFormat="1" x14ac:dyDescent="0.2"/>
    <row r="16986" s="166" customFormat="1" x14ac:dyDescent="0.2"/>
    <row r="16987" s="166" customFormat="1" x14ac:dyDescent="0.2"/>
    <row r="16988" s="166" customFormat="1" x14ac:dyDescent="0.2"/>
    <row r="16989" s="166" customFormat="1" x14ac:dyDescent="0.2"/>
    <row r="16990" s="166" customFormat="1" x14ac:dyDescent="0.2"/>
    <row r="16991" s="166" customFormat="1" x14ac:dyDescent="0.2"/>
    <row r="16992" s="166" customFormat="1" x14ac:dyDescent="0.2"/>
    <row r="16993" s="166" customFormat="1" x14ac:dyDescent="0.2"/>
    <row r="16994" s="166" customFormat="1" x14ac:dyDescent="0.2"/>
    <row r="16995" s="166" customFormat="1" x14ac:dyDescent="0.2"/>
    <row r="16996" s="166" customFormat="1" x14ac:dyDescent="0.2"/>
    <row r="16997" s="166" customFormat="1" x14ac:dyDescent="0.2"/>
    <row r="16998" s="166" customFormat="1" x14ac:dyDescent="0.2"/>
    <row r="16999" s="166" customFormat="1" x14ac:dyDescent="0.2"/>
    <row r="17000" s="166" customFormat="1" x14ac:dyDescent="0.2"/>
    <row r="17001" s="166" customFormat="1" x14ac:dyDescent="0.2"/>
    <row r="17002" s="166" customFormat="1" x14ac:dyDescent="0.2"/>
    <row r="17003" s="166" customFormat="1" x14ac:dyDescent="0.2"/>
    <row r="17004" s="166" customFormat="1" x14ac:dyDescent="0.2"/>
    <row r="17005" s="166" customFormat="1" x14ac:dyDescent="0.2"/>
    <row r="17006" s="166" customFormat="1" x14ac:dyDescent="0.2"/>
    <row r="17007" s="166" customFormat="1" x14ac:dyDescent="0.2"/>
    <row r="17008" s="166" customFormat="1" x14ac:dyDescent="0.2"/>
    <row r="17009" s="166" customFormat="1" x14ac:dyDescent="0.2"/>
    <row r="17010" s="166" customFormat="1" x14ac:dyDescent="0.2"/>
    <row r="17011" s="166" customFormat="1" x14ac:dyDescent="0.2"/>
    <row r="17012" s="166" customFormat="1" x14ac:dyDescent="0.2"/>
    <row r="17013" s="166" customFormat="1" x14ac:dyDescent="0.2"/>
    <row r="17014" s="166" customFormat="1" x14ac:dyDescent="0.2"/>
    <row r="17015" s="166" customFormat="1" x14ac:dyDescent="0.2"/>
    <row r="17016" s="166" customFormat="1" x14ac:dyDescent="0.2"/>
    <row r="17017" s="166" customFormat="1" x14ac:dyDescent="0.2"/>
    <row r="17018" s="166" customFormat="1" x14ac:dyDescent="0.2"/>
    <row r="17019" s="166" customFormat="1" x14ac:dyDescent="0.2"/>
    <row r="17020" s="166" customFormat="1" x14ac:dyDescent="0.2"/>
    <row r="17021" s="166" customFormat="1" x14ac:dyDescent="0.2"/>
    <row r="17022" s="166" customFormat="1" x14ac:dyDescent="0.2"/>
    <row r="17023" s="166" customFormat="1" x14ac:dyDescent="0.2"/>
    <row r="17024" s="166" customFormat="1" x14ac:dyDescent="0.2"/>
    <row r="17025" s="166" customFormat="1" x14ac:dyDescent="0.2"/>
    <row r="17026" s="166" customFormat="1" x14ac:dyDescent="0.2"/>
    <row r="17027" s="166" customFormat="1" x14ac:dyDescent="0.2"/>
    <row r="17028" s="166" customFormat="1" x14ac:dyDescent="0.2"/>
    <row r="17029" s="166" customFormat="1" x14ac:dyDescent="0.2"/>
    <row r="17030" s="166" customFormat="1" x14ac:dyDescent="0.2"/>
    <row r="17031" s="166" customFormat="1" x14ac:dyDescent="0.2"/>
    <row r="17032" s="166" customFormat="1" x14ac:dyDescent="0.2"/>
    <row r="17033" s="166" customFormat="1" x14ac:dyDescent="0.2"/>
    <row r="17034" s="166" customFormat="1" x14ac:dyDescent="0.2"/>
    <row r="17035" s="166" customFormat="1" x14ac:dyDescent="0.2"/>
    <row r="17036" s="166" customFormat="1" x14ac:dyDescent="0.2"/>
    <row r="17037" s="166" customFormat="1" x14ac:dyDescent="0.2"/>
    <row r="17038" s="166" customFormat="1" x14ac:dyDescent="0.2"/>
    <row r="17039" s="166" customFormat="1" x14ac:dyDescent="0.2"/>
    <row r="17040" s="166" customFormat="1" x14ac:dyDescent="0.2"/>
    <row r="17041" s="166" customFormat="1" x14ac:dyDescent="0.2"/>
    <row r="17042" s="166" customFormat="1" x14ac:dyDescent="0.2"/>
    <row r="17043" s="166" customFormat="1" x14ac:dyDescent="0.2"/>
    <row r="17044" s="166" customFormat="1" x14ac:dyDescent="0.2"/>
    <row r="17045" s="166" customFormat="1" x14ac:dyDescent="0.2"/>
    <row r="17046" s="166" customFormat="1" x14ac:dyDescent="0.2"/>
    <row r="17047" s="166" customFormat="1" x14ac:dyDescent="0.2"/>
    <row r="17048" s="166" customFormat="1" x14ac:dyDescent="0.2"/>
    <row r="17049" s="166" customFormat="1" x14ac:dyDescent="0.2"/>
    <row r="17050" s="166" customFormat="1" x14ac:dyDescent="0.2"/>
    <row r="17051" s="166" customFormat="1" x14ac:dyDescent="0.2"/>
    <row r="17052" s="166" customFormat="1" x14ac:dyDescent="0.2"/>
    <row r="17053" s="166" customFormat="1" x14ac:dyDescent="0.2"/>
    <row r="17054" s="166" customFormat="1" x14ac:dyDescent="0.2"/>
    <row r="17055" s="166" customFormat="1" x14ac:dyDescent="0.2"/>
    <row r="17056" s="166" customFormat="1" x14ac:dyDescent="0.2"/>
    <row r="17057" s="166" customFormat="1" x14ac:dyDescent="0.2"/>
    <row r="17058" s="166" customFormat="1" x14ac:dyDescent="0.2"/>
    <row r="17059" s="166" customFormat="1" x14ac:dyDescent="0.2"/>
    <row r="17060" s="166" customFormat="1" x14ac:dyDescent="0.2"/>
    <row r="17061" s="166" customFormat="1" x14ac:dyDescent="0.2"/>
    <row r="17062" s="166" customFormat="1" x14ac:dyDescent="0.2"/>
    <row r="17063" s="166" customFormat="1" x14ac:dyDescent="0.2"/>
    <row r="17064" s="166" customFormat="1" x14ac:dyDescent="0.2"/>
    <row r="17065" s="166" customFormat="1" x14ac:dyDescent="0.2"/>
    <row r="17066" s="166" customFormat="1" x14ac:dyDescent="0.2"/>
    <row r="17067" s="166" customFormat="1" x14ac:dyDescent="0.2"/>
    <row r="17068" s="166" customFormat="1" x14ac:dyDescent="0.2"/>
    <row r="17069" s="166" customFormat="1" x14ac:dyDescent="0.2"/>
    <row r="17070" s="166" customFormat="1" x14ac:dyDescent="0.2"/>
    <row r="17071" s="166" customFormat="1" x14ac:dyDescent="0.2"/>
    <row r="17072" s="166" customFormat="1" x14ac:dyDescent="0.2"/>
    <row r="17073" s="166" customFormat="1" x14ac:dyDescent="0.2"/>
    <row r="17074" s="166" customFormat="1" x14ac:dyDescent="0.2"/>
    <row r="17075" s="166" customFormat="1" x14ac:dyDescent="0.2"/>
    <row r="17076" s="166" customFormat="1" x14ac:dyDescent="0.2"/>
    <row r="17077" s="166" customFormat="1" x14ac:dyDescent="0.2"/>
    <row r="17078" s="166" customFormat="1" x14ac:dyDescent="0.2"/>
    <row r="17079" s="166" customFormat="1" x14ac:dyDescent="0.2"/>
    <row r="17080" s="166" customFormat="1" x14ac:dyDescent="0.2"/>
    <row r="17081" s="166" customFormat="1" x14ac:dyDescent="0.2"/>
    <row r="17082" s="166" customFormat="1" x14ac:dyDescent="0.2"/>
    <row r="17083" s="166" customFormat="1" x14ac:dyDescent="0.2"/>
    <row r="17084" s="166" customFormat="1" x14ac:dyDescent="0.2"/>
    <row r="17085" s="166" customFormat="1" x14ac:dyDescent="0.2"/>
    <row r="17086" s="166" customFormat="1" x14ac:dyDescent="0.2"/>
    <row r="17087" s="166" customFormat="1" x14ac:dyDescent="0.2"/>
    <row r="17088" s="166" customFormat="1" x14ac:dyDescent="0.2"/>
    <row r="17089" s="166" customFormat="1" x14ac:dyDescent="0.2"/>
    <row r="17090" s="166" customFormat="1" x14ac:dyDescent="0.2"/>
    <row r="17091" s="166" customFormat="1" x14ac:dyDescent="0.2"/>
    <row r="17092" s="166" customFormat="1" x14ac:dyDescent="0.2"/>
    <row r="17093" s="166" customFormat="1" x14ac:dyDescent="0.2"/>
    <row r="17094" s="166" customFormat="1" x14ac:dyDescent="0.2"/>
    <row r="17095" s="166" customFormat="1" x14ac:dyDescent="0.2"/>
    <row r="17096" s="166" customFormat="1" x14ac:dyDescent="0.2"/>
    <row r="17097" s="166" customFormat="1" x14ac:dyDescent="0.2"/>
    <row r="17098" s="166" customFormat="1" x14ac:dyDescent="0.2"/>
    <row r="17099" s="166" customFormat="1" x14ac:dyDescent="0.2"/>
    <row r="17100" s="166" customFormat="1" x14ac:dyDescent="0.2"/>
    <row r="17101" s="166" customFormat="1" x14ac:dyDescent="0.2"/>
    <row r="17102" s="166" customFormat="1" x14ac:dyDescent="0.2"/>
    <row r="17103" s="166" customFormat="1" x14ac:dyDescent="0.2"/>
    <row r="17104" s="166" customFormat="1" x14ac:dyDescent="0.2"/>
    <row r="17105" s="166" customFormat="1" x14ac:dyDescent="0.2"/>
    <row r="17106" s="166" customFormat="1" x14ac:dyDescent="0.2"/>
    <row r="17107" s="166" customFormat="1" x14ac:dyDescent="0.2"/>
    <row r="17108" s="166" customFormat="1" x14ac:dyDescent="0.2"/>
    <row r="17109" s="166" customFormat="1" x14ac:dyDescent="0.2"/>
    <row r="17110" s="166" customFormat="1" x14ac:dyDescent="0.2"/>
    <row r="17111" s="166" customFormat="1" x14ac:dyDescent="0.2"/>
    <row r="17112" s="166" customFormat="1" x14ac:dyDescent="0.2"/>
    <row r="17113" s="166" customFormat="1" x14ac:dyDescent="0.2"/>
    <row r="17114" s="166" customFormat="1" x14ac:dyDescent="0.2"/>
    <row r="17115" s="166" customFormat="1" x14ac:dyDescent="0.2"/>
    <row r="17116" s="166" customFormat="1" x14ac:dyDescent="0.2"/>
    <row r="17117" s="166" customFormat="1" x14ac:dyDescent="0.2"/>
    <row r="17118" s="166" customFormat="1" x14ac:dyDescent="0.2"/>
    <row r="17119" s="166" customFormat="1" x14ac:dyDescent="0.2"/>
    <row r="17120" s="166" customFormat="1" x14ac:dyDescent="0.2"/>
    <row r="17121" s="166" customFormat="1" x14ac:dyDescent="0.2"/>
    <row r="17122" s="166" customFormat="1" x14ac:dyDescent="0.2"/>
    <row r="17123" s="166" customFormat="1" x14ac:dyDescent="0.2"/>
    <row r="17124" s="166" customFormat="1" x14ac:dyDescent="0.2"/>
    <row r="17125" s="166" customFormat="1" x14ac:dyDescent="0.2"/>
    <row r="17126" s="166" customFormat="1" x14ac:dyDescent="0.2"/>
    <row r="17127" s="166" customFormat="1" x14ac:dyDescent="0.2"/>
    <row r="17128" s="166" customFormat="1" x14ac:dyDescent="0.2"/>
    <row r="17129" s="166" customFormat="1" x14ac:dyDescent="0.2"/>
    <row r="17130" s="166" customFormat="1" x14ac:dyDescent="0.2"/>
    <row r="17131" s="166" customFormat="1" x14ac:dyDescent="0.2"/>
    <row r="17132" s="166" customFormat="1" x14ac:dyDescent="0.2"/>
    <row r="17133" s="166" customFormat="1" x14ac:dyDescent="0.2"/>
    <row r="17134" s="166" customFormat="1" x14ac:dyDescent="0.2"/>
    <row r="17135" s="166" customFormat="1" x14ac:dyDescent="0.2"/>
    <row r="17136" s="166" customFormat="1" x14ac:dyDescent="0.2"/>
    <row r="17137" s="166" customFormat="1" x14ac:dyDescent="0.2"/>
    <row r="17138" s="166" customFormat="1" x14ac:dyDescent="0.2"/>
    <row r="17139" s="166" customFormat="1" x14ac:dyDescent="0.2"/>
    <row r="17140" s="166" customFormat="1" x14ac:dyDescent="0.2"/>
    <row r="17141" s="166" customFormat="1" x14ac:dyDescent="0.2"/>
    <row r="17142" s="166" customFormat="1" x14ac:dyDescent="0.2"/>
    <row r="17143" s="166" customFormat="1" x14ac:dyDescent="0.2"/>
    <row r="17144" s="166" customFormat="1" x14ac:dyDescent="0.2"/>
    <row r="17145" s="166" customFormat="1" x14ac:dyDescent="0.2"/>
    <row r="17146" s="166" customFormat="1" x14ac:dyDescent="0.2"/>
    <row r="17147" s="166" customFormat="1" x14ac:dyDescent="0.2"/>
    <row r="17148" s="166" customFormat="1" x14ac:dyDescent="0.2"/>
    <row r="17149" s="166" customFormat="1" x14ac:dyDescent="0.2"/>
    <row r="17150" s="166" customFormat="1" x14ac:dyDescent="0.2"/>
    <row r="17151" s="166" customFormat="1" x14ac:dyDescent="0.2"/>
    <row r="17152" s="166" customFormat="1" x14ac:dyDescent="0.2"/>
    <row r="17153" s="166" customFormat="1" x14ac:dyDescent="0.2"/>
    <row r="17154" s="166" customFormat="1" x14ac:dyDescent="0.2"/>
    <row r="17155" s="166" customFormat="1" x14ac:dyDescent="0.2"/>
    <row r="17156" s="166" customFormat="1" x14ac:dyDescent="0.2"/>
    <row r="17157" s="166" customFormat="1" x14ac:dyDescent="0.2"/>
    <row r="17158" s="166" customFormat="1" x14ac:dyDescent="0.2"/>
    <row r="17159" s="166" customFormat="1" x14ac:dyDescent="0.2"/>
    <row r="17160" s="166" customFormat="1" x14ac:dyDescent="0.2"/>
    <row r="17161" s="166" customFormat="1" x14ac:dyDescent="0.2"/>
    <row r="17162" s="166" customFormat="1" x14ac:dyDescent="0.2"/>
    <row r="17163" s="166" customFormat="1" x14ac:dyDescent="0.2"/>
    <row r="17164" s="166" customFormat="1" x14ac:dyDescent="0.2"/>
    <row r="17165" s="166" customFormat="1" x14ac:dyDescent="0.2"/>
    <row r="17166" s="166" customFormat="1" x14ac:dyDescent="0.2"/>
    <row r="17167" s="166" customFormat="1" x14ac:dyDescent="0.2"/>
    <row r="17168" s="166" customFormat="1" x14ac:dyDescent="0.2"/>
    <row r="17169" s="166" customFormat="1" x14ac:dyDescent="0.2"/>
    <row r="17170" s="166" customFormat="1" x14ac:dyDescent="0.2"/>
    <row r="17171" s="166" customFormat="1" x14ac:dyDescent="0.2"/>
    <row r="17172" s="166" customFormat="1" x14ac:dyDescent="0.2"/>
    <row r="17173" s="166" customFormat="1" x14ac:dyDescent="0.2"/>
    <row r="17174" s="166" customFormat="1" x14ac:dyDescent="0.2"/>
    <row r="17175" s="166" customFormat="1" x14ac:dyDescent="0.2"/>
    <row r="17176" s="166" customFormat="1" x14ac:dyDescent="0.2"/>
    <row r="17177" s="166" customFormat="1" x14ac:dyDescent="0.2"/>
    <row r="17178" s="166" customFormat="1" x14ac:dyDescent="0.2"/>
    <row r="17179" s="166" customFormat="1" x14ac:dyDescent="0.2"/>
    <row r="17180" s="166" customFormat="1" x14ac:dyDescent="0.2"/>
    <row r="17181" s="166" customFormat="1" x14ac:dyDescent="0.2"/>
    <row r="17182" s="166" customFormat="1" x14ac:dyDescent="0.2"/>
    <row r="17183" s="166" customFormat="1" x14ac:dyDescent="0.2"/>
    <row r="17184" s="166" customFormat="1" x14ac:dyDescent="0.2"/>
    <row r="17185" s="166" customFormat="1" x14ac:dyDescent="0.2"/>
    <row r="17186" s="166" customFormat="1" x14ac:dyDescent="0.2"/>
    <row r="17187" s="166" customFormat="1" x14ac:dyDescent="0.2"/>
    <row r="17188" s="166" customFormat="1" x14ac:dyDescent="0.2"/>
    <row r="17189" s="166" customFormat="1" x14ac:dyDescent="0.2"/>
    <row r="17190" s="166" customFormat="1" x14ac:dyDescent="0.2"/>
    <row r="17191" s="166" customFormat="1" x14ac:dyDescent="0.2"/>
    <row r="17192" s="166" customFormat="1" x14ac:dyDescent="0.2"/>
    <row r="17193" s="166" customFormat="1" x14ac:dyDescent="0.2"/>
    <row r="17194" s="166" customFormat="1" x14ac:dyDescent="0.2"/>
    <row r="17195" s="166" customFormat="1" x14ac:dyDescent="0.2"/>
    <row r="17196" s="166" customFormat="1" x14ac:dyDescent="0.2"/>
    <row r="17197" s="166" customFormat="1" x14ac:dyDescent="0.2"/>
    <row r="17198" s="166" customFormat="1" x14ac:dyDescent="0.2"/>
    <row r="17199" s="166" customFormat="1" x14ac:dyDescent="0.2"/>
    <row r="17200" s="166" customFormat="1" x14ac:dyDescent="0.2"/>
    <row r="17201" s="166" customFormat="1" x14ac:dyDescent="0.2"/>
    <row r="17202" s="166" customFormat="1" x14ac:dyDescent="0.2"/>
    <row r="17203" s="166" customFormat="1" x14ac:dyDescent="0.2"/>
    <row r="17204" s="166" customFormat="1" x14ac:dyDescent="0.2"/>
    <row r="17205" s="166" customFormat="1" x14ac:dyDescent="0.2"/>
    <row r="17206" s="166" customFormat="1" x14ac:dyDescent="0.2"/>
    <row r="17207" s="166" customFormat="1" x14ac:dyDescent="0.2"/>
    <row r="17208" s="166" customFormat="1" x14ac:dyDescent="0.2"/>
    <row r="17209" s="166" customFormat="1" x14ac:dyDescent="0.2"/>
    <row r="17210" s="166" customFormat="1" x14ac:dyDescent="0.2"/>
    <row r="17211" s="166" customFormat="1" x14ac:dyDescent="0.2"/>
    <row r="17212" s="166" customFormat="1" x14ac:dyDescent="0.2"/>
    <row r="17213" s="166" customFormat="1" x14ac:dyDescent="0.2"/>
    <row r="17214" s="166" customFormat="1" x14ac:dyDescent="0.2"/>
    <row r="17215" s="166" customFormat="1" x14ac:dyDescent="0.2"/>
    <row r="17216" s="166" customFormat="1" x14ac:dyDescent="0.2"/>
    <row r="17217" s="166" customFormat="1" x14ac:dyDescent="0.2"/>
    <row r="17218" s="166" customFormat="1" x14ac:dyDescent="0.2"/>
    <row r="17219" s="166" customFormat="1" x14ac:dyDescent="0.2"/>
    <row r="17220" s="166" customFormat="1" x14ac:dyDescent="0.2"/>
    <row r="17221" s="166" customFormat="1" x14ac:dyDescent="0.2"/>
    <row r="17222" s="166" customFormat="1" x14ac:dyDescent="0.2"/>
    <row r="17223" s="166" customFormat="1" x14ac:dyDescent="0.2"/>
    <row r="17224" s="166" customFormat="1" x14ac:dyDescent="0.2"/>
    <row r="17225" s="166" customFormat="1" x14ac:dyDescent="0.2"/>
    <row r="17226" s="166" customFormat="1" x14ac:dyDescent="0.2"/>
    <row r="17227" s="166" customFormat="1" x14ac:dyDescent="0.2"/>
    <row r="17228" s="166" customFormat="1" x14ac:dyDescent="0.2"/>
    <row r="17229" s="166" customFormat="1" x14ac:dyDescent="0.2"/>
    <row r="17230" s="166" customFormat="1" x14ac:dyDescent="0.2"/>
    <row r="17231" s="166" customFormat="1" x14ac:dyDescent="0.2"/>
    <row r="17232" s="166" customFormat="1" x14ac:dyDescent="0.2"/>
    <row r="17233" s="166" customFormat="1" x14ac:dyDescent="0.2"/>
    <row r="17234" s="166" customFormat="1" x14ac:dyDescent="0.2"/>
    <row r="17235" s="166" customFormat="1" x14ac:dyDescent="0.2"/>
    <row r="17236" s="166" customFormat="1" x14ac:dyDescent="0.2"/>
    <row r="17237" s="166" customFormat="1" x14ac:dyDescent="0.2"/>
    <row r="17238" s="166" customFormat="1" x14ac:dyDescent="0.2"/>
    <row r="17239" s="166" customFormat="1" x14ac:dyDescent="0.2"/>
    <row r="17240" s="166" customFormat="1" x14ac:dyDescent="0.2"/>
    <row r="17241" s="166" customFormat="1" x14ac:dyDescent="0.2"/>
    <row r="17242" s="166" customFormat="1" x14ac:dyDescent="0.2"/>
    <row r="17243" s="166" customFormat="1" x14ac:dyDescent="0.2"/>
    <row r="17244" s="166" customFormat="1" x14ac:dyDescent="0.2"/>
    <row r="17245" s="166" customFormat="1" x14ac:dyDescent="0.2"/>
    <row r="17246" s="166" customFormat="1" x14ac:dyDescent="0.2"/>
    <row r="17247" s="166" customFormat="1" x14ac:dyDescent="0.2"/>
    <row r="17248" s="166" customFormat="1" x14ac:dyDescent="0.2"/>
    <row r="17249" s="166" customFormat="1" x14ac:dyDescent="0.2"/>
    <row r="17250" s="166" customFormat="1" x14ac:dyDescent="0.2"/>
    <row r="17251" s="166" customFormat="1" x14ac:dyDescent="0.2"/>
    <row r="17252" s="166" customFormat="1" x14ac:dyDescent="0.2"/>
    <row r="17253" s="166" customFormat="1" x14ac:dyDescent="0.2"/>
    <row r="17254" s="166" customFormat="1" x14ac:dyDescent="0.2"/>
    <row r="17255" s="166" customFormat="1" x14ac:dyDescent="0.2"/>
    <row r="17256" s="166" customFormat="1" x14ac:dyDescent="0.2"/>
    <row r="17257" s="166" customFormat="1" x14ac:dyDescent="0.2"/>
    <row r="17258" s="166" customFormat="1" x14ac:dyDescent="0.2"/>
    <row r="17259" s="166" customFormat="1" x14ac:dyDescent="0.2"/>
    <row r="17260" s="166" customFormat="1" x14ac:dyDescent="0.2"/>
    <row r="17261" s="166" customFormat="1" x14ac:dyDescent="0.2"/>
    <row r="17262" s="166" customFormat="1" x14ac:dyDescent="0.2"/>
    <row r="17263" s="166" customFormat="1" x14ac:dyDescent="0.2"/>
    <row r="17264" s="166" customFormat="1" x14ac:dyDescent="0.2"/>
    <row r="17265" s="166" customFormat="1" x14ac:dyDescent="0.2"/>
    <row r="17266" s="166" customFormat="1" x14ac:dyDescent="0.2"/>
    <row r="17267" s="166" customFormat="1" x14ac:dyDescent="0.2"/>
    <row r="17268" s="166" customFormat="1" x14ac:dyDescent="0.2"/>
    <row r="17269" s="166" customFormat="1" x14ac:dyDescent="0.2"/>
    <row r="17270" s="166" customFormat="1" x14ac:dyDescent="0.2"/>
    <row r="17271" s="166" customFormat="1" x14ac:dyDescent="0.2"/>
    <row r="17272" s="166" customFormat="1" x14ac:dyDescent="0.2"/>
    <row r="17273" s="166" customFormat="1" x14ac:dyDescent="0.2"/>
    <row r="17274" s="166" customFormat="1" x14ac:dyDescent="0.2"/>
    <row r="17275" s="166" customFormat="1" x14ac:dyDescent="0.2"/>
    <row r="17276" s="166" customFormat="1" x14ac:dyDescent="0.2"/>
    <row r="17277" s="166" customFormat="1" x14ac:dyDescent="0.2"/>
    <row r="17278" s="166" customFormat="1" x14ac:dyDescent="0.2"/>
    <row r="17279" s="166" customFormat="1" x14ac:dyDescent="0.2"/>
    <row r="17280" s="166" customFormat="1" x14ac:dyDescent="0.2"/>
    <row r="17281" s="166" customFormat="1" x14ac:dyDescent="0.2"/>
    <row r="17282" s="166" customFormat="1" x14ac:dyDescent="0.2"/>
    <row r="17283" s="166" customFormat="1" x14ac:dyDescent="0.2"/>
    <row r="17284" s="166" customFormat="1" x14ac:dyDescent="0.2"/>
    <row r="17285" s="166" customFormat="1" x14ac:dyDescent="0.2"/>
    <row r="17286" s="166" customFormat="1" x14ac:dyDescent="0.2"/>
    <row r="17287" s="166" customFormat="1" x14ac:dyDescent="0.2"/>
    <row r="17288" s="166" customFormat="1" x14ac:dyDescent="0.2"/>
    <row r="17289" s="166" customFormat="1" x14ac:dyDescent="0.2"/>
    <row r="17290" s="166" customFormat="1" x14ac:dyDescent="0.2"/>
    <row r="17291" s="166" customFormat="1" x14ac:dyDescent="0.2"/>
    <row r="17292" s="166" customFormat="1" x14ac:dyDescent="0.2"/>
    <row r="17293" s="166" customFormat="1" x14ac:dyDescent="0.2"/>
    <row r="17294" s="166" customFormat="1" x14ac:dyDescent="0.2"/>
    <row r="17295" s="166" customFormat="1" x14ac:dyDescent="0.2"/>
    <row r="17296" s="166" customFormat="1" x14ac:dyDescent="0.2"/>
    <row r="17297" s="166" customFormat="1" x14ac:dyDescent="0.2"/>
    <row r="17298" s="166" customFormat="1" x14ac:dyDescent="0.2"/>
    <row r="17299" s="166" customFormat="1" x14ac:dyDescent="0.2"/>
    <row r="17300" s="166" customFormat="1" x14ac:dyDescent="0.2"/>
    <row r="17301" s="166" customFormat="1" x14ac:dyDescent="0.2"/>
    <row r="17302" s="166" customFormat="1" x14ac:dyDescent="0.2"/>
    <row r="17303" s="166" customFormat="1" x14ac:dyDescent="0.2"/>
    <row r="17304" s="166" customFormat="1" x14ac:dyDescent="0.2"/>
    <row r="17305" s="166" customFormat="1" x14ac:dyDescent="0.2"/>
    <row r="17306" s="166" customFormat="1" x14ac:dyDescent="0.2"/>
    <row r="17307" s="166" customFormat="1" x14ac:dyDescent="0.2"/>
    <row r="17308" s="166" customFormat="1" x14ac:dyDescent="0.2"/>
    <row r="17309" s="166" customFormat="1" x14ac:dyDescent="0.2"/>
    <row r="17310" s="166" customFormat="1" x14ac:dyDescent="0.2"/>
    <row r="17311" s="166" customFormat="1" x14ac:dyDescent="0.2"/>
    <row r="17312" s="166" customFormat="1" x14ac:dyDescent="0.2"/>
    <row r="17313" s="166" customFormat="1" x14ac:dyDescent="0.2"/>
    <row r="17314" s="166" customFormat="1" x14ac:dyDescent="0.2"/>
    <row r="17315" s="166" customFormat="1" x14ac:dyDescent="0.2"/>
    <row r="17316" s="166" customFormat="1" x14ac:dyDescent="0.2"/>
    <row r="17317" s="166" customFormat="1" x14ac:dyDescent="0.2"/>
    <row r="17318" s="166" customFormat="1" x14ac:dyDescent="0.2"/>
    <row r="17319" s="166" customFormat="1" x14ac:dyDescent="0.2"/>
    <row r="17320" s="166" customFormat="1" x14ac:dyDescent="0.2"/>
    <row r="17321" s="166" customFormat="1" x14ac:dyDescent="0.2"/>
    <row r="17322" s="166" customFormat="1" x14ac:dyDescent="0.2"/>
    <row r="17323" s="166" customFormat="1" x14ac:dyDescent="0.2"/>
    <row r="17324" s="166" customFormat="1" x14ac:dyDescent="0.2"/>
    <row r="17325" s="166" customFormat="1" x14ac:dyDescent="0.2"/>
    <row r="17326" s="166" customFormat="1" x14ac:dyDescent="0.2"/>
    <row r="17327" s="166" customFormat="1" x14ac:dyDescent="0.2"/>
    <row r="17328" s="166" customFormat="1" x14ac:dyDescent="0.2"/>
    <row r="17329" s="166" customFormat="1" x14ac:dyDescent="0.2"/>
    <row r="17330" s="166" customFormat="1" x14ac:dyDescent="0.2"/>
    <row r="17331" s="166" customFormat="1" x14ac:dyDescent="0.2"/>
    <row r="17332" s="166" customFormat="1" x14ac:dyDescent="0.2"/>
    <row r="17333" s="166" customFormat="1" x14ac:dyDescent="0.2"/>
    <row r="17334" s="166" customFormat="1" x14ac:dyDescent="0.2"/>
    <row r="17335" s="166" customFormat="1" x14ac:dyDescent="0.2"/>
    <row r="17336" s="166" customFormat="1" x14ac:dyDescent="0.2"/>
    <row r="17337" s="166" customFormat="1" x14ac:dyDescent="0.2"/>
    <row r="17338" s="166" customFormat="1" x14ac:dyDescent="0.2"/>
    <row r="17339" s="166" customFormat="1" x14ac:dyDescent="0.2"/>
    <row r="17340" s="166" customFormat="1" x14ac:dyDescent="0.2"/>
    <row r="17341" s="166" customFormat="1" x14ac:dyDescent="0.2"/>
    <row r="17342" s="166" customFormat="1" x14ac:dyDescent="0.2"/>
    <row r="17343" s="166" customFormat="1" x14ac:dyDescent="0.2"/>
    <row r="17344" s="166" customFormat="1" x14ac:dyDescent="0.2"/>
    <row r="17345" s="166" customFormat="1" x14ac:dyDescent="0.2"/>
    <row r="17346" s="166" customFormat="1" x14ac:dyDescent="0.2"/>
    <row r="17347" s="166" customFormat="1" x14ac:dyDescent="0.2"/>
    <row r="17348" s="166" customFormat="1" x14ac:dyDescent="0.2"/>
    <row r="17349" s="166" customFormat="1" x14ac:dyDescent="0.2"/>
    <row r="17350" s="166" customFormat="1" x14ac:dyDescent="0.2"/>
    <row r="17351" s="166" customFormat="1" x14ac:dyDescent="0.2"/>
    <row r="17352" s="166" customFormat="1" x14ac:dyDescent="0.2"/>
    <row r="17353" s="166" customFormat="1" x14ac:dyDescent="0.2"/>
    <row r="17354" s="166" customFormat="1" x14ac:dyDescent="0.2"/>
    <row r="17355" s="166" customFormat="1" x14ac:dyDescent="0.2"/>
    <row r="17356" s="166" customFormat="1" x14ac:dyDescent="0.2"/>
    <row r="17357" s="166" customFormat="1" x14ac:dyDescent="0.2"/>
    <row r="17358" s="166" customFormat="1" x14ac:dyDescent="0.2"/>
    <row r="17359" s="166" customFormat="1" x14ac:dyDescent="0.2"/>
    <row r="17360" s="166" customFormat="1" x14ac:dyDescent="0.2"/>
    <row r="17361" s="166" customFormat="1" x14ac:dyDescent="0.2"/>
    <row r="17362" s="166" customFormat="1" x14ac:dyDescent="0.2"/>
    <row r="17363" s="166" customFormat="1" x14ac:dyDescent="0.2"/>
    <row r="17364" s="166" customFormat="1" x14ac:dyDescent="0.2"/>
    <row r="17365" s="166" customFormat="1" x14ac:dyDescent="0.2"/>
    <row r="17366" s="166" customFormat="1" x14ac:dyDescent="0.2"/>
    <row r="17367" s="166" customFormat="1" x14ac:dyDescent="0.2"/>
    <row r="17368" s="166" customFormat="1" x14ac:dyDescent="0.2"/>
    <row r="17369" s="166" customFormat="1" x14ac:dyDescent="0.2"/>
    <row r="17370" s="166" customFormat="1" x14ac:dyDescent="0.2"/>
    <row r="17371" s="166" customFormat="1" x14ac:dyDescent="0.2"/>
    <row r="17372" s="166" customFormat="1" x14ac:dyDescent="0.2"/>
    <row r="17373" s="166" customFormat="1" x14ac:dyDescent="0.2"/>
    <row r="17374" s="166" customFormat="1" x14ac:dyDescent="0.2"/>
    <row r="17375" s="166" customFormat="1" x14ac:dyDescent="0.2"/>
    <row r="17376" s="166" customFormat="1" x14ac:dyDescent="0.2"/>
    <row r="17377" s="166" customFormat="1" x14ac:dyDescent="0.2"/>
    <row r="17378" s="166" customFormat="1" x14ac:dyDescent="0.2"/>
    <row r="17379" s="166" customFormat="1" x14ac:dyDescent="0.2"/>
    <row r="17380" s="166" customFormat="1" x14ac:dyDescent="0.2"/>
    <row r="17381" s="166" customFormat="1" x14ac:dyDescent="0.2"/>
    <row r="17382" s="166" customFormat="1" x14ac:dyDescent="0.2"/>
    <row r="17383" s="166" customFormat="1" x14ac:dyDescent="0.2"/>
    <row r="17384" s="166" customFormat="1" x14ac:dyDescent="0.2"/>
    <row r="17385" s="166" customFormat="1" x14ac:dyDescent="0.2"/>
    <row r="17386" s="166" customFormat="1" x14ac:dyDescent="0.2"/>
    <row r="17387" s="166" customFormat="1" x14ac:dyDescent="0.2"/>
    <row r="17388" s="166" customFormat="1" x14ac:dyDescent="0.2"/>
    <row r="17389" s="166" customFormat="1" x14ac:dyDescent="0.2"/>
    <row r="17390" s="166" customFormat="1" x14ac:dyDescent="0.2"/>
    <row r="17391" s="166" customFormat="1" x14ac:dyDescent="0.2"/>
    <row r="17392" s="166" customFormat="1" x14ac:dyDescent="0.2"/>
    <row r="17393" s="166" customFormat="1" x14ac:dyDescent="0.2"/>
    <row r="17394" s="166" customFormat="1" x14ac:dyDescent="0.2"/>
    <row r="17395" s="166" customFormat="1" x14ac:dyDescent="0.2"/>
    <row r="17396" s="166" customFormat="1" x14ac:dyDescent="0.2"/>
    <row r="17397" s="166" customFormat="1" x14ac:dyDescent="0.2"/>
    <row r="17398" s="166" customFormat="1" x14ac:dyDescent="0.2"/>
    <row r="17399" s="166" customFormat="1" x14ac:dyDescent="0.2"/>
    <row r="17400" s="166" customFormat="1" x14ac:dyDescent="0.2"/>
    <row r="17401" s="166" customFormat="1" x14ac:dyDescent="0.2"/>
    <row r="17402" s="166" customFormat="1" x14ac:dyDescent="0.2"/>
    <row r="17403" s="166" customFormat="1" x14ac:dyDescent="0.2"/>
    <row r="17404" s="166" customFormat="1" x14ac:dyDescent="0.2"/>
    <row r="17405" s="166" customFormat="1" x14ac:dyDescent="0.2"/>
    <row r="17406" s="166" customFormat="1" x14ac:dyDescent="0.2"/>
    <row r="17407" s="166" customFormat="1" x14ac:dyDescent="0.2"/>
    <row r="17408" s="166" customFormat="1" x14ac:dyDescent="0.2"/>
    <row r="17409" s="166" customFormat="1" x14ac:dyDescent="0.2"/>
    <row r="17410" s="166" customFormat="1" x14ac:dyDescent="0.2"/>
    <row r="17411" s="166" customFormat="1" x14ac:dyDescent="0.2"/>
    <row r="17412" s="166" customFormat="1" x14ac:dyDescent="0.2"/>
    <row r="17413" s="166" customFormat="1" x14ac:dyDescent="0.2"/>
    <row r="17414" s="166" customFormat="1" x14ac:dyDescent="0.2"/>
    <row r="17415" s="166" customFormat="1" x14ac:dyDescent="0.2"/>
    <row r="17416" s="166" customFormat="1" x14ac:dyDescent="0.2"/>
    <row r="17417" s="166" customFormat="1" x14ac:dyDescent="0.2"/>
    <row r="17418" s="166" customFormat="1" x14ac:dyDescent="0.2"/>
    <row r="17419" s="166" customFormat="1" x14ac:dyDescent="0.2"/>
    <row r="17420" s="166" customFormat="1" x14ac:dyDescent="0.2"/>
    <row r="17421" s="166" customFormat="1" x14ac:dyDescent="0.2"/>
    <row r="17422" s="166" customFormat="1" x14ac:dyDescent="0.2"/>
    <row r="17423" s="166" customFormat="1" x14ac:dyDescent="0.2"/>
    <row r="17424" s="166" customFormat="1" x14ac:dyDescent="0.2"/>
    <row r="17425" s="166" customFormat="1" x14ac:dyDescent="0.2"/>
    <row r="17426" s="166" customFormat="1" x14ac:dyDescent="0.2"/>
    <row r="17427" s="166" customFormat="1" x14ac:dyDescent="0.2"/>
    <row r="17428" s="166" customFormat="1" x14ac:dyDescent="0.2"/>
    <row r="17429" s="166" customFormat="1" x14ac:dyDescent="0.2"/>
    <row r="17430" s="166" customFormat="1" x14ac:dyDescent="0.2"/>
    <row r="17431" s="166" customFormat="1" x14ac:dyDescent="0.2"/>
    <row r="17432" s="166" customFormat="1" x14ac:dyDescent="0.2"/>
    <row r="17433" s="166" customFormat="1" x14ac:dyDescent="0.2"/>
    <row r="17434" s="166" customFormat="1" x14ac:dyDescent="0.2"/>
    <row r="17435" s="166" customFormat="1" x14ac:dyDescent="0.2"/>
    <row r="17436" s="166" customFormat="1" x14ac:dyDescent="0.2"/>
    <row r="17437" s="166" customFormat="1" x14ac:dyDescent="0.2"/>
    <row r="17438" s="166" customFormat="1" x14ac:dyDescent="0.2"/>
    <row r="17439" s="166" customFormat="1" x14ac:dyDescent="0.2"/>
    <row r="17440" s="166" customFormat="1" x14ac:dyDescent="0.2"/>
    <row r="17441" s="166" customFormat="1" x14ac:dyDescent="0.2"/>
    <row r="17442" s="166" customFormat="1" x14ac:dyDescent="0.2"/>
    <row r="17443" s="166" customFormat="1" x14ac:dyDescent="0.2"/>
    <row r="17444" s="166" customFormat="1" x14ac:dyDescent="0.2"/>
    <row r="17445" s="166" customFormat="1" x14ac:dyDescent="0.2"/>
    <row r="17446" s="166" customFormat="1" x14ac:dyDescent="0.2"/>
    <row r="17447" s="166" customFormat="1" x14ac:dyDescent="0.2"/>
    <row r="17448" s="166" customFormat="1" x14ac:dyDescent="0.2"/>
    <row r="17449" s="166" customFormat="1" x14ac:dyDescent="0.2"/>
    <row r="17450" s="166" customFormat="1" x14ac:dyDescent="0.2"/>
    <row r="17451" s="166" customFormat="1" x14ac:dyDescent="0.2"/>
    <row r="17452" s="166" customFormat="1" x14ac:dyDescent="0.2"/>
    <row r="17453" s="166" customFormat="1" x14ac:dyDescent="0.2"/>
    <row r="17454" s="166" customFormat="1" x14ac:dyDescent="0.2"/>
    <row r="17455" s="166" customFormat="1" x14ac:dyDescent="0.2"/>
    <row r="17456" s="166" customFormat="1" x14ac:dyDescent="0.2"/>
    <row r="17457" s="166" customFormat="1" x14ac:dyDescent="0.2"/>
    <row r="17458" s="166" customFormat="1" x14ac:dyDescent="0.2"/>
    <row r="17459" s="166" customFormat="1" x14ac:dyDescent="0.2"/>
    <row r="17460" s="166" customFormat="1" x14ac:dyDescent="0.2"/>
    <row r="17461" s="166" customFormat="1" x14ac:dyDescent="0.2"/>
    <row r="17462" s="166" customFormat="1" x14ac:dyDescent="0.2"/>
    <row r="17463" s="166" customFormat="1" x14ac:dyDescent="0.2"/>
    <row r="17464" s="166" customFormat="1" x14ac:dyDescent="0.2"/>
    <row r="17465" s="166" customFormat="1" x14ac:dyDescent="0.2"/>
    <row r="17466" s="166" customFormat="1" x14ac:dyDescent="0.2"/>
    <row r="17467" s="166" customFormat="1" x14ac:dyDescent="0.2"/>
    <row r="17468" s="166" customFormat="1" x14ac:dyDescent="0.2"/>
    <row r="17469" s="166" customFormat="1" x14ac:dyDescent="0.2"/>
    <row r="17470" s="166" customFormat="1" x14ac:dyDescent="0.2"/>
    <row r="17471" s="166" customFormat="1" x14ac:dyDescent="0.2"/>
    <row r="17472" s="166" customFormat="1" x14ac:dyDescent="0.2"/>
    <row r="17473" s="166" customFormat="1" x14ac:dyDescent="0.2"/>
    <row r="17474" s="166" customFormat="1" x14ac:dyDescent="0.2"/>
    <row r="17475" s="166" customFormat="1" x14ac:dyDescent="0.2"/>
    <row r="17476" s="166" customFormat="1" x14ac:dyDescent="0.2"/>
    <row r="17477" s="166" customFormat="1" x14ac:dyDescent="0.2"/>
    <row r="17478" s="166" customFormat="1" x14ac:dyDescent="0.2"/>
    <row r="17479" s="166" customFormat="1" x14ac:dyDescent="0.2"/>
    <row r="17480" s="166" customFormat="1" x14ac:dyDescent="0.2"/>
    <row r="17481" s="166" customFormat="1" x14ac:dyDescent="0.2"/>
    <row r="17482" s="166" customFormat="1" x14ac:dyDescent="0.2"/>
    <row r="17483" s="166" customFormat="1" x14ac:dyDescent="0.2"/>
    <row r="17484" s="166" customFormat="1" x14ac:dyDescent="0.2"/>
    <row r="17485" s="166" customFormat="1" x14ac:dyDescent="0.2"/>
    <row r="17486" s="166" customFormat="1" x14ac:dyDescent="0.2"/>
    <row r="17487" s="166" customFormat="1" x14ac:dyDescent="0.2"/>
    <row r="17488" s="166" customFormat="1" x14ac:dyDescent="0.2"/>
    <row r="17489" s="166" customFormat="1" x14ac:dyDescent="0.2"/>
    <row r="17490" s="166" customFormat="1" x14ac:dyDescent="0.2"/>
    <row r="17491" s="166" customFormat="1" x14ac:dyDescent="0.2"/>
    <row r="17492" s="166" customFormat="1" x14ac:dyDescent="0.2"/>
    <row r="17493" s="166" customFormat="1" x14ac:dyDescent="0.2"/>
    <row r="17494" s="166" customFormat="1" x14ac:dyDescent="0.2"/>
    <row r="17495" s="166" customFormat="1" x14ac:dyDescent="0.2"/>
    <row r="17496" s="166" customFormat="1" x14ac:dyDescent="0.2"/>
    <row r="17497" s="166" customFormat="1" x14ac:dyDescent="0.2"/>
    <row r="17498" s="166" customFormat="1" x14ac:dyDescent="0.2"/>
    <row r="17499" s="166" customFormat="1" x14ac:dyDescent="0.2"/>
    <row r="17500" s="166" customFormat="1" x14ac:dyDescent="0.2"/>
    <row r="17501" s="166" customFormat="1" x14ac:dyDescent="0.2"/>
    <row r="17502" s="166" customFormat="1" x14ac:dyDescent="0.2"/>
    <row r="17503" s="166" customFormat="1" x14ac:dyDescent="0.2"/>
    <row r="17504" s="166" customFormat="1" x14ac:dyDescent="0.2"/>
    <row r="17505" s="166" customFormat="1" x14ac:dyDescent="0.2"/>
    <row r="17506" s="166" customFormat="1" x14ac:dyDescent="0.2"/>
    <row r="17507" s="166" customFormat="1" x14ac:dyDescent="0.2"/>
    <row r="17508" s="166" customFormat="1" x14ac:dyDescent="0.2"/>
    <row r="17509" s="166" customFormat="1" x14ac:dyDescent="0.2"/>
    <row r="17510" s="166" customFormat="1" x14ac:dyDescent="0.2"/>
    <row r="17511" s="166" customFormat="1" x14ac:dyDescent="0.2"/>
    <row r="17512" s="166" customFormat="1" x14ac:dyDescent="0.2"/>
    <row r="17513" s="166" customFormat="1" x14ac:dyDescent="0.2"/>
    <row r="17514" s="166" customFormat="1" x14ac:dyDescent="0.2"/>
    <row r="17515" s="166" customFormat="1" x14ac:dyDescent="0.2"/>
    <row r="17516" s="166" customFormat="1" x14ac:dyDescent="0.2"/>
    <row r="17517" s="166" customFormat="1" x14ac:dyDescent="0.2"/>
    <row r="17518" s="166" customFormat="1" x14ac:dyDescent="0.2"/>
    <row r="17519" s="166" customFormat="1" x14ac:dyDescent="0.2"/>
    <row r="17520" s="166" customFormat="1" x14ac:dyDescent="0.2"/>
    <row r="17521" s="166" customFormat="1" x14ac:dyDescent="0.2"/>
    <row r="17522" s="166" customFormat="1" x14ac:dyDescent="0.2"/>
    <row r="17523" s="166" customFormat="1" x14ac:dyDescent="0.2"/>
    <row r="17524" s="166" customFormat="1" x14ac:dyDescent="0.2"/>
    <row r="17525" s="166" customFormat="1" x14ac:dyDescent="0.2"/>
    <row r="17526" s="166" customFormat="1" x14ac:dyDescent="0.2"/>
    <row r="17527" s="166" customFormat="1" x14ac:dyDescent="0.2"/>
    <row r="17528" s="166" customFormat="1" x14ac:dyDescent="0.2"/>
    <row r="17529" s="166" customFormat="1" x14ac:dyDescent="0.2"/>
    <row r="17530" s="166" customFormat="1" x14ac:dyDescent="0.2"/>
    <row r="17531" s="166" customFormat="1" x14ac:dyDescent="0.2"/>
    <row r="17532" s="166" customFormat="1" x14ac:dyDescent="0.2"/>
    <row r="17533" s="166" customFormat="1" x14ac:dyDescent="0.2"/>
    <row r="17534" s="166" customFormat="1" x14ac:dyDescent="0.2"/>
    <row r="17535" s="166" customFormat="1" x14ac:dyDescent="0.2"/>
    <row r="17536" s="166" customFormat="1" x14ac:dyDescent="0.2"/>
    <row r="17537" s="166" customFormat="1" x14ac:dyDescent="0.2"/>
    <row r="17538" s="166" customFormat="1" x14ac:dyDescent="0.2"/>
    <row r="17539" s="166" customFormat="1" x14ac:dyDescent="0.2"/>
    <row r="17540" s="166" customFormat="1" x14ac:dyDescent="0.2"/>
    <row r="17541" s="166" customFormat="1" x14ac:dyDescent="0.2"/>
    <row r="17542" s="166" customFormat="1" x14ac:dyDescent="0.2"/>
    <row r="17543" s="166" customFormat="1" x14ac:dyDescent="0.2"/>
    <row r="17544" s="166" customFormat="1" x14ac:dyDescent="0.2"/>
    <row r="17545" s="166" customFormat="1" x14ac:dyDescent="0.2"/>
    <row r="17546" s="166" customFormat="1" x14ac:dyDescent="0.2"/>
    <row r="17547" s="166" customFormat="1" x14ac:dyDescent="0.2"/>
    <row r="17548" s="166" customFormat="1" x14ac:dyDescent="0.2"/>
    <row r="17549" s="166" customFormat="1" x14ac:dyDescent="0.2"/>
    <row r="17550" s="166" customFormat="1" x14ac:dyDescent="0.2"/>
    <row r="17551" s="166" customFormat="1" x14ac:dyDescent="0.2"/>
    <row r="17552" s="166" customFormat="1" x14ac:dyDescent="0.2"/>
    <row r="17553" s="166" customFormat="1" x14ac:dyDescent="0.2"/>
    <row r="17554" s="166" customFormat="1" x14ac:dyDescent="0.2"/>
    <row r="17555" s="166" customFormat="1" x14ac:dyDescent="0.2"/>
    <row r="17556" s="166" customFormat="1" x14ac:dyDescent="0.2"/>
    <row r="17557" s="166" customFormat="1" x14ac:dyDescent="0.2"/>
    <row r="17558" s="166" customFormat="1" x14ac:dyDescent="0.2"/>
    <row r="17559" s="166" customFormat="1" x14ac:dyDescent="0.2"/>
    <row r="17560" s="166" customFormat="1" x14ac:dyDescent="0.2"/>
    <row r="17561" s="166" customFormat="1" x14ac:dyDescent="0.2"/>
    <row r="17562" s="166" customFormat="1" x14ac:dyDescent="0.2"/>
    <row r="17563" s="166" customFormat="1" x14ac:dyDescent="0.2"/>
    <row r="17564" s="166" customFormat="1" x14ac:dyDescent="0.2"/>
    <row r="17565" s="166" customFormat="1" x14ac:dyDescent="0.2"/>
    <row r="17566" s="166" customFormat="1" x14ac:dyDescent="0.2"/>
    <row r="17567" s="166" customFormat="1" x14ac:dyDescent="0.2"/>
    <row r="17568" s="166" customFormat="1" x14ac:dyDescent="0.2"/>
    <row r="17569" s="166" customFormat="1" x14ac:dyDescent="0.2"/>
    <row r="17570" s="166" customFormat="1" x14ac:dyDescent="0.2"/>
    <row r="17571" s="166" customFormat="1" x14ac:dyDescent="0.2"/>
    <row r="17572" s="166" customFormat="1" x14ac:dyDescent="0.2"/>
    <row r="17573" s="166" customFormat="1" x14ac:dyDescent="0.2"/>
    <row r="17574" s="166" customFormat="1" x14ac:dyDescent="0.2"/>
    <row r="17575" s="166" customFormat="1" x14ac:dyDescent="0.2"/>
    <row r="17576" s="166" customFormat="1" x14ac:dyDescent="0.2"/>
    <row r="17577" s="166" customFormat="1" x14ac:dyDescent="0.2"/>
    <row r="17578" s="166" customFormat="1" x14ac:dyDescent="0.2"/>
    <row r="17579" s="166" customFormat="1" x14ac:dyDescent="0.2"/>
    <row r="17580" s="166" customFormat="1" x14ac:dyDescent="0.2"/>
    <row r="17581" s="166" customFormat="1" x14ac:dyDescent="0.2"/>
    <row r="17582" s="166" customFormat="1" x14ac:dyDescent="0.2"/>
    <row r="17583" s="166" customFormat="1" x14ac:dyDescent="0.2"/>
    <row r="17584" s="166" customFormat="1" x14ac:dyDescent="0.2"/>
    <row r="17585" s="166" customFormat="1" x14ac:dyDescent="0.2"/>
    <row r="17586" s="166" customFormat="1" x14ac:dyDescent="0.2"/>
    <row r="17587" s="166" customFormat="1" x14ac:dyDescent="0.2"/>
    <row r="17588" s="166" customFormat="1" x14ac:dyDescent="0.2"/>
    <row r="17589" s="166" customFormat="1" x14ac:dyDescent="0.2"/>
    <row r="17590" s="166" customFormat="1" x14ac:dyDescent="0.2"/>
    <row r="17591" s="166" customFormat="1" x14ac:dyDescent="0.2"/>
    <row r="17592" s="166" customFormat="1" x14ac:dyDescent="0.2"/>
    <row r="17593" s="166" customFormat="1" x14ac:dyDescent="0.2"/>
    <row r="17594" s="166" customFormat="1" x14ac:dyDescent="0.2"/>
    <row r="17595" s="166" customFormat="1" x14ac:dyDescent="0.2"/>
    <row r="17596" s="166" customFormat="1" x14ac:dyDescent="0.2"/>
    <row r="17597" s="166" customFormat="1" x14ac:dyDescent="0.2"/>
    <row r="17598" s="166" customFormat="1" x14ac:dyDescent="0.2"/>
    <row r="17599" s="166" customFormat="1" x14ac:dyDescent="0.2"/>
    <row r="17600" s="166" customFormat="1" x14ac:dyDescent="0.2"/>
    <row r="17601" s="166" customFormat="1" x14ac:dyDescent="0.2"/>
    <row r="17602" s="166" customFormat="1" x14ac:dyDescent="0.2"/>
    <row r="17603" s="166" customFormat="1" x14ac:dyDescent="0.2"/>
    <row r="17604" s="166" customFormat="1" x14ac:dyDescent="0.2"/>
    <row r="17605" s="166" customFormat="1" x14ac:dyDescent="0.2"/>
    <row r="17606" s="166" customFormat="1" x14ac:dyDescent="0.2"/>
    <row r="17607" s="166" customFormat="1" x14ac:dyDescent="0.2"/>
    <row r="17608" s="166" customFormat="1" x14ac:dyDescent="0.2"/>
    <row r="17609" s="166" customFormat="1" x14ac:dyDescent="0.2"/>
    <row r="17610" s="166" customFormat="1" x14ac:dyDescent="0.2"/>
    <row r="17611" s="166" customFormat="1" x14ac:dyDescent="0.2"/>
    <row r="17612" s="166" customFormat="1" x14ac:dyDescent="0.2"/>
    <row r="17613" s="166" customFormat="1" x14ac:dyDescent="0.2"/>
    <row r="17614" s="166" customFormat="1" x14ac:dyDescent="0.2"/>
    <row r="17615" s="166" customFormat="1" x14ac:dyDescent="0.2"/>
    <row r="17616" s="166" customFormat="1" x14ac:dyDescent="0.2"/>
    <row r="17617" s="166" customFormat="1" x14ac:dyDescent="0.2"/>
    <row r="17618" s="166" customFormat="1" x14ac:dyDescent="0.2"/>
    <row r="17619" s="166" customFormat="1" x14ac:dyDescent="0.2"/>
    <row r="17620" s="166" customFormat="1" x14ac:dyDescent="0.2"/>
    <row r="17621" s="166" customFormat="1" x14ac:dyDescent="0.2"/>
    <row r="17622" s="166" customFormat="1" x14ac:dyDescent="0.2"/>
    <row r="17623" s="166" customFormat="1" x14ac:dyDescent="0.2"/>
    <row r="17624" s="166" customFormat="1" x14ac:dyDescent="0.2"/>
    <row r="17625" s="166" customFormat="1" x14ac:dyDescent="0.2"/>
    <row r="17626" s="166" customFormat="1" x14ac:dyDescent="0.2"/>
    <row r="17627" s="166" customFormat="1" x14ac:dyDescent="0.2"/>
    <row r="17628" s="166" customFormat="1" x14ac:dyDescent="0.2"/>
    <row r="17629" s="166" customFormat="1" x14ac:dyDescent="0.2"/>
    <row r="17630" s="166" customFormat="1" x14ac:dyDescent="0.2"/>
    <row r="17631" s="166" customFormat="1" x14ac:dyDescent="0.2"/>
    <row r="17632" s="166" customFormat="1" x14ac:dyDescent="0.2"/>
    <row r="17633" s="166" customFormat="1" x14ac:dyDescent="0.2"/>
    <row r="17634" s="166" customFormat="1" x14ac:dyDescent="0.2"/>
    <row r="17635" s="166" customFormat="1" x14ac:dyDescent="0.2"/>
    <row r="17636" s="166" customFormat="1" x14ac:dyDescent="0.2"/>
    <row r="17637" s="166" customFormat="1" x14ac:dyDescent="0.2"/>
    <row r="17638" s="166" customFormat="1" x14ac:dyDescent="0.2"/>
    <row r="17639" s="166" customFormat="1" x14ac:dyDescent="0.2"/>
    <row r="17640" s="166" customFormat="1" x14ac:dyDescent="0.2"/>
    <row r="17641" s="166" customFormat="1" x14ac:dyDescent="0.2"/>
    <row r="17642" s="166" customFormat="1" x14ac:dyDescent="0.2"/>
    <row r="17643" s="166" customFormat="1" x14ac:dyDescent="0.2"/>
    <row r="17644" s="166" customFormat="1" x14ac:dyDescent="0.2"/>
    <row r="17645" s="166" customFormat="1" x14ac:dyDescent="0.2"/>
    <row r="17646" s="166" customFormat="1" x14ac:dyDescent="0.2"/>
    <row r="17647" s="166" customFormat="1" x14ac:dyDescent="0.2"/>
    <row r="17648" s="166" customFormat="1" x14ac:dyDescent="0.2"/>
    <row r="17649" s="166" customFormat="1" x14ac:dyDescent="0.2"/>
    <row r="17650" s="166" customFormat="1" x14ac:dyDescent="0.2"/>
    <row r="17651" s="166" customFormat="1" x14ac:dyDescent="0.2"/>
    <row r="17652" s="166" customFormat="1" x14ac:dyDescent="0.2"/>
    <row r="17653" s="166" customFormat="1" x14ac:dyDescent="0.2"/>
    <row r="17654" s="166" customFormat="1" x14ac:dyDescent="0.2"/>
    <row r="17655" s="166" customFormat="1" x14ac:dyDescent="0.2"/>
    <row r="17656" s="166" customFormat="1" x14ac:dyDescent="0.2"/>
    <row r="17657" s="166" customFormat="1" x14ac:dyDescent="0.2"/>
    <row r="17658" s="166" customFormat="1" x14ac:dyDescent="0.2"/>
    <row r="17659" s="166" customFormat="1" x14ac:dyDescent="0.2"/>
    <row r="17660" s="166" customFormat="1" x14ac:dyDescent="0.2"/>
    <row r="17661" s="166" customFormat="1" x14ac:dyDescent="0.2"/>
    <row r="17662" s="166" customFormat="1" x14ac:dyDescent="0.2"/>
    <row r="17663" s="166" customFormat="1" x14ac:dyDescent="0.2"/>
    <row r="17664" s="166" customFormat="1" x14ac:dyDescent="0.2"/>
    <row r="17665" s="166" customFormat="1" x14ac:dyDescent="0.2"/>
    <row r="17666" s="166" customFormat="1" x14ac:dyDescent="0.2"/>
    <row r="17667" s="166" customFormat="1" x14ac:dyDescent="0.2"/>
    <row r="17668" s="166" customFormat="1" x14ac:dyDescent="0.2"/>
    <row r="17669" s="166" customFormat="1" x14ac:dyDescent="0.2"/>
    <row r="17670" s="166" customFormat="1" x14ac:dyDescent="0.2"/>
    <row r="17671" s="166" customFormat="1" x14ac:dyDescent="0.2"/>
    <row r="17672" s="166" customFormat="1" x14ac:dyDescent="0.2"/>
    <row r="17673" s="166" customFormat="1" x14ac:dyDescent="0.2"/>
    <row r="17674" s="166" customFormat="1" x14ac:dyDescent="0.2"/>
    <row r="17675" s="166" customFormat="1" x14ac:dyDescent="0.2"/>
    <row r="17676" s="166" customFormat="1" x14ac:dyDescent="0.2"/>
    <row r="17677" s="166" customFormat="1" x14ac:dyDescent="0.2"/>
    <row r="17678" s="166" customFormat="1" x14ac:dyDescent="0.2"/>
    <row r="17679" s="166" customFormat="1" x14ac:dyDescent="0.2"/>
    <row r="17680" s="166" customFormat="1" x14ac:dyDescent="0.2"/>
    <row r="17681" s="166" customFormat="1" x14ac:dyDescent="0.2"/>
    <row r="17682" s="166" customFormat="1" x14ac:dyDescent="0.2"/>
    <row r="17683" s="166" customFormat="1" x14ac:dyDescent="0.2"/>
    <row r="17684" s="166" customFormat="1" x14ac:dyDescent="0.2"/>
    <row r="17685" s="166" customFormat="1" x14ac:dyDescent="0.2"/>
    <row r="17686" s="166" customFormat="1" x14ac:dyDescent="0.2"/>
    <row r="17687" s="166" customFormat="1" x14ac:dyDescent="0.2"/>
    <row r="17688" s="166" customFormat="1" x14ac:dyDescent="0.2"/>
    <row r="17689" s="166" customFormat="1" x14ac:dyDescent="0.2"/>
    <row r="17690" s="166" customFormat="1" x14ac:dyDescent="0.2"/>
    <row r="17691" s="166" customFormat="1" x14ac:dyDescent="0.2"/>
    <row r="17692" s="166" customFormat="1" x14ac:dyDescent="0.2"/>
    <row r="17693" s="166" customFormat="1" x14ac:dyDescent="0.2"/>
    <row r="17694" s="166" customFormat="1" x14ac:dyDescent="0.2"/>
    <row r="17695" s="166" customFormat="1" x14ac:dyDescent="0.2"/>
    <row r="17696" s="166" customFormat="1" x14ac:dyDescent="0.2"/>
    <row r="17697" s="166" customFormat="1" x14ac:dyDescent="0.2"/>
    <row r="17698" s="166" customFormat="1" x14ac:dyDescent="0.2"/>
    <row r="17699" s="166" customFormat="1" x14ac:dyDescent="0.2"/>
    <row r="17700" s="166" customFormat="1" x14ac:dyDescent="0.2"/>
    <row r="17701" s="166" customFormat="1" x14ac:dyDescent="0.2"/>
    <row r="17702" s="166" customFormat="1" x14ac:dyDescent="0.2"/>
    <row r="17703" s="166" customFormat="1" x14ac:dyDescent="0.2"/>
    <row r="17704" s="166" customFormat="1" x14ac:dyDescent="0.2"/>
    <row r="17705" s="166" customFormat="1" x14ac:dyDescent="0.2"/>
    <row r="17706" s="166" customFormat="1" x14ac:dyDescent="0.2"/>
    <row r="17707" s="166" customFormat="1" x14ac:dyDescent="0.2"/>
    <row r="17708" s="166" customFormat="1" x14ac:dyDescent="0.2"/>
    <row r="17709" s="166" customFormat="1" x14ac:dyDescent="0.2"/>
    <row r="17710" s="166" customFormat="1" x14ac:dyDescent="0.2"/>
    <row r="17711" s="166" customFormat="1" x14ac:dyDescent="0.2"/>
    <row r="17712" s="166" customFormat="1" x14ac:dyDescent="0.2"/>
    <row r="17713" s="166" customFormat="1" x14ac:dyDescent="0.2"/>
    <row r="17714" s="166" customFormat="1" x14ac:dyDescent="0.2"/>
    <row r="17715" s="166" customFormat="1" x14ac:dyDescent="0.2"/>
    <row r="17716" s="166" customFormat="1" x14ac:dyDescent="0.2"/>
    <row r="17717" s="166" customFormat="1" x14ac:dyDescent="0.2"/>
    <row r="17718" s="166" customFormat="1" x14ac:dyDescent="0.2"/>
    <row r="17719" s="166" customFormat="1" x14ac:dyDescent="0.2"/>
    <row r="17720" s="166" customFormat="1" x14ac:dyDescent="0.2"/>
    <row r="17721" s="166" customFormat="1" x14ac:dyDescent="0.2"/>
    <row r="17722" s="166" customFormat="1" x14ac:dyDescent="0.2"/>
    <row r="17723" s="166" customFormat="1" x14ac:dyDescent="0.2"/>
    <row r="17724" s="166" customFormat="1" x14ac:dyDescent="0.2"/>
    <row r="17725" s="166" customFormat="1" x14ac:dyDescent="0.2"/>
    <row r="17726" s="166" customFormat="1" x14ac:dyDescent="0.2"/>
    <row r="17727" s="166" customFormat="1" x14ac:dyDescent="0.2"/>
    <row r="17728" s="166" customFormat="1" x14ac:dyDescent="0.2"/>
    <row r="17729" s="166" customFormat="1" x14ac:dyDescent="0.2"/>
    <row r="17730" s="166" customFormat="1" x14ac:dyDescent="0.2"/>
    <row r="17731" s="166" customFormat="1" x14ac:dyDescent="0.2"/>
    <row r="17732" s="166" customFormat="1" x14ac:dyDescent="0.2"/>
    <row r="17733" s="166" customFormat="1" x14ac:dyDescent="0.2"/>
    <row r="17734" s="166" customFormat="1" x14ac:dyDescent="0.2"/>
    <row r="17735" s="166" customFormat="1" x14ac:dyDescent="0.2"/>
    <row r="17736" s="166" customFormat="1" x14ac:dyDescent="0.2"/>
    <row r="17737" s="166" customFormat="1" x14ac:dyDescent="0.2"/>
    <row r="17738" s="166" customFormat="1" x14ac:dyDescent="0.2"/>
    <row r="17739" s="166" customFormat="1" x14ac:dyDescent="0.2"/>
    <row r="17740" s="166" customFormat="1" x14ac:dyDescent="0.2"/>
    <row r="17741" s="166" customFormat="1" x14ac:dyDescent="0.2"/>
    <row r="17742" s="166" customFormat="1" x14ac:dyDescent="0.2"/>
    <row r="17743" s="166" customFormat="1" x14ac:dyDescent="0.2"/>
    <row r="17744" s="166" customFormat="1" x14ac:dyDescent="0.2"/>
    <row r="17745" s="166" customFormat="1" x14ac:dyDescent="0.2"/>
    <row r="17746" s="166" customFormat="1" x14ac:dyDescent="0.2"/>
    <row r="17747" s="166" customFormat="1" x14ac:dyDescent="0.2"/>
    <row r="17748" s="166" customFormat="1" x14ac:dyDescent="0.2"/>
    <row r="17749" s="166" customFormat="1" x14ac:dyDescent="0.2"/>
    <row r="17750" s="166" customFormat="1" x14ac:dyDescent="0.2"/>
    <row r="17751" s="166" customFormat="1" x14ac:dyDescent="0.2"/>
    <row r="17752" s="166" customFormat="1" x14ac:dyDescent="0.2"/>
    <row r="17753" s="166" customFormat="1" x14ac:dyDescent="0.2"/>
    <row r="17754" s="166" customFormat="1" x14ac:dyDescent="0.2"/>
    <row r="17755" s="166" customFormat="1" x14ac:dyDescent="0.2"/>
    <row r="17756" s="166" customFormat="1" x14ac:dyDescent="0.2"/>
    <row r="17757" s="166" customFormat="1" x14ac:dyDescent="0.2"/>
    <row r="17758" s="166" customFormat="1" x14ac:dyDescent="0.2"/>
    <row r="17759" s="166" customFormat="1" x14ac:dyDescent="0.2"/>
    <row r="17760" s="166" customFormat="1" x14ac:dyDescent="0.2"/>
    <row r="17761" s="166" customFormat="1" x14ac:dyDescent="0.2"/>
    <row r="17762" s="166" customFormat="1" x14ac:dyDescent="0.2"/>
    <row r="17763" s="166" customFormat="1" x14ac:dyDescent="0.2"/>
    <row r="17764" s="166" customFormat="1" x14ac:dyDescent="0.2"/>
    <row r="17765" s="166" customFormat="1" x14ac:dyDescent="0.2"/>
    <row r="17766" s="166" customFormat="1" x14ac:dyDescent="0.2"/>
    <row r="17767" s="166" customFormat="1" x14ac:dyDescent="0.2"/>
    <row r="17768" s="166" customFormat="1" x14ac:dyDescent="0.2"/>
    <row r="17769" s="166" customFormat="1" x14ac:dyDescent="0.2"/>
    <row r="17770" s="166" customFormat="1" x14ac:dyDescent="0.2"/>
    <row r="17771" s="166" customFormat="1" x14ac:dyDescent="0.2"/>
    <row r="17772" s="166" customFormat="1" x14ac:dyDescent="0.2"/>
    <row r="17773" s="166" customFormat="1" x14ac:dyDescent="0.2"/>
    <row r="17774" s="166" customFormat="1" x14ac:dyDescent="0.2"/>
    <row r="17775" s="166" customFormat="1" x14ac:dyDescent="0.2"/>
    <row r="17776" s="166" customFormat="1" x14ac:dyDescent="0.2"/>
    <row r="17777" s="166" customFormat="1" x14ac:dyDescent="0.2"/>
    <row r="17778" s="166" customFormat="1" x14ac:dyDescent="0.2"/>
    <row r="17779" s="166" customFormat="1" x14ac:dyDescent="0.2"/>
    <row r="17780" s="166" customFormat="1" x14ac:dyDescent="0.2"/>
    <row r="17781" s="166" customFormat="1" x14ac:dyDescent="0.2"/>
    <row r="17782" s="166" customFormat="1" x14ac:dyDescent="0.2"/>
    <row r="17783" s="166" customFormat="1" x14ac:dyDescent="0.2"/>
    <row r="17784" s="166" customFormat="1" x14ac:dyDescent="0.2"/>
    <row r="17785" s="166" customFormat="1" x14ac:dyDescent="0.2"/>
    <row r="17786" s="166" customFormat="1" x14ac:dyDescent="0.2"/>
    <row r="17787" s="166" customFormat="1" x14ac:dyDescent="0.2"/>
    <row r="17788" s="166" customFormat="1" x14ac:dyDescent="0.2"/>
    <row r="17789" s="166" customFormat="1" x14ac:dyDescent="0.2"/>
    <row r="17790" s="166" customFormat="1" x14ac:dyDescent="0.2"/>
    <row r="17791" s="166" customFormat="1" x14ac:dyDescent="0.2"/>
    <row r="17792" s="166" customFormat="1" x14ac:dyDescent="0.2"/>
    <row r="17793" s="166" customFormat="1" x14ac:dyDescent="0.2"/>
    <row r="17794" s="166" customFormat="1" x14ac:dyDescent="0.2"/>
    <row r="17795" s="166" customFormat="1" x14ac:dyDescent="0.2"/>
    <row r="17796" s="166" customFormat="1" x14ac:dyDescent="0.2"/>
    <row r="17797" s="166" customFormat="1" x14ac:dyDescent="0.2"/>
    <row r="17798" s="166" customFormat="1" x14ac:dyDescent="0.2"/>
    <row r="17799" s="166" customFormat="1" x14ac:dyDescent="0.2"/>
    <row r="17800" s="166" customFormat="1" x14ac:dyDescent="0.2"/>
    <row r="17801" s="166" customFormat="1" x14ac:dyDescent="0.2"/>
    <row r="17802" s="166" customFormat="1" x14ac:dyDescent="0.2"/>
    <row r="17803" s="166" customFormat="1" x14ac:dyDescent="0.2"/>
    <row r="17804" s="166" customFormat="1" x14ac:dyDescent="0.2"/>
    <row r="17805" s="166" customFormat="1" x14ac:dyDescent="0.2"/>
    <row r="17806" s="166" customFormat="1" x14ac:dyDescent="0.2"/>
    <row r="17807" s="166" customFormat="1" x14ac:dyDescent="0.2"/>
    <row r="17808" s="166" customFormat="1" x14ac:dyDescent="0.2"/>
    <row r="17809" s="166" customFormat="1" x14ac:dyDescent="0.2"/>
    <row r="17810" s="166" customFormat="1" x14ac:dyDescent="0.2"/>
    <row r="17811" s="166" customFormat="1" x14ac:dyDescent="0.2"/>
    <row r="17812" s="166" customFormat="1" x14ac:dyDescent="0.2"/>
    <row r="17813" s="166" customFormat="1" x14ac:dyDescent="0.2"/>
    <row r="17814" s="166" customFormat="1" x14ac:dyDescent="0.2"/>
    <row r="17815" s="166" customFormat="1" x14ac:dyDescent="0.2"/>
    <row r="17816" s="166" customFormat="1" x14ac:dyDescent="0.2"/>
    <row r="17817" s="166" customFormat="1" x14ac:dyDescent="0.2"/>
    <row r="17818" s="166" customFormat="1" x14ac:dyDescent="0.2"/>
    <row r="17819" s="166" customFormat="1" x14ac:dyDescent="0.2"/>
    <row r="17820" s="166" customFormat="1" x14ac:dyDescent="0.2"/>
    <row r="17821" s="166" customFormat="1" x14ac:dyDescent="0.2"/>
    <row r="17822" s="166" customFormat="1" x14ac:dyDescent="0.2"/>
    <row r="17823" s="166" customFormat="1" x14ac:dyDescent="0.2"/>
    <row r="17824" s="166" customFormat="1" x14ac:dyDescent="0.2"/>
    <row r="17825" s="166" customFormat="1" x14ac:dyDescent="0.2"/>
    <row r="17826" s="166" customFormat="1" x14ac:dyDescent="0.2"/>
    <row r="17827" s="166" customFormat="1" x14ac:dyDescent="0.2"/>
    <row r="17828" s="166" customFormat="1" x14ac:dyDescent="0.2"/>
    <row r="17829" s="166" customFormat="1" x14ac:dyDescent="0.2"/>
    <row r="17830" s="166" customFormat="1" x14ac:dyDescent="0.2"/>
    <row r="17831" s="166" customFormat="1" x14ac:dyDescent="0.2"/>
    <row r="17832" s="166" customFormat="1" x14ac:dyDescent="0.2"/>
    <row r="17833" s="166" customFormat="1" x14ac:dyDescent="0.2"/>
    <row r="17834" s="166" customFormat="1" x14ac:dyDescent="0.2"/>
    <row r="17835" s="166" customFormat="1" x14ac:dyDescent="0.2"/>
    <row r="17836" s="166" customFormat="1" x14ac:dyDescent="0.2"/>
    <row r="17837" s="166" customFormat="1" x14ac:dyDescent="0.2"/>
    <row r="17838" s="166" customFormat="1" x14ac:dyDescent="0.2"/>
    <row r="17839" s="166" customFormat="1" x14ac:dyDescent="0.2"/>
    <row r="17840" s="166" customFormat="1" x14ac:dyDescent="0.2"/>
    <row r="17841" s="166" customFormat="1" x14ac:dyDescent="0.2"/>
    <row r="17842" s="166" customFormat="1" x14ac:dyDescent="0.2"/>
    <row r="17843" s="166" customFormat="1" x14ac:dyDescent="0.2"/>
    <row r="17844" s="166" customFormat="1" x14ac:dyDescent="0.2"/>
    <row r="17845" s="166" customFormat="1" x14ac:dyDescent="0.2"/>
    <row r="17846" s="166" customFormat="1" x14ac:dyDescent="0.2"/>
    <row r="17847" s="166" customFormat="1" x14ac:dyDescent="0.2"/>
    <row r="17848" s="166" customFormat="1" x14ac:dyDescent="0.2"/>
    <row r="17849" s="166" customFormat="1" x14ac:dyDescent="0.2"/>
    <row r="17850" s="166" customFormat="1" x14ac:dyDescent="0.2"/>
    <row r="17851" s="166" customFormat="1" x14ac:dyDescent="0.2"/>
    <row r="17852" s="166" customFormat="1" x14ac:dyDescent="0.2"/>
    <row r="17853" s="166" customFormat="1" x14ac:dyDescent="0.2"/>
    <row r="17854" s="166" customFormat="1" x14ac:dyDescent="0.2"/>
    <row r="17855" s="166" customFormat="1" x14ac:dyDescent="0.2"/>
    <row r="17856" s="166" customFormat="1" x14ac:dyDescent="0.2"/>
    <row r="17857" s="166" customFormat="1" x14ac:dyDescent="0.2"/>
    <row r="17858" s="166" customFormat="1" x14ac:dyDescent="0.2"/>
    <row r="17859" s="166" customFormat="1" x14ac:dyDescent="0.2"/>
    <row r="17860" s="166" customFormat="1" x14ac:dyDescent="0.2"/>
    <row r="17861" s="166" customFormat="1" x14ac:dyDescent="0.2"/>
    <row r="17862" s="166" customFormat="1" x14ac:dyDescent="0.2"/>
    <row r="17863" s="166" customFormat="1" x14ac:dyDescent="0.2"/>
    <row r="17864" s="166" customFormat="1" x14ac:dyDescent="0.2"/>
    <row r="17865" s="166" customFormat="1" x14ac:dyDescent="0.2"/>
    <row r="17866" s="166" customFormat="1" x14ac:dyDescent="0.2"/>
    <row r="17867" s="166" customFormat="1" x14ac:dyDescent="0.2"/>
    <row r="17868" s="166" customFormat="1" x14ac:dyDescent="0.2"/>
    <row r="17869" s="166" customFormat="1" x14ac:dyDescent="0.2"/>
    <row r="17870" s="166" customFormat="1" x14ac:dyDescent="0.2"/>
    <row r="17871" s="166" customFormat="1" x14ac:dyDescent="0.2"/>
    <row r="17872" s="166" customFormat="1" x14ac:dyDescent="0.2"/>
    <row r="17873" s="166" customFormat="1" x14ac:dyDescent="0.2"/>
    <row r="17874" s="166" customFormat="1" x14ac:dyDescent="0.2"/>
    <row r="17875" s="166" customFormat="1" x14ac:dyDescent="0.2"/>
    <row r="17876" s="166" customFormat="1" x14ac:dyDescent="0.2"/>
    <row r="17877" s="166" customFormat="1" x14ac:dyDescent="0.2"/>
    <row r="17878" s="166" customFormat="1" x14ac:dyDescent="0.2"/>
    <row r="17879" s="166" customFormat="1" x14ac:dyDescent="0.2"/>
    <row r="17880" s="166" customFormat="1" x14ac:dyDescent="0.2"/>
    <row r="17881" s="166" customFormat="1" x14ac:dyDescent="0.2"/>
    <row r="17882" s="166" customFormat="1" x14ac:dyDescent="0.2"/>
    <row r="17883" s="166" customFormat="1" x14ac:dyDescent="0.2"/>
    <row r="17884" s="166" customFormat="1" x14ac:dyDescent="0.2"/>
    <row r="17885" s="166" customFormat="1" x14ac:dyDescent="0.2"/>
    <row r="17886" s="166" customFormat="1" x14ac:dyDescent="0.2"/>
    <row r="17887" s="166" customFormat="1" x14ac:dyDescent="0.2"/>
    <row r="17888" s="166" customFormat="1" x14ac:dyDescent="0.2"/>
    <row r="17889" s="166" customFormat="1" x14ac:dyDescent="0.2"/>
    <row r="17890" s="166" customFormat="1" x14ac:dyDescent="0.2"/>
    <row r="17891" s="166" customFormat="1" x14ac:dyDescent="0.2"/>
    <row r="17892" s="166" customFormat="1" x14ac:dyDescent="0.2"/>
    <row r="17893" s="166" customFormat="1" x14ac:dyDescent="0.2"/>
    <row r="17894" s="166" customFormat="1" x14ac:dyDescent="0.2"/>
    <row r="17895" s="166" customFormat="1" x14ac:dyDescent="0.2"/>
    <row r="17896" s="166" customFormat="1" x14ac:dyDescent="0.2"/>
    <row r="17897" s="166" customFormat="1" x14ac:dyDescent="0.2"/>
    <row r="17898" s="166" customFormat="1" x14ac:dyDescent="0.2"/>
    <row r="17899" s="166" customFormat="1" x14ac:dyDescent="0.2"/>
    <row r="17900" s="166" customFormat="1" x14ac:dyDescent="0.2"/>
    <row r="17901" s="166" customFormat="1" x14ac:dyDescent="0.2"/>
    <row r="17902" s="166" customFormat="1" x14ac:dyDescent="0.2"/>
    <row r="17903" s="166" customFormat="1" x14ac:dyDescent="0.2"/>
    <row r="17904" s="166" customFormat="1" x14ac:dyDescent="0.2"/>
    <row r="17905" s="166" customFormat="1" x14ac:dyDescent="0.2"/>
    <row r="17906" s="166" customFormat="1" x14ac:dyDescent="0.2"/>
    <row r="17907" s="166" customFormat="1" x14ac:dyDescent="0.2"/>
    <row r="17908" s="166" customFormat="1" x14ac:dyDescent="0.2"/>
    <row r="17909" s="166" customFormat="1" x14ac:dyDescent="0.2"/>
    <row r="17910" s="166" customFormat="1" x14ac:dyDescent="0.2"/>
    <row r="17911" s="166" customFormat="1" x14ac:dyDescent="0.2"/>
    <row r="17912" s="166" customFormat="1" x14ac:dyDescent="0.2"/>
    <row r="17913" s="166" customFormat="1" x14ac:dyDescent="0.2"/>
    <row r="17914" s="166" customFormat="1" x14ac:dyDescent="0.2"/>
    <row r="17915" s="166" customFormat="1" x14ac:dyDescent="0.2"/>
    <row r="17916" s="166" customFormat="1" x14ac:dyDescent="0.2"/>
    <row r="17917" s="166" customFormat="1" x14ac:dyDescent="0.2"/>
    <row r="17918" s="166" customFormat="1" x14ac:dyDescent="0.2"/>
    <row r="17919" s="166" customFormat="1" x14ac:dyDescent="0.2"/>
    <row r="17920" s="166" customFormat="1" x14ac:dyDescent="0.2"/>
    <row r="17921" s="166" customFormat="1" x14ac:dyDescent="0.2"/>
    <row r="17922" s="166" customFormat="1" x14ac:dyDescent="0.2"/>
    <row r="17923" s="166" customFormat="1" x14ac:dyDescent="0.2"/>
    <row r="17924" s="166" customFormat="1" x14ac:dyDescent="0.2"/>
    <row r="17925" s="166" customFormat="1" x14ac:dyDescent="0.2"/>
    <row r="17926" s="166" customFormat="1" x14ac:dyDescent="0.2"/>
    <row r="17927" s="166" customFormat="1" x14ac:dyDescent="0.2"/>
    <row r="17928" s="166" customFormat="1" x14ac:dyDescent="0.2"/>
    <row r="17929" s="166" customFormat="1" x14ac:dyDescent="0.2"/>
    <row r="17930" s="166" customFormat="1" x14ac:dyDescent="0.2"/>
    <row r="17931" s="166" customFormat="1" x14ac:dyDescent="0.2"/>
    <row r="17932" s="166" customFormat="1" x14ac:dyDescent="0.2"/>
    <row r="17933" s="166" customFormat="1" x14ac:dyDescent="0.2"/>
    <row r="17934" s="166" customFormat="1" x14ac:dyDescent="0.2"/>
    <row r="17935" s="166" customFormat="1" x14ac:dyDescent="0.2"/>
    <row r="17936" s="166" customFormat="1" x14ac:dyDescent="0.2"/>
    <row r="17937" s="166" customFormat="1" x14ac:dyDescent="0.2"/>
    <row r="17938" s="166" customFormat="1" x14ac:dyDescent="0.2"/>
    <row r="17939" s="166" customFormat="1" x14ac:dyDescent="0.2"/>
    <row r="17940" s="166" customFormat="1" x14ac:dyDescent="0.2"/>
    <row r="17941" s="166" customFormat="1" x14ac:dyDescent="0.2"/>
    <row r="17942" s="166" customFormat="1" x14ac:dyDescent="0.2"/>
    <row r="17943" s="166" customFormat="1" x14ac:dyDescent="0.2"/>
    <row r="17944" s="166" customFormat="1" x14ac:dyDescent="0.2"/>
    <row r="17945" s="166" customFormat="1" x14ac:dyDescent="0.2"/>
    <row r="17946" s="166" customFormat="1" x14ac:dyDescent="0.2"/>
    <row r="17947" s="166" customFormat="1" x14ac:dyDescent="0.2"/>
    <row r="17948" s="166" customFormat="1" x14ac:dyDescent="0.2"/>
    <row r="17949" s="166" customFormat="1" x14ac:dyDescent="0.2"/>
    <row r="17950" s="166" customFormat="1" x14ac:dyDescent="0.2"/>
    <row r="17951" s="166" customFormat="1" x14ac:dyDescent="0.2"/>
    <row r="17952" s="166" customFormat="1" x14ac:dyDescent="0.2"/>
    <row r="17953" s="166" customFormat="1" x14ac:dyDescent="0.2"/>
    <row r="17954" s="166" customFormat="1" x14ac:dyDescent="0.2"/>
    <row r="17955" s="166" customFormat="1" x14ac:dyDescent="0.2"/>
    <row r="17956" s="166" customFormat="1" x14ac:dyDescent="0.2"/>
    <row r="17957" s="166" customFormat="1" x14ac:dyDescent="0.2"/>
    <row r="17958" s="166" customFormat="1" x14ac:dyDescent="0.2"/>
    <row r="17959" s="166" customFormat="1" x14ac:dyDescent="0.2"/>
    <row r="17960" s="166" customFormat="1" x14ac:dyDescent="0.2"/>
    <row r="17961" s="166" customFormat="1" x14ac:dyDescent="0.2"/>
    <row r="17962" s="166" customFormat="1" x14ac:dyDescent="0.2"/>
    <row r="17963" s="166" customFormat="1" x14ac:dyDescent="0.2"/>
    <row r="17964" s="166" customFormat="1" x14ac:dyDescent="0.2"/>
    <row r="17965" s="166" customFormat="1" x14ac:dyDescent="0.2"/>
    <row r="17966" s="166" customFormat="1" x14ac:dyDescent="0.2"/>
    <row r="17967" s="166" customFormat="1" x14ac:dyDescent="0.2"/>
    <row r="17968" s="166" customFormat="1" x14ac:dyDescent="0.2"/>
    <row r="17969" s="166" customFormat="1" x14ac:dyDescent="0.2"/>
    <row r="17970" s="166" customFormat="1" x14ac:dyDescent="0.2"/>
    <row r="17971" s="166" customFormat="1" x14ac:dyDescent="0.2"/>
    <row r="17972" s="166" customFormat="1" x14ac:dyDescent="0.2"/>
    <row r="17973" s="166" customFormat="1" x14ac:dyDescent="0.2"/>
    <row r="17974" s="166" customFormat="1" x14ac:dyDescent="0.2"/>
    <row r="17975" s="166" customFormat="1" x14ac:dyDescent="0.2"/>
    <row r="17976" s="166" customFormat="1" x14ac:dyDescent="0.2"/>
    <row r="17977" s="166" customFormat="1" x14ac:dyDescent="0.2"/>
    <row r="17978" s="166" customFormat="1" x14ac:dyDescent="0.2"/>
    <row r="17979" s="166" customFormat="1" x14ac:dyDescent="0.2"/>
    <row r="17980" s="166" customFormat="1" x14ac:dyDescent="0.2"/>
    <row r="17981" s="166" customFormat="1" x14ac:dyDescent="0.2"/>
    <row r="17982" s="166" customFormat="1" x14ac:dyDescent="0.2"/>
    <row r="17983" s="166" customFormat="1" x14ac:dyDescent="0.2"/>
    <row r="17984" s="166" customFormat="1" x14ac:dyDescent="0.2"/>
    <row r="17985" s="166" customFormat="1" x14ac:dyDescent="0.2"/>
    <row r="17986" s="166" customFormat="1" x14ac:dyDescent="0.2"/>
    <row r="17987" s="166" customFormat="1" x14ac:dyDescent="0.2"/>
    <row r="17988" s="166" customFormat="1" x14ac:dyDescent="0.2"/>
    <row r="17989" s="166" customFormat="1" x14ac:dyDescent="0.2"/>
    <row r="17990" s="166" customFormat="1" x14ac:dyDescent="0.2"/>
    <row r="17991" s="166" customFormat="1" x14ac:dyDescent="0.2"/>
    <row r="17992" s="166" customFormat="1" x14ac:dyDescent="0.2"/>
    <row r="17993" s="166" customFormat="1" x14ac:dyDescent="0.2"/>
    <row r="17994" s="166" customFormat="1" x14ac:dyDescent="0.2"/>
    <row r="17995" s="166" customFormat="1" x14ac:dyDescent="0.2"/>
    <row r="17996" s="166" customFormat="1" x14ac:dyDescent="0.2"/>
    <row r="17997" s="166" customFormat="1" x14ac:dyDescent="0.2"/>
    <row r="17998" s="166" customFormat="1" x14ac:dyDescent="0.2"/>
    <row r="17999" s="166" customFormat="1" x14ac:dyDescent="0.2"/>
    <row r="18000" s="166" customFormat="1" x14ac:dyDescent="0.2"/>
    <row r="18001" s="166" customFormat="1" x14ac:dyDescent="0.2"/>
    <row r="18002" s="166" customFormat="1" x14ac:dyDescent="0.2"/>
    <row r="18003" s="166" customFormat="1" x14ac:dyDescent="0.2"/>
    <row r="18004" s="166" customFormat="1" x14ac:dyDescent="0.2"/>
    <row r="18005" s="166" customFormat="1" x14ac:dyDescent="0.2"/>
    <row r="18006" s="166" customFormat="1" x14ac:dyDescent="0.2"/>
    <row r="18007" s="166" customFormat="1" x14ac:dyDescent="0.2"/>
    <row r="18008" s="166" customFormat="1" x14ac:dyDescent="0.2"/>
    <row r="18009" s="166" customFormat="1" x14ac:dyDescent="0.2"/>
    <row r="18010" s="166" customFormat="1" x14ac:dyDescent="0.2"/>
    <row r="18011" s="166" customFormat="1" x14ac:dyDescent="0.2"/>
    <row r="18012" s="166" customFormat="1" x14ac:dyDescent="0.2"/>
    <row r="18013" s="166" customFormat="1" x14ac:dyDescent="0.2"/>
    <row r="18014" s="166" customFormat="1" x14ac:dyDescent="0.2"/>
    <row r="18015" s="166" customFormat="1" x14ac:dyDescent="0.2"/>
    <row r="18016" s="166" customFormat="1" x14ac:dyDescent="0.2"/>
    <row r="18017" s="166" customFormat="1" x14ac:dyDescent="0.2"/>
    <row r="18018" s="166" customFormat="1" x14ac:dyDescent="0.2"/>
    <row r="18019" s="166" customFormat="1" x14ac:dyDescent="0.2"/>
    <row r="18020" s="166" customFormat="1" x14ac:dyDescent="0.2"/>
    <row r="18021" s="166" customFormat="1" x14ac:dyDescent="0.2"/>
    <row r="18022" s="166" customFormat="1" x14ac:dyDescent="0.2"/>
    <row r="18023" s="166" customFormat="1" x14ac:dyDescent="0.2"/>
    <row r="18024" s="166" customFormat="1" x14ac:dyDescent="0.2"/>
    <row r="18025" s="166" customFormat="1" x14ac:dyDescent="0.2"/>
    <row r="18026" s="166" customFormat="1" x14ac:dyDescent="0.2"/>
    <row r="18027" s="166" customFormat="1" x14ac:dyDescent="0.2"/>
    <row r="18028" s="166" customFormat="1" x14ac:dyDescent="0.2"/>
    <row r="18029" s="166" customFormat="1" x14ac:dyDescent="0.2"/>
    <row r="18030" s="166" customFormat="1" x14ac:dyDescent="0.2"/>
    <row r="18031" s="166" customFormat="1" x14ac:dyDescent="0.2"/>
    <row r="18032" s="166" customFormat="1" x14ac:dyDescent="0.2"/>
    <row r="18033" s="166" customFormat="1" x14ac:dyDescent="0.2"/>
    <row r="18034" s="166" customFormat="1" x14ac:dyDescent="0.2"/>
    <row r="18035" s="166" customFormat="1" x14ac:dyDescent="0.2"/>
    <row r="18036" s="166" customFormat="1" x14ac:dyDescent="0.2"/>
    <row r="18037" s="166" customFormat="1" x14ac:dyDescent="0.2"/>
    <row r="18038" s="166" customFormat="1" x14ac:dyDescent="0.2"/>
    <row r="18039" s="166" customFormat="1" x14ac:dyDescent="0.2"/>
    <row r="18040" s="166" customFormat="1" x14ac:dyDescent="0.2"/>
    <row r="18041" s="166" customFormat="1" x14ac:dyDescent="0.2"/>
    <row r="18042" s="166" customFormat="1" x14ac:dyDescent="0.2"/>
    <row r="18043" s="166" customFormat="1" x14ac:dyDescent="0.2"/>
    <row r="18044" s="166" customFormat="1" x14ac:dyDescent="0.2"/>
    <row r="18045" s="166" customFormat="1" x14ac:dyDescent="0.2"/>
    <row r="18046" s="166" customFormat="1" x14ac:dyDescent="0.2"/>
    <row r="18047" s="166" customFormat="1" x14ac:dyDescent="0.2"/>
    <row r="18048" s="166" customFormat="1" x14ac:dyDescent="0.2"/>
    <row r="18049" s="166" customFormat="1" x14ac:dyDescent="0.2"/>
    <row r="18050" s="166" customFormat="1" x14ac:dyDescent="0.2"/>
    <row r="18051" s="166" customFormat="1" x14ac:dyDescent="0.2"/>
    <row r="18052" s="166" customFormat="1" x14ac:dyDescent="0.2"/>
    <row r="18053" s="166" customFormat="1" x14ac:dyDescent="0.2"/>
    <row r="18054" s="166" customFormat="1" x14ac:dyDescent="0.2"/>
    <row r="18055" s="166" customFormat="1" x14ac:dyDescent="0.2"/>
    <row r="18056" s="166" customFormat="1" x14ac:dyDescent="0.2"/>
    <row r="18057" s="166" customFormat="1" x14ac:dyDescent="0.2"/>
    <row r="18058" s="166" customFormat="1" x14ac:dyDescent="0.2"/>
    <row r="18059" s="166" customFormat="1" x14ac:dyDescent="0.2"/>
    <row r="18060" s="166" customFormat="1" x14ac:dyDescent="0.2"/>
    <row r="18061" s="166" customFormat="1" x14ac:dyDescent="0.2"/>
    <row r="18062" s="166" customFormat="1" x14ac:dyDescent="0.2"/>
    <row r="18063" s="166" customFormat="1" x14ac:dyDescent="0.2"/>
    <row r="18064" s="166" customFormat="1" x14ac:dyDescent="0.2"/>
    <row r="18065" s="166" customFormat="1" x14ac:dyDescent="0.2"/>
    <row r="18066" s="166" customFormat="1" x14ac:dyDescent="0.2"/>
    <row r="18067" s="166" customFormat="1" x14ac:dyDescent="0.2"/>
    <row r="18068" s="166" customFormat="1" x14ac:dyDescent="0.2"/>
    <row r="18069" s="166" customFormat="1" x14ac:dyDescent="0.2"/>
    <row r="18070" s="166" customFormat="1" x14ac:dyDescent="0.2"/>
    <row r="18071" s="166" customFormat="1" x14ac:dyDescent="0.2"/>
    <row r="18072" s="166" customFormat="1" x14ac:dyDescent="0.2"/>
    <row r="18073" s="166" customFormat="1" x14ac:dyDescent="0.2"/>
    <row r="18074" s="166" customFormat="1" x14ac:dyDescent="0.2"/>
    <row r="18075" s="166" customFormat="1" x14ac:dyDescent="0.2"/>
    <row r="18076" s="166" customFormat="1" x14ac:dyDescent="0.2"/>
    <row r="18077" s="166" customFormat="1" x14ac:dyDescent="0.2"/>
    <row r="18078" s="166" customFormat="1" x14ac:dyDescent="0.2"/>
    <row r="18079" s="166" customFormat="1" x14ac:dyDescent="0.2"/>
    <row r="18080" s="166" customFormat="1" x14ac:dyDescent="0.2"/>
    <row r="18081" s="166" customFormat="1" x14ac:dyDescent="0.2"/>
    <row r="18082" s="166" customFormat="1" x14ac:dyDescent="0.2"/>
    <row r="18083" s="166" customFormat="1" x14ac:dyDescent="0.2"/>
    <row r="18084" s="166" customFormat="1" x14ac:dyDescent="0.2"/>
    <row r="18085" s="166" customFormat="1" x14ac:dyDescent="0.2"/>
    <row r="18086" s="166" customFormat="1" x14ac:dyDescent="0.2"/>
    <row r="18087" s="166" customFormat="1" x14ac:dyDescent="0.2"/>
    <row r="18088" s="166" customFormat="1" x14ac:dyDescent="0.2"/>
    <row r="18089" s="166" customFormat="1" x14ac:dyDescent="0.2"/>
    <row r="18090" s="166" customFormat="1" x14ac:dyDescent="0.2"/>
    <row r="18091" s="166" customFormat="1" x14ac:dyDescent="0.2"/>
    <row r="18092" s="166" customFormat="1" x14ac:dyDescent="0.2"/>
    <row r="18093" s="166" customFormat="1" x14ac:dyDescent="0.2"/>
    <row r="18094" s="166" customFormat="1" x14ac:dyDescent="0.2"/>
    <row r="18095" s="166" customFormat="1" x14ac:dyDescent="0.2"/>
    <row r="18096" s="166" customFormat="1" x14ac:dyDescent="0.2"/>
    <row r="18097" s="166" customFormat="1" x14ac:dyDescent="0.2"/>
    <row r="18098" s="166" customFormat="1" x14ac:dyDescent="0.2"/>
    <row r="18099" s="166" customFormat="1" x14ac:dyDescent="0.2"/>
    <row r="18100" s="166" customFormat="1" x14ac:dyDescent="0.2"/>
    <row r="18101" s="166" customFormat="1" x14ac:dyDescent="0.2"/>
    <row r="18102" s="166" customFormat="1" x14ac:dyDescent="0.2"/>
    <row r="18103" s="166" customFormat="1" x14ac:dyDescent="0.2"/>
    <row r="18104" s="166" customFormat="1" x14ac:dyDescent="0.2"/>
    <row r="18105" s="166" customFormat="1" x14ac:dyDescent="0.2"/>
    <row r="18106" s="166" customFormat="1" x14ac:dyDescent="0.2"/>
    <row r="18107" s="166" customFormat="1" x14ac:dyDescent="0.2"/>
    <row r="18108" s="166" customFormat="1" x14ac:dyDescent="0.2"/>
    <row r="18109" s="166" customFormat="1" x14ac:dyDescent="0.2"/>
    <row r="18110" s="166" customFormat="1" x14ac:dyDescent="0.2"/>
    <row r="18111" s="166" customFormat="1" x14ac:dyDescent="0.2"/>
    <row r="18112" s="166" customFormat="1" x14ac:dyDescent="0.2"/>
    <row r="18113" s="166" customFormat="1" x14ac:dyDescent="0.2"/>
    <row r="18114" s="166" customFormat="1" x14ac:dyDescent="0.2"/>
    <row r="18115" s="166" customFormat="1" x14ac:dyDescent="0.2"/>
    <row r="18116" s="166" customFormat="1" x14ac:dyDescent="0.2"/>
    <row r="18117" s="166" customFormat="1" x14ac:dyDescent="0.2"/>
    <row r="18118" s="166" customFormat="1" x14ac:dyDescent="0.2"/>
    <row r="18119" s="166" customFormat="1" x14ac:dyDescent="0.2"/>
    <row r="18120" s="166" customFormat="1" x14ac:dyDescent="0.2"/>
    <row r="18121" s="166" customFormat="1" x14ac:dyDescent="0.2"/>
    <row r="18122" s="166" customFormat="1" x14ac:dyDescent="0.2"/>
    <row r="18123" s="166" customFormat="1" x14ac:dyDescent="0.2"/>
    <row r="18124" s="166" customFormat="1" x14ac:dyDescent="0.2"/>
    <row r="18125" s="166" customFormat="1" x14ac:dyDescent="0.2"/>
    <row r="18126" s="166" customFormat="1" x14ac:dyDescent="0.2"/>
    <row r="18127" s="166" customFormat="1" x14ac:dyDescent="0.2"/>
    <row r="18128" s="166" customFormat="1" x14ac:dyDescent="0.2"/>
    <row r="18129" s="166" customFormat="1" x14ac:dyDescent="0.2"/>
    <row r="18130" s="166" customFormat="1" x14ac:dyDescent="0.2"/>
    <row r="18131" s="166" customFormat="1" x14ac:dyDescent="0.2"/>
    <row r="18132" s="166" customFormat="1" x14ac:dyDescent="0.2"/>
    <row r="18133" s="166" customFormat="1" x14ac:dyDescent="0.2"/>
    <row r="18134" s="166" customFormat="1" x14ac:dyDescent="0.2"/>
    <row r="18135" s="166" customFormat="1" x14ac:dyDescent="0.2"/>
    <row r="18136" s="166" customFormat="1" x14ac:dyDescent="0.2"/>
    <row r="18137" s="166" customFormat="1" x14ac:dyDescent="0.2"/>
    <row r="18138" s="166" customFormat="1" x14ac:dyDescent="0.2"/>
    <row r="18139" s="166" customFormat="1" x14ac:dyDescent="0.2"/>
    <row r="18140" s="166" customFormat="1" x14ac:dyDescent="0.2"/>
    <row r="18141" s="166" customFormat="1" x14ac:dyDescent="0.2"/>
    <row r="18142" s="166" customFormat="1" x14ac:dyDescent="0.2"/>
    <row r="18143" s="166" customFormat="1" x14ac:dyDescent="0.2"/>
    <row r="18144" s="166" customFormat="1" x14ac:dyDescent="0.2"/>
    <row r="18145" s="166" customFormat="1" x14ac:dyDescent="0.2"/>
    <row r="18146" s="166" customFormat="1" x14ac:dyDescent="0.2"/>
    <row r="18147" s="166" customFormat="1" x14ac:dyDescent="0.2"/>
    <row r="18148" s="166" customFormat="1" x14ac:dyDescent="0.2"/>
    <row r="18149" s="166" customFormat="1" x14ac:dyDescent="0.2"/>
    <row r="18150" s="166" customFormat="1" x14ac:dyDescent="0.2"/>
    <row r="18151" s="166" customFormat="1" x14ac:dyDescent="0.2"/>
    <row r="18152" s="166" customFormat="1" x14ac:dyDescent="0.2"/>
    <row r="18153" s="166" customFormat="1" x14ac:dyDescent="0.2"/>
    <row r="18154" s="166" customFormat="1" x14ac:dyDescent="0.2"/>
    <row r="18155" s="166" customFormat="1" x14ac:dyDescent="0.2"/>
    <row r="18156" s="166" customFormat="1" x14ac:dyDescent="0.2"/>
    <row r="18157" s="166" customFormat="1" x14ac:dyDescent="0.2"/>
    <row r="18158" s="166" customFormat="1" x14ac:dyDescent="0.2"/>
    <row r="18159" s="166" customFormat="1" x14ac:dyDescent="0.2"/>
    <row r="18160" s="166" customFormat="1" x14ac:dyDescent="0.2"/>
    <row r="18161" s="166" customFormat="1" x14ac:dyDescent="0.2"/>
    <row r="18162" s="166" customFormat="1" x14ac:dyDescent="0.2"/>
    <row r="18163" s="166" customFormat="1" x14ac:dyDescent="0.2"/>
    <row r="18164" s="166" customFormat="1" x14ac:dyDescent="0.2"/>
    <row r="18165" s="166" customFormat="1" x14ac:dyDescent="0.2"/>
    <row r="18166" s="166" customFormat="1" x14ac:dyDescent="0.2"/>
    <row r="18167" s="166" customFormat="1" x14ac:dyDescent="0.2"/>
    <row r="18168" s="166" customFormat="1" x14ac:dyDescent="0.2"/>
    <row r="18169" s="166" customFormat="1" x14ac:dyDescent="0.2"/>
    <row r="18170" s="166" customFormat="1" x14ac:dyDescent="0.2"/>
    <row r="18171" s="166" customFormat="1" x14ac:dyDescent="0.2"/>
    <row r="18172" s="166" customFormat="1" x14ac:dyDescent="0.2"/>
    <row r="18173" s="166" customFormat="1" x14ac:dyDescent="0.2"/>
    <row r="18174" s="166" customFormat="1" x14ac:dyDescent="0.2"/>
    <row r="18175" s="166" customFormat="1" x14ac:dyDescent="0.2"/>
    <row r="18176" s="166" customFormat="1" x14ac:dyDescent="0.2"/>
    <row r="18177" s="166" customFormat="1" x14ac:dyDescent="0.2"/>
    <row r="18178" s="166" customFormat="1" x14ac:dyDescent="0.2"/>
    <row r="18179" s="166" customFormat="1" x14ac:dyDescent="0.2"/>
    <row r="18180" s="166" customFormat="1" x14ac:dyDescent="0.2"/>
    <row r="18181" s="166" customFormat="1" x14ac:dyDescent="0.2"/>
    <row r="18182" s="166" customFormat="1" x14ac:dyDescent="0.2"/>
    <row r="18183" s="166" customFormat="1" x14ac:dyDescent="0.2"/>
    <row r="18184" s="166" customFormat="1" x14ac:dyDescent="0.2"/>
    <row r="18185" s="166" customFormat="1" x14ac:dyDescent="0.2"/>
    <row r="18186" s="166" customFormat="1" x14ac:dyDescent="0.2"/>
    <row r="18187" s="166" customFormat="1" x14ac:dyDescent="0.2"/>
    <row r="18188" s="166" customFormat="1" x14ac:dyDescent="0.2"/>
    <row r="18189" s="166" customFormat="1" x14ac:dyDescent="0.2"/>
    <row r="18190" s="166" customFormat="1" x14ac:dyDescent="0.2"/>
    <row r="18191" s="166" customFormat="1" x14ac:dyDescent="0.2"/>
    <row r="18192" s="166" customFormat="1" x14ac:dyDescent="0.2"/>
    <row r="18193" s="166" customFormat="1" x14ac:dyDescent="0.2"/>
    <row r="18194" s="166" customFormat="1" x14ac:dyDescent="0.2"/>
    <row r="18195" s="166" customFormat="1" x14ac:dyDescent="0.2"/>
    <row r="18196" s="166" customFormat="1" x14ac:dyDescent="0.2"/>
    <row r="18197" s="166" customFormat="1" x14ac:dyDescent="0.2"/>
    <row r="18198" s="166" customFormat="1" x14ac:dyDescent="0.2"/>
    <row r="18199" s="166" customFormat="1" x14ac:dyDescent="0.2"/>
    <row r="18200" s="166" customFormat="1" x14ac:dyDescent="0.2"/>
    <row r="18201" s="166" customFormat="1" x14ac:dyDescent="0.2"/>
    <row r="18202" s="166" customFormat="1" x14ac:dyDescent="0.2"/>
    <row r="18203" s="166" customFormat="1" x14ac:dyDescent="0.2"/>
    <row r="18204" s="166" customFormat="1" x14ac:dyDescent="0.2"/>
    <row r="18205" s="166" customFormat="1" x14ac:dyDescent="0.2"/>
    <row r="18206" s="166" customFormat="1" x14ac:dyDescent="0.2"/>
    <row r="18207" s="166" customFormat="1" x14ac:dyDescent="0.2"/>
    <row r="18208" s="166" customFormat="1" x14ac:dyDescent="0.2"/>
    <row r="18209" s="166" customFormat="1" x14ac:dyDescent="0.2"/>
    <row r="18210" s="166" customFormat="1" x14ac:dyDescent="0.2"/>
    <row r="18211" s="166" customFormat="1" x14ac:dyDescent="0.2"/>
    <row r="18212" s="166" customFormat="1" x14ac:dyDescent="0.2"/>
    <row r="18213" s="166" customFormat="1" x14ac:dyDescent="0.2"/>
    <row r="18214" s="166" customFormat="1" x14ac:dyDescent="0.2"/>
    <row r="18215" s="166" customFormat="1" x14ac:dyDescent="0.2"/>
    <row r="18216" s="166" customFormat="1" x14ac:dyDescent="0.2"/>
    <row r="18217" s="166" customFormat="1" x14ac:dyDescent="0.2"/>
    <row r="18218" s="166" customFormat="1" x14ac:dyDescent="0.2"/>
    <row r="18219" s="166" customFormat="1" x14ac:dyDescent="0.2"/>
    <row r="18220" s="166" customFormat="1" x14ac:dyDescent="0.2"/>
    <row r="18221" s="166" customFormat="1" x14ac:dyDescent="0.2"/>
    <row r="18222" s="166" customFormat="1" x14ac:dyDescent="0.2"/>
    <row r="18223" s="166" customFormat="1" x14ac:dyDescent="0.2"/>
    <row r="18224" s="166" customFormat="1" x14ac:dyDescent="0.2"/>
    <row r="18225" s="166" customFormat="1" x14ac:dyDescent="0.2"/>
    <row r="18226" s="166" customFormat="1" x14ac:dyDescent="0.2"/>
    <row r="18227" s="166" customFormat="1" x14ac:dyDescent="0.2"/>
    <row r="18228" s="166" customFormat="1" x14ac:dyDescent="0.2"/>
    <row r="18229" s="166" customFormat="1" x14ac:dyDescent="0.2"/>
    <row r="18230" s="166" customFormat="1" x14ac:dyDescent="0.2"/>
    <row r="18231" s="166" customFormat="1" x14ac:dyDescent="0.2"/>
    <row r="18232" s="166" customFormat="1" x14ac:dyDescent="0.2"/>
    <row r="18233" s="166" customFormat="1" x14ac:dyDescent="0.2"/>
    <row r="18234" s="166" customFormat="1" x14ac:dyDescent="0.2"/>
    <row r="18235" s="166" customFormat="1" x14ac:dyDescent="0.2"/>
    <row r="18236" s="166" customFormat="1" x14ac:dyDescent="0.2"/>
    <row r="18237" s="166" customFormat="1" x14ac:dyDescent="0.2"/>
    <row r="18238" s="166" customFormat="1" x14ac:dyDescent="0.2"/>
    <row r="18239" s="166" customFormat="1" x14ac:dyDescent="0.2"/>
    <row r="18240" s="166" customFormat="1" x14ac:dyDescent="0.2"/>
    <row r="18241" s="166" customFormat="1" x14ac:dyDescent="0.2"/>
    <row r="18242" s="166" customFormat="1" x14ac:dyDescent="0.2"/>
    <row r="18243" s="166" customFormat="1" x14ac:dyDescent="0.2"/>
    <row r="18244" s="166" customFormat="1" x14ac:dyDescent="0.2"/>
    <row r="18245" s="166" customFormat="1" x14ac:dyDescent="0.2"/>
    <row r="18246" s="166" customFormat="1" x14ac:dyDescent="0.2"/>
    <row r="18247" s="166" customFormat="1" x14ac:dyDescent="0.2"/>
    <row r="18248" s="166" customFormat="1" x14ac:dyDescent="0.2"/>
    <row r="18249" s="166" customFormat="1" x14ac:dyDescent="0.2"/>
    <row r="18250" s="166" customFormat="1" x14ac:dyDescent="0.2"/>
    <row r="18251" s="166" customFormat="1" x14ac:dyDescent="0.2"/>
    <row r="18252" s="166" customFormat="1" x14ac:dyDescent="0.2"/>
    <row r="18253" s="166" customFormat="1" x14ac:dyDescent="0.2"/>
    <row r="18254" s="166" customFormat="1" x14ac:dyDescent="0.2"/>
    <row r="18255" s="166" customFormat="1" x14ac:dyDescent="0.2"/>
    <row r="18256" s="166" customFormat="1" x14ac:dyDescent="0.2"/>
    <row r="18257" s="166" customFormat="1" x14ac:dyDescent="0.2"/>
    <row r="18258" s="166" customFormat="1" x14ac:dyDescent="0.2"/>
    <row r="18259" s="166" customFormat="1" x14ac:dyDescent="0.2"/>
    <row r="18260" s="166" customFormat="1" x14ac:dyDescent="0.2"/>
    <row r="18261" s="166" customFormat="1" x14ac:dyDescent="0.2"/>
    <row r="18262" s="166" customFormat="1" x14ac:dyDescent="0.2"/>
    <row r="18263" s="166" customFormat="1" x14ac:dyDescent="0.2"/>
    <row r="18264" s="166" customFormat="1" x14ac:dyDescent="0.2"/>
    <row r="18265" s="166" customFormat="1" x14ac:dyDescent="0.2"/>
    <row r="18266" s="166" customFormat="1" x14ac:dyDescent="0.2"/>
    <row r="18267" s="166" customFormat="1" x14ac:dyDescent="0.2"/>
    <row r="18268" s="166" customFormat="1" x14ac:dyDescent="0.2"/>
    <row r="18269" s="166" customFormat="1" x14ac:dyDescent="0.2"/>
    <row r="18270" s="166" customFormat="1" x14ac:dyDescent="0.2"/>
    <row r="18271" s="166" customFormat="1" x14ac:dyDescent="0.2"/>
    <row r="18272" s="166" customFormat="1" x14ac:dyDescent="0.2"/>
    <row r="18273" s="166" customFormat="1" x14ac:dyDescent="0.2"/>
    <row r="18274" s="166" customFormat="1" x14ac:dyDescent="0.2"/>
    <row r="18275" s="166" customFormat="1" x14ac:dyDescent="0.2"/>
    <row r="18276" s="166" customFormat="1" x14ac:dyDescent="0.2"/>
    <row r="18277" s="166" customFormat="1" x14ac:dyDescent="0.2"/>
    <row r="18278" s="166" customFormat="1" x14ac:dyDescent="0.2"/>
    <row r="18279" s="166" customFormat="1" x14ac:dyDescent="0.2"/>
    <row r="18280" s="166" customFormat="1" x14ac:dyDescent="0.2"/>
    <row r="18281" s="166" customFormat="1" x14ac:dyDescent="0.2"/>
    <row r="18282" s="166" customFormat="1" x14ac:dyDescent="0.2"/>
    <row r="18283" s="166" customFormat="1" x14ac:dyDescent="0.2"/>
    <row r="18284" s="166" customFormat="1" x14ac:dyDescent="0.2"/>
    <row r="18285" s="166" customFormat="1" x14ac:dyDescent="0.2"/>
    <row r="18286" s="166" customFormat="1" x14ac:dyDescent="0.2"/>
    <row r="18287" s="166" customFormat="1" x14ac:dyDescent="0.2"/>
    <row r="18288" s="166" customFormat="1" x14ac:dyDescent="0.2"/>
    <row r="18289" s="166" customFormat="1" x14ac:dyDescent="0.2"/>
    <row r="18290" s="166" customFormat="1" x14ac:dyDescent="0.2"/>
    <row r="18291" s="166" customFormat="1" x14ac:dyDescent="0.2"/>
    <row r="18292" s="166" customFormat="1" x14ac:dyDescent="0.2"/>
    <row r="18293" s="166" customFormat="1" x14ac:dyDescent="0.2"/>
    <row r="18294" s="166" customFormat="1" x14ac:dyDescent="0.2"/>
    <row r="18295" s="166" customFormat="1" x14ac:dyDescent="0.2"/>
    <row r="18296" s="166" customFormat="1" x14ac:dyDescent="0.2"/>
    <row r="18297" s="166" customFormat="1" x14ac:dyDescent="0.2"/>
    <row r="18298" s="166" customFormat="1" x14ac:dyDescent="0.2"/>
    <row r="18299" s="166" customFormat="1" x14ac:dyDescent="0.2"/>
    <row r="18300" s="166" customFormat="1" x14ac:dyDescent="0.2"/>
    <row r="18301" s="166" customFormat="1" x14ac:dyDescent="0.2"/>
    <row r="18302" s="166" customFormat="1" x14ac:dyDescent="0.2"/>
    <row r="18303" s="166" customFormat="1" x14ac:dyDescent="0.2"/>
    <row r="18304" s="166" customFormat="1" x14ac:dyDescent="0.2"/>
    <row r="18305" s="166" customFormat="1" x14ac:dyDescent="0.2"/>
    <row r="18306" s="166" customFormat="1" x14ac:dyDescent="0.2"/>
    <row r="18307" s="166" customFormat="1" x14ac:dyDescent="0.2"/>
    <row r="18308" s="166" customFormat="1" x14ac:dyDescent="0.2"/>
    <row r="18309" s="166" customFormat="1" x14ac:dyDescent="0.2"/>
    <row r="18310" s="166" customFormat="1" x14ac:dyDescent="0.2"/>
    <row r="18311" s="166" customFormat="1" x14ac:dyDescent="0.2"/>
    <row r="18312" s="166" customFormat="1" x14ac:dyDescent="0.2"/>
    <row r="18313" s="166" customFormat="1" x14ac:dyDescent="0.2"/>
    <row r="18314" s="166" customFormat="1" x14ac:dyDescent="0.2"/>
    <row r="18315" s="166" customFormat="1" x14ac:dyDescent="0.2"/>
    <row r="18316" s="166" customFormat="1" x14ac:dyDescent="0.2"/>
    <row r="18317" s="166" customFormat="1" x14ac:dyDescent="0.2"/>
    <row r="18318" s="166" customFormat="1" x14ac:dyDescent="0.2"/>
    <row r="18319" s="166" customFormat="1" x14ac:dyDescent="0.2"/>
    <row r="18320" s="166" customFormat="1" x14ac:dyDescent="0.2"/>
    <row r="18321" s="166" customFormat="1" x14ac:dyDescent="0.2"/>
    <row r="18322" s="166" customFormat="1" x14ac:dyDescent="0.2"/>
    <row r="18323" s="166" customFormat="1" x14ac:dyDescent="0.2"/>
    <row r="18324" s="166" customFormat="1" x14ac:dyDescent="0.2"/>
    <row r="18325" s="166" customFormat="1" x14ac:dyDescent="0.2"/>
    <row r="18326" s="166" customFormat="1" x14ac:dyDescent="0.2"/>
    <row r="18327" s="166" customFormat="1" x14ac:dyDescent="0.2"/>
    <row r="18328" s="166" customFormat="1" x14ac:dyDescent="0.2"/>
    <row r="18329" s="166" customFormat="1" x14ac:dyDescent="0.2"/>
    <row r="18330" s="166" customFormat="1" x14ac:dyDescent="0.2"/>
    <row r="18331" s="166" customFormat="1" x14ac:dyDescent="0.2"/>
    <row r="18332" s="166" customFormat="1" x14ac:dyDescent="0.2"/>
    <row r="18333" s="166" customFormat="1" x14ac:dyDescent="0.2"/>
    <row r="18334" s="166" customFormat="1" x14ac:dyDescent="0.2"/>
    <row r="18335" s="166" customFormat="1" x14ac:dyDescent="0.2"/>
    <row r="18336" s="166" customFormat="1" x14ac:dyDescent="0.2"/>
    <row r="18337" s="166" customFormat="1" x14ac:dyDescent="0.2"/>
    <row r="18338" s="166" customFormat="1" x14ac:dyDescent="0.2"/>
    <row r="18339" s="166" customFormat="1" x14ac:dyDescent="0.2"/>
    <row r="18340" s="166" customFormat="1" x14ac:dyDescent="0.2"/>
    <row r="18341" s="166" customFormat="1" x14ac:dyDescent="0.2"/>
    <row r="18342" s="166" customFormat="1" x14ac:dyDescent="0.2"/>
    <row r="18343" s="166" customFormat="1" x14ac:dyDescent="0.2"/>
    <row r="18344" s="166" customFormat="1" x14ac:dyDescent="0.2"/>
    <row r="18345" s="166" customFormat="1" x14ac:dyDescent="0.2"/>
    <row r="18346" s="166" customFormat="1" x14ac:dyDescent="0.2"/>
    <row r="18347" s="166" customFormat="1" x14ac:dyDescent="0.2"/>
    <row r="18348" s="166" customFormat="1" x14ac:dyDescent="0.2"/>
    <row r="18349" s="166" customFormat="1" x14ac:dyDescent="0.2"/>
    <row r="18350" s="166" customFormat="1" x14ac:dyDescent="0.2"/>
    <row r="18351" s="166" customFormat="1" x14ac:dyDescent="0.2"/>
    <row r="18352" s="166" customFormat="1" x14ac:dyDescent="0.2"/>
    <row r="18353" s="166" customFormat="1" x14ac:dyDescent="0.2"/>
    <row r="18354" s="166" customFormat="1" x14ac:dyDescent="0.2"/>
    <row r="18355" s="166" customFormat="1" x14ac:dyDescent="0.2"/>
    <row r="18356" s="166" customFormat="1" x14ac:dyDescent="0.2"/>
    <row r="18357" s="166" customFormat="1" x14ac:dyDescent="0.2"/>
    <row r="18358" s="166" customFormat="1" x14ac:dyDescent="0.2"/>
    <row r="18359" s="166" customFormat="1" x14ac:dyDescent="0.2"/>
    <row r="18360" s="166" customFormat="1" x14ac:dyDescent="0.2"/>
    <row r="18361" s="166" customFormat="1" x14ac:dyDescent="0.2"/>
    <row r="18362" s="166" customFormat="1" x14ac:dyDescent="0.2"/>
    <row r="18363" s="166" customFormat="1" x14ac:dyDescent="0.2"/>
    <row r="18364" s="166" customFormat="1" x14ac:dyDescent="0.2"/>
    <row r="18365" s="166" customFormat="1" x14ac:dyDescent="0.2"/>
    <row r="18366" s="166" customFormat="1" x14ac:dyDescent="0.2"/>
    <row r="18367" s="166" customFormat="1" x14ac:dyDescent="0.2"/>
    <row r="18368" s="166" customFormat="1" x14ac:dyDescent="0.2"/>
    <row r="18369" s="166" customFormat="1" x14ac:dyDescent="0.2"/>
    <row r="18370" s="166" customFormat="1" x14ac:dyDescent="0.2"/>
    <row r="18371" s="166" customFormat="1" x14ac:dyDescent="0.2"/>
    <row r="18372" s="166" customFormat="1" x14ac:dyDescent="0.2"/>
    <row r="18373" s="166" customFormat="1" x14ac:dyDescent="0.2"/>
    <row r="18374" s="166" customFormat="1" x14ac:dyDescent="0.2"/>
    <row r="18375" s="166" customFormat="1" x14ac:dyDescent="0.2"/>
    <row r="18376" s="166" customFormat="1" x14ac:dyDescent="0.2"/>
    <row r="18377" s="166" customFormat="1" x14ac:dyDescent="0.2"/>
    <row r="18378" s="166" customFormat="1" x14ac:dyDescent="0.2"/>
    <row r="18379" s="166" customFormat="1" x14ac:dyDescent="0.2"/>
    <row r="18380" s="166" customFormat="1" x14ac:dyDescent="0.2"/>
    <row r="18381" s="166" customFormat="1" x14ac:dyDescent="0.2"/>
    <row r="18382" s="166" customFormat="1" x14ac:dyDescent="0.2"/>
    <row r="18383" s="166" customFormat="1" x14ac:dyDescent="0.2"/>
    <row r="18384" s="166" customFormat="1" x14ac:dyDescent="0.2"/>
    <row r="18385" s="166" customFormat="1" x14ac:dyDescent="0.2"/>
    <row r="18386" s="166" customFormat="1" x14ac:dyDescent="0.2"/>
    <row r="18387" s="166" customFormat="1" x14ac:dyDescent="0.2"/>
    <row r="18388" s="166" customFormat="1" x14ac:dyDescent="0.2"/>
    <row r="18389" s="166" customFormat="1" x14ac:dyDescent="0.2"/>
    <row r="18390" s="166" customFormat="1" x14ac:dyDescent="0.2"/>
    <row r="18391" s="166" customFormat="1" x14ac:dyDescent="0.2"/>
    <row r="18392" s="166" customFormat="1" x14ac:dyDescent="0.2"/>
    <row r="18393" s="166" customFormat="1" x14ac:dyDescent="0.2"/>
    <row r="18394" s="166" customFormat="1" x14ac:dyDescent="0.2"/>
    <row r="18395" s="166" customFormat="1" x14ac:dyDescent="0.2"/>
    <row r="18396" s="166" customFormat="1" x14ac:dyDescent="0.2"/>
    <row r="18397" s="166" customFormat="1" x14ac:dyDescent="0.2"/>
    <row r="18398" s="166" customFormat="1" x14ac:dyDescent="0.2"/>
    <row r="18399" s="166" customFormat="1" x14ac:dyDescent="0.2"/>
    <row r="18400" s="166" customFormat="1" x14ac:dyDescent="0.2"/>
    <row r="18401" s="166" customFormat="1" x14ac:dyDescent="0.2"/>
    <row r="18402" s="166" customFormat="1" x14ac:dyDescent="0.2"/>
    <row r="18403" s="166" customFormat="1" x14ac:dyDescent="0.2"/>
    <row r="18404" s="166" customFormat="1" x14ac:dyDescent="0.2"/>
    <row r="18405" s="166" customFormat="1" x14ac:dyDescent="0.2"/>
    <row r="18406" s="166" customFormat="1" x14ac:dyDescent="0.2"/>
    <row r="18407" s="166" customFormat="1" x14ac:dyDescent="0.2"/>
    <row r="18408" s="166" customFormat="1" x14ac:dyDescent="0.2"/>
    <row r="18409" s="166" customFormat="1" x14ac:dyDescent="0.2"/>
    <row r="18410" s="166" customFormat="1" x14ac:dyDescent="0.2"/>
    <row r="18411" s="166" customFormat="1" x14ac:dyDescent="0.2"/>
    <row r="18412" s="166" customFormat="1" x14ac:dyDescent="0.2"/>
    <row r="18413" s="166" customFormat="1" x14ac:dyDescent="0.2"/>
    <row r="18414" s="166" customFormat="1" x14ac:dyDescent="0.2"/>
    <row r="18415" s="166" customFormat="1" x14ac:dyDescent="0.2"/>
    <row r="18416" s="166" customFormat="1" x14ac:dyDescent="0.2"/>
    <row r="18417" s="166" customFormat="1" x14ac:dyDescent="0.2"/>
    <row r="18418" s="166" customFormat="1" x14ac:dyDescent="0.2"/>
    <row r="18419" s="166" customFormat="1" x14ac:dyDescent="0.2"/>
    <row r="18420" s="166" customFormat="1" x14ac:dyDescent="0.2"/>
    <row r="18421" s="166" customFormat="1" x14ac:dyDescent="0.2"/>
    <row r="18422" s="166" customFormat="1" x14ac:dyDescent="0.2"/>
    <row r="18423" s="166" customFormat="1" x14ac:dyDescent="0.2"/>
    <row r="18424" s="166" customFormat="1" x14ac:dyDescent="0.2"/>
    <row r="18425" s="166" customFormat="1" x14ac:dyDescent="0.2"/>
    <row r="18426" s="166" customFormat="1" x14ac:dyDescent="0.2"/>
    <row r="18427" s="166" customFormat="1" x14ac:dyDescent="0.2"/>
    <row r="18428" s="166" customFormat="1" x14ac:dyDescent="0.2"/>
    <row r="18429" s="166" customFormat="1" x14ac:dyDescent="0.2"/>
    <row r="18430" s="166" customFormat="1" x14ac:dyDescent="0.2"/>
    <row r="18431" s="166" customFormat="1" x14ac:dyDescent="0.2"/>
    <row r="18432" s="166" customFormat="1" x14ac:dyDescent="0.2"/>
    <row r="18433" s="166" customFormat="1" x14ac:dyDescent="0.2"/>
    <row r="18434" s="166" customFormat="1" x14ac:dyDescent="0.2"/>
    <row r="18435" s="166" customFormat="1" x14ac:dyDescent="0.2"/>
    <row r="18436" s="166" customFormat="1" x14ac:dyDescent="0.2"/>
    <row r="18437" s="166" customFormat="1" x14ac:dyDescent="0.2"/>
    <row r="18438" s="166" customFormat="1" x14ac:dyDescent="0.2"/>
    <row r="18439" s="166" customFormat="1" x14ac:dyDescent="0.2"/>
    <row r="18440" s="166" customFormat="1" x14ac:dyDescent="0.2"/>
    <row r="18441" s="166" customFormat="1" x14ac:dyDescent="0.2"/>
    <row r="18442" s="166" customFormat="1" x14ac:dyDescent="0.2"/>
    <row r="18443" s="166" customFormat="1" x14ac:dyDescent="0.2"/>
    <row r="18444" s="166" customFormat="1" x14ac:dyDescent="0.2"/>
    <row r="18445" s="166" customFormat="1" x14ac:dyDescent="0.2"/>
    <row r="18446" s="166" customFormat="1" x14ac:dyDescent="0.2"/>
    <row r="18447" s="166" customFormat="1" x14ac:dyDescent="0.2"/>
    <row r="18448" s="166" customFormat="1" x14ac:dyDescent="0.2"/>
    <row r="18449" s="166" customFormat="1" x14ac:dyDescent="0.2"/>
    <row r="18450" s="166" customFormat="1" x14ac:dyDescent="0.2"/>
    <row r="18451" s="166" customFormat="1" x14ac:dyDescent="0.2"/>
    <row r="18452" s="166" customFormat="1" x14ac:dyDescent="0.2"/>
    <row r="18453" s="166" customFormat="1" x14ac:dyDescent="0.2"/>
    <row r="18454" s="166" customFormat="1" x14ac:dyDescent="0.2"/>
    <row r="18455" s="166" customFormat="1" x14ac:dyDescent="0.2"/>
    <row r="18456" s="166" customFormat="1" x14ac:dyDescent="0.2"/>
    <row r="18457" s="166" customFormat="1" x14ac:dyDescent="0.2"/>
    <row r="18458" s="166" customFormat="1" x14ac:dyDescent="0.2"/>
    <row r="18459" s="166" customFormat="1" x14ac:dyDescent="0.2"/>
    <row r="18460" s="166" customFormat="1" x14ac:dyDescent="0.2"/>
    <row r="18461" s="166" customFormat="1" x14ac:dyDescent="0.2"/>
    <row r="18462" s="166" customFormat="1" x14ac:dyDescent="0.2"/>
    <row r="18463" s="166" customFormat="1" x14ac:dyDescent="0.2"/>
    <row r="18464" s="166" customFormat="1" x14ac:dyDescent="0.2"/>
    <row r="18465" s="166" customFormat="1" x14ac:dyDescent="0.2"/>
    <row r="18466" s="166" customFormat="1" x14ac:dyDescent="0.2"/>
    <row r="18467" s="166" customFormat="1" x14ac:dyDescent="0.2"/>
    <row r="18468" s="166" customFormat="1" x14ac:dyDescent="0.2"/>
    <row r="18469" s="166" customFormat="1" x14ac:dyDescent="0.2"/>
    <row r="18470" s="166" customFormat="1" x14ac:dyDescent="0.2"/>
    <row r="18471" s="166" customFormat="1" x14ac:dyDescent="0.2"/>
    <row r="18472" s="166" customFormat="1" x14ac:dyDescent="0.2"/>
    <row r="18473" s="166" customFormat="1" x14ac:dyDescent="0.2"/>
    <row r="18474" s="166" customFormat="1" x14ac:dyDescent="0.2"/>
    <row r="18475" s="166" customFormat="1" x14ac:dyDescent="0.2"/>
    <row r="18476" s="166" customFormat="1" x14ac:dyDescent="0.2"/>
    <row r="18477" s="166" customFormat="1" x14ac:dyDescent="0.2"/>
    <row r="18478" s="166" customFormat="1" x14ac:dyDescent="0.2"/>
    <row r="18479" s="166" customFormat="1" x14ac:dyDescent="0.2"/>
    <row r="18480" s="166" customFormat="1" x14ac:dyDescent="0.2"/>
    <row r="18481" s="166" customFormat="1" x14ac:dyDescent="0.2"/>
    <row r="18482" s="166" customFormat="1" x14ac:dyDescent="0.2"/>
    <row r="18483" s="166" customFormat="1" x14ac:dyDescent="0.2"/>
    <row r="18484" s="166" customFormat="1" x14ac:dyDescent="0.2"/>
    <row r="18485" s="166" customFormat="1" x14ac:dyDescent="0.2"/>
    <row r="18486" s="166" customFormat="1" x14ac:dyDescent="0.2"/>
    <row r="18487" s="166" customFormat="1" x14ac:dyDescent="0.2"/>
    <row r="18488" s="166" customFormat="1" x14ac:dyDescent="0.2"/>
    <row r="18489" s="166" customFormat="1" x14ac:dyDescent="0.2"/>
    <row r="18490" s="166" customFormat="1" x14ac:dyDescent="0.2"/>
    <row r="18491" s="166" customFormat="1" x14ac:dyDescent="0.2"/>
    <row r="18492" s="166" customFormat="1" x14ac:dyDescent="0.2"/>
    <row r="18493" s="166" customFormat="1" x14ac:dyDescent="0.2"/>
    <row r="18494" s="166" customFormat="1" x14ac:dyDescent="0.2"/>
    <row r="18495" s="166" customFormat="1" x14ac:dyDescent="0.2"/>
    <row r="18496" s="166" customFormat="1" x14ac:dyDescent="0.2"/>
    <row r="18497" s="166" customFormat="1" x14ac:dyDescent="0.2"/>
    <row r="18498" s="166" customFormat="1" x14ac:dyDescent="0.2"/>
    <row r="18499" s="166" customFormat="1" x14ac:dyDescent="0.2"/>
    <row r="18500" s="166" customFormat="1" x14ac:dyDescent="0.2"/>
    <row r="18501" s="166" customFormat="1" x14ac:dyDescent="0.2"/>
    <row r="18502" s="166" customFormat="1" x14ac:dyDescent="0.2"/>
    <row r="18503" s="166" customFormat="1" x14ac:dyDescent="0.2"/>
    <row r="18504" s="166" customFormat="1" x14ac:dyDescent="0.2"/>
    <row r="18505" s="166" customFormat="1" x14ac:dyDescent="0.2"/>
    <row r="18506" s="166" customFormat="1" x14ac:dyDescent="0.2"/>
    <row r="18507" s="166" customFormat="1" x14ac:dyDescent="0.2"/>
    <row r="18508" s="166" customFormat="1" x14ac:dyDescent="0.2"/>
    <row r="18509" s="166" customFormat="1" x14ac:dyDescent="0.2"/>
    <row r="18510" s="166" customFormat="1" x14ac:dyDescent="0.2"/>
    <row r="18511" s="166" customFormat="1" x14ac:dyDescent="0.2"/>
    <row r="18512" s="166" customFormat="1" x14ac:dyDescent="0.2"/>
    <row r="18513" s="166" customFormat="1" x14ac:dyDescent="0.2"/>
    <row r="18514" s="166" customFormat="1" x14ac:dyDescent="0.2"/>
    <row r="18515" s="166" customFormat="1" x14ac:dyDescent="0.2"/>
    <row r="18516" s="166" customFormat="1" x14ac:dyDescent="0.2"/>
    <row r="18517" s="166" customFormat="1" x14ac:dyDescent="0.2"/>
    <row r="18518" s="166" customFormat="1" x14ac:dyDescent="0.2"/>
    <row r="18519" s="166" customFormat="1" x14ac:dyDescent="0.2"/>
    <row r="18520" s="166" customFormat="1" x14ac:dyDescent="0.2"/>
    <row r="18521" s="166" customFormat="1" x14ac:dyDescent="0.2"/>
    <row r="18522" s="166" customFormat="1" x14ac:dyDescent="0.2"/>
    <row r="18523" s="166" customFormat="1" x14ac:dyDescent="0.2"/>
    <row r="18524" s="166" customFormat="1" x14ac:dyDescent="0.2"/>
    <row r="18525" s="166" customFormat="1" x14ac:dyDescent="0.2"/>
    <row r="18526" s="166" customFormat="1" x14ac:dyDescent="0.2"/>
    <row r="18527" s="166" customFormat="1" x14ac:dyDescent="0.2"/>
    <row r="18528" s="166" customFormat="1" x14ac:dyDescent="0.2"/>
    <row r="18529" s="166" customFormat="1" x14ac:dyDescent="0.2"/>
    <row r="18530" s="166" customFormat="1" x14ac:dyDescent="0.2"/>
    <row r="18531" s="166" customFormat="1" x14ac:dyDescent="0.2"/>
    <row r="18532" s="166" customFormat="1" x14ac:dyDescent="0.2"/>
    <row r="18533" s="166" customFormat="1" x14ac:dyDescent="0.2"/>
    <row r="18534" s="166" customFormat="1" x14ac:dyDescent="0.2"/>
    <row r="18535" s="166" customFormat="1" x14ac:dyDescent="0.2"/>
    <row r="18536" s="166" customFormat="1" x14ac:dyDescent="0.2"/>
    <row r="18537" s="166" customFormat="1" x14ac:dyDescent="0.2"/>
    <row r="18538" s="166" customFormat="1" x14ac:dyDescent="0.2"/>
    <row r="18539" s="166" customFormat="1" x14ac:dyDescent="0.2"/>
    <row r="18540" s="166" customFormat="1" x14ac:dyDescent="0.2"/>
    <row r="18541" s="166" customFormat="1" x14ac:dyDescent="0.2"/>
    <row r="18542" s="166" customFormat="1" x14ac:dyDescent="0.2"/>
    <row r="18543" s="166" customFormat="1" x14ac:dyDescent="0.2"/>
    <row r="18544" s="166" customFormat="1" x14ac:dyDescent="0.2"/>
    <row r="18545" s="166" customFormat="1" x14ac:dyDescent="0.2"/>
    <row r="18546" s="166" customFormat="1" x14ac:dyDescent="0.2"/>
    <row r="18547" s="166" customFormat="1" x14ac:dyDescent="0.2"/>
    <row r="18548" s="166" customFormat="1" x14ac:dyDescent="0.2"/>
    <row r="18549" s="166" customFormat="1" x14ac:dyDescent="0.2"/>
    <row r="18550" s="166" customFormat="1" x14ac:dyDescent="0.2"/>
    <row r="18551" s="166" customFormat="1" x14ac:dyDescent="0.2"/>
    <row r="18552" s="166" customFormat="1" x14ac:dyDescent="0.2"/>
    <row r="18553" s="166" customFormat="1" x14ac:dyDescent="0.2"/>
    <row r="18554" s="166" customFormat="1" x14ac:dyDescent="0.2"/>
    <row r="18555" s="166" customFormat="1" x14ac:dyDescent="0.2"/>
    <row r="18556" s="166" customFormat="1" x14ac:dyDescent="0.2"/>
    <row r="18557" s="166" customFormat="1" x14ac:dyDescent="0.2"/>
    <row r="18558" s="166" customFormat="1" x14ac:dyDescent="0.2"/>
    <row r="18559" s="166" customFormat="1" x14ac:dyDescent="0.2"/>
    <row r="18560" s="166" customFormat="1" x14ac:dyDescent="0.2"/>
    <row r="18561" s="166" customFormat="1" x14ac:dyDescent="0.2"/>
    <row r="18562" s="166" customFormat="1" x14ac:dyDescent="0.2"/>
    <row r="18563" s="166" customFormat="1" x14ac:dyDescent="0.2"/>
    <row r="18564" s="166" customFormat="1" x14ac:dyDescent="0.2"/>
    <row r="18565" s="166" customFormat="1" x14ac:dyDescent="0.2"/>
    <row r="18566" s="166" customFormat="1" x14ac:dyDescent="0.2"/>
    <row r="18567" s="166" customFormat="1" x14ac:dyDescent="0.2"/>
    <row r="18568" s="166" customFormat="1" x14ac:dyDescent="0.2"/>
    <row r="18569" s="166" customFormat="1" x14ac:dyDescent="0.2"/>
    <row r="18570" s="166" customFormat="1" x14ac:dyDescent="0.2"/>
    <row r="18571" s="166" customFormat="1" x14ac:dyDescent="0.2"/>
    <row r="18572" s="166" customFormat="1" x14ac:dyDescent="0.2"/>
    <row r="18573" s="166" customFormat="1" x14ac:dyDescent="0.2"/>
    <row r="18574" s="166" customFormat="1" x14ac:dyDescent="0.2"/>
    <row r="18575" s="166" customFormat="1" x14ac:dyDescent="0.2"/>
    <row r="18576" s="166" customFormat="1" x14ac:dyDescent="0.2"/>
    <row r="18577" s="166" customFormat="1" x14ac:dyDescent="0.2"/>
    <row r="18578" s="166" customFormat="1" x14ac:dyDescent="0.2"/>
    <row r="18579" s="166" customFormat="1" x14ac:dyDescent="0.2"/>
    <row r="18580" s="166" customFormat="1" x14ac:dyDescent="0.2"/>
    <row r="18581" s="166" customFormat="1" x14ac:dyDescent="0.2"/>
    <row r="18582" s="166" customFormat="1" x14ac:dyDescent="0.2"/>
    <row r="18583" s="166" customFormat="1" x14ac:dyDescent="0.2"/>
    <row r="18584" s="166" customFormat="1" x14ac:dyDescent="0.2"/>
    <row r="18585" s="166" customFormat="1" x14ac:dyDescent="0.2"/>
    <row r="18586" s="166" customFormat="1" x14ac:dyDescent="0.2"/>
    <row r="18587" s="166" customFormat="1" x14ac:dyDescent="0.2"/>
    <row r="18588" s="166" customFormat="1" x14ac:dyDescent="0.2"/>
    <row r="18589" s="166" customFormat="1" x14ac:dyDescent="0.2"/>
    <row r="18590" s="166" customFormat="1" x14ac:dyDescent="0.2"/>
    <row r="18591" s="166" customFormat="1" x14ac:dyDescent="0.2"/>
    <row r="18592" s="166" customFormat="1" x14ac:dyDescent="0.2"/>
    <row r="18593" s="166" customFormat="1" x14ac:dyDescent="0.2"/>
    <row r="18594" s="166" customFormat="1" x14ac:dyDescent="0.2"/>
    <row r="18595" s="166" customFormat="1" x14ac:dyDescent="0.2"/>
    <row r="18596" s="166" customFormat="1" x14ac:dyDescent="0.2"/>
    <row r="18597" s="166" customFormat="1" x14ac:dyDescent="0.2"/>
    <row r="18598" s="166" customFormat="1" x14ac:dyDescent="0.2"/>
    <row r="18599" s="166" customFormat="1" x14ac:dyDescent="0.2"/>
    <row r="18600" s="166" customFormat="1" x14ac:dyDescent="0.2"/>
    <row r="18601" s="166" customFormat="1" x14ac:dyDescent="0.2"/>
    <row r="18602" s="166" customFormat="1" x14ac:dyDescent="0.2"/>
    <row r="18603" s="166" customFormat="1" x14ac:dyDescent="0.2"/>
    <row r="18604" s="166" customFormat="1" x14ac:dyDescent="0.2"/>
    <row r="18605" s="166" customFormat="1" x14ac:dyDescent="0.2"/>
    <row r="18606" s="166" customFormat="1" x14ac:dyDescent="0.2"/>
    <row r="18607" s="166" customFormat="1" x14ac:dyDescent="0.2"/>
    <row r="18608" s="166" customFormat="1" x14ac:dyDescent="0.2"/>
    <row r="18609" s="166" customFormat="1" x14ac:dyDescent="0.2"/>
    <row r="18610" s="166" customFormat="1" x14ac:dyDescent="0.2"/>
    <row r="18611" s="166" customFormat="1" x14ac:dyDescent="0.2"/>
    <row r="18612" s="166" customFormat="1" x14ac:dyDescent="0.2"/>
    <row r="18613" s="166" customFormat="1" x14ac:dyDescent="0.2"/>
    <row r="18614" s="166" customFormat="1" x14ac:dyDescent="0.2"/>
    <row r="18615" s="166" customFormat="1" x14ac:dyDescent="0.2"/>
    <row r="18616" s="166" customFormat="1" x14ac:dyDescent="0.2"/>
    <row r="18617" s="166" customFormat="1" x14ac:dyDescent="0.2"/>
    <row r="18618" s="166" customFormat="1" x14ac:dyDescent="0.2"/>
    <row r="18619" s="166" customFormat="1" x14ac:dyDescent="0.2"/>
    <row r="18620" s="166" customFormat="1" x14ac:dyDescent="0.2"/>
    <row r="18621" s="166" customFormat="1" x14ac:dyDescent="0.2"/>
    <row r="18622" s="166" customFormat="1" x14ac:dyDescent="0.2"/>
    <row r="18623" s="166" customFormat="1" x14ac:dyDescent="0.2"/>
    <row r="18624" s="166" customFormat="1" x14ac:dyDescent="0.2"/>
    <row r="18625" s="166" customFormat="1" x14ac:dyDescent="0.2"/>
    <row r="18626" s="166" customFormat="1" x14ac:dyDescent="0.2"/>
    <row r="18627" s="166" customFormat="1" x14ac:dyDescent="0.2"/>
    <row r="18628" s="166" customFormat="1" x14ac:dyDescent="0.2"/>
    <row r="18629" s="166" customFormat="1" x14ac:dyDescent="0.2"/>
    <row r="18630" s="166" customFormat="1" x14ac:dyDescent="0.2"/>
    <row r="18631" s="166" customFormat="1" x14ac:dyDescent="0.2"/>
    <row r="18632" s="166" customFormat="1" x14ac:dyDescent="0.2"/>
    <row r="18633" s="166" customFormat="1" x14ac:dyDescent="0.2"/>
    <row r="18634" s="166" customFormat="1" x14ac:dyDescent="0.2"/>
    <row r="18635" s="166" customFormat="1" x14ac:dyDescent="0.2"/>
    <row r="18636" s="166" customFormat="1" x14ac:dyDescent="0.2"/>
    <row r="18637" s="166" customFormat="1" x14ac:dyDescent="0.2"/>
    <row r="18638" s="166" customFormat="1" x14ac:dyDescent="0.2"/>
    <row r="18639" s="166" customFormat="1" x14ac:dyDescent="0.2"/>
    <row r="18640" s="166" customFormat="1" x14ac:dyDescent="0.2"/>
    <row r="18641" s="166" customFormat="1" x14ac:dyDescent="0.2"/>
    <row r="18642" s="166" customFormat="1" x14ac:dyDescent="0.2"/>
    <row r="18643" s="166" customFormat="1" x14ac:dyDescent="0.2"/>
    <row r="18644" s="166" customFormat="1" x14ac:dyDescent="0.2"/>
    <row r="18645" s="166" customFormat="1" x14ac:dyDescent="0.2"/>
    <row r="18646" s="166" customFormat="1" x14ac:dyDescent="0.2"/>
    <row r="18647" s="166" customFormat="1" x14ac:dyDescent="0.2"/>
    <row r="18648" s="166" customFormat="1" x14ac:dyDescent="0.2"/>
    <row r="18649" s="166" customFormat="1" x14ac:dyDescent="0.2"/>
    <row r="18650" s="166" customFormat="1" x14ac:dyDescent="0.2"/>
    <row r="18651" s="166" customFormat="1" x14ac:dyDescent="0.2"/>
    <row r="18652" s="166" customFormat="1" x14ac:dyDescent="0.2"/>
    <row r="18653" s="166" customFormat="1" x14ac:dyDescent="0.2"/>
    <row r="18654" s="166" customFormat="1" x14ac:dyDescent="0.2"/>
    <row r="18655" s="166" customFormat="1" x14ac:dyDescent="0.2"/>
    <row r="18656" s="166" customFormat="1" x14ac:dyDescent="0.2"/>
    <row r="18657" s="166" customFormat="1" x14ac:dyDescent="0.2"/>
    <row r="18658" s="166" customFormat="1" x14ac:dyDescent="0.2"/>
    <row r="18659" s="166" customFormat="1" x14ac:dyDescent="0.2"/>
    <row r="18660" s="166" customFormat="1" x14ac:dyDescent="0.2"/>
    <row r="18661" s="166" customFormat="1" x14ac:dyDescent="0.2"/>
    <row r="18662" s="166" customFormat="1" x14ac:dyDescent="0.2"/>
    <row r="18663" s="166" customFormat="1" x14ac:dyDescent="0.2"/>
    <row r="18664" s="166" customFormat="1" x14ac:dyDescent="0.2"/>
    <row r="18665" s="166" customFormat="1" x14ac:dyDescent="0.2"/>
    <row r="18666" s="166" customFormat="1" x14ac:dyDescent="0.2"/>
    <row r="18667" s="166" customFormat="1" x14ac:dyDescent="0.2"/>
    <row r="18668" s="166" customFormat="1" x14ac:dyDescent="0.2"/>
    <row r="18669" s="166" customFormat="1" x14ac:dyDescent="0.2"/>
    <row r="18670" s="166" customFormat="1" x14ac:dyDescent="0.2"/>
    <row r="18671" s="166" customFormat="1" x14ac:dyDescent="0.2"/>
    <row r="18672" s="166" customFormat="1" x14ac:dyDescent="0.2"/>
    <row r="18673" s="166" customFormat="1" x14ac:dyDescent="0.2"/>
    <row r="18674" s="166" customFormat="1" x14ac:dyDescent="0.2"/>
    <row r="18675" s="166" customFormat="1" x14ac:dyDescent="0.2"/>
    <row r="18676" s="166" customFormat="1" x14ac:dyDescent="0.2"/>
    <row r="18677" s="166" customFormat="1" x14ac:dyDescent="0.2"/>
    <row r="18678" s="166" customFormat="1" x14ac:dyDescent="0.2"/>
    <row r="18679" s="166" customFormat="1" x14ac:dyDescent="0.2"/>
    <row r="18680" s="166" customFormat="1" x14ac:dyDescent="0.2"/>
    <row r="18681" s="166" customFormat="1" x14ac:dyDescent="0.2"/>
    <row r="18682" s="166" customFormat="1" x14ac:dyDescent="0.2"/>
    <row r="18683" s="166" customFormat="1" x14ac:dyDescent="0.2"/>
    <row r="18684" s="166" customFormat="1" x14ac:dyDescent="0.2"/>
    <row r="18685" s="166" customFormat="1" x14ac:dyDescent="0.2"/>
    <row r="18686" s="166" customFormat="1" x14ac:dyDescent="0.2"/>
    <row r="18687" s="166" customFormat="1" x14ac:dyDescent="0.2"/>
    <row r="18688" s="166" customFormat="1" x14ac:dyDescent="0.2"/>
    <row r="18689" s="166" customFormat="1" x14ac:dyDescent="0.2"/>
    <row r="18690" s="166" customFormat="1" x14ac:dyDescent="0.2"/>
    <row r="18691" s="166" customFormat="1" x14ac:dyDescent="0.2"/>
    <row r="18692" s="166" customFormat="1" x14ac:dyDescent="0.2"/>
    <row r="18693" s="166" customFormat="1" x14ac:dyDescent="0.2"/>
    <row r="18694" s="166" customFormat="1" x14ac:dyDescent="0.2"/>
    <row r="18695" s="166" customFormat="1" x14ac:dyDescent="0.2"/>
    <row r="18696" s="166" customFormat="1" x14ac:dyDescent="0.2"/>
    <row r="18697" s="166" customFormat="1" x14ac:dyDescent="0.2"/>
    <row r="18698" s="166" customFormat="1" x14ac:dyDescent="0.2"/>
    <row r="18699" s="166" customFormat="1" x14ac:dyDescent="0.2"/>
    <row r="18700" s="166" customFormat="1" x14ac:dyDescent="0.2"/>
    <row r="18701" s="166" customFormat="1" x14ac:dyDescent="0.2"/>
    <row r="18702" s="166" customFormat="1" x14ac:dyDescent="0.2"/>
    <row r="18703" s="166" customFormat="1" x14ac:dyDescent="0.2"/>
    <row r="18704" s="166" customFormat="1" x14ac:dyDescent="0.2"/>
    <row r="18705" s="166" customFormat="1" x14ac:dyDescent="0.2"/>
    <row r="18706" s="166" customFormat="1" x14ac:dyDescent="0.2"/>
    <row r="18707" s="166" customFormat="1" x14ac:dyDescent="0.2"/>
    <row r="18708" s="166" customFormat="1" x14ac:dyDescent="0.2"/>
    <row r="18709" s="166" customFormat="1" x14ac:dyDescent="0.2"/>
    <row r="18710" s="166" customFormat="1" x14ac:dyDescent="0.2"/>
    <row r="18711" s="166" customFormat="1" x14ac:dyDescent="0.2"/>
    <row r="18712" s="166" customFormat="1" x14ac:dyDescent="0.2"/>
    <row r="18713" s="166" customFormat="1" x14ac:dyDescent="0.2"/>
    <row r="18714" s="166" customFormat="1" x14ac:dyDescent="0.2"/>
    <row r="18715" s="166" customFormat="1" x14ac:dyDescent="0.2"/>
    <row r="18716" s="166" customFormat="1" x14ac:dyDescent="0.2"/>
    <row r="18717" s="166" customFormat="1" x14ac:dyDescent="0.2"/>
    <row r="18718" s="166" customFormat="1" x14ac:dyDescent="0.2"/>
    <row r="18719" s="166" customFormat="1" x14ac:dyDescent="0.2"/>
    <row r="18720" s="166" customFormat="1" x14ac:dyDescent="0.2"/>
    <row r="18721" s="166" customFormat="1" x14ac:dyDescent="0.2"/>
    <row r="18722" s="166" customFormat="1" x14ac:dyDescent="0.2"/>
    <row r="18723" s="166" customFormat="1" x14ac:dyDescent="0.2"/>
    <row r="18724" s="166" customFormat="1" x14ac:dyDescent="0.2"/>
    <row r="18725" s="166" customFormat="1" x14ac:dyDescent="0.2"/>
    <row r="18726" s="166" customFormat="1" x14ac:dyDescent="0.2"/>
    <row r="18727" s="166" customFormat="1" x14ac:dyDescent="0.2"/>
    <row r="18728" s="166" customFormat="1" x14ac:dyDescent="0.2"/>
    <row r="18729" s="166" customFormat="1" x14ac:dyDescent="0.2"/>
    <row r="18730" s="166" customFormat="1" x14ac:dyDescent="0.2"/>
    <row r="18731" s="166" customFormat="1" x14ac:dyDescent="0.2"/>
    <row r="18732" s="166" customFormat="1" x14ac:dyDescent="0.2"/>
    <row r="18733" s="166" customFormat="1" x14ac:dyDescent="0.2"/>
    <row r="18734" s="166" customFormat="1" x14ac:dyDescent="0.2"/>
    <row r="18735" s="166" customFormat="1" x14ac:dyDescent="0.2"/>
    <row r="18736" s="166" customFormat="1" x14ac:dyDescent="0.2"/>
    <row r="18737" s="166" customFormat="1" x14ac:dyDescent="0.2"/>
    <row r="18738" s="166" customFormat="1" x14ac:dyDescent="0.2"/>
    <row r="18739" s="166" customFormat="1" x14ac:dyDescent="0.2"/>
    <row r="18740" s="166" customFormat="1" x14ac:dyDescent="0.2"/>
    <row r="18741" s="166" customFormat="1" x14ac:dyDescent="0.2"/>
    <row r="18742" s="166" customFormat="1" x14ac:dyDescent="0.2"/>
    <row r="18743" s="166" customFormat="1" x14ac:dyDescent="0.2"/>
    <row r="18744" s="166" customFormat="1" x14ac:dyDescent="0.2"/>
    <row r="18745" s="166" customFormat="1" x14ac:dyDescent="0.2"/>
    <row r="18746" s="166" customFormat="1" x14ac:dyDescent="0.2"/>
    <row r="18747" s="166" customFormat="1" x14ac:dyDescent="0.2"/>
    <row r="18748" s="166" customFormat="1" x14ac:dyDescent="0.2"/>
    <row r="18749" s="166" customFormat="1" x14ac:dyDescent="0.2"/>
    <row r="18750" s="166" customFormat="1" x14ac:dyDescent="0.2"/>
    <row r="18751" s="166" customFormat="1" x14ac:dyDescent="0.2"/>
    <row r="18752" s="166" customFormat="1" x14ac:dyDescent="0.2"/>
    <row r="18753" s="166" customFormat="1" x14ac:dyDescent="0.2"/>
    <row r="18754" s="166" customFormat="1" x14ac:dyDescent="0.2"/>
    <row r="18755" s="166" customFormat="1" x14ac:dyDescent="0.2"/>
    <row r="18756" s="166" customFormat="1" x14ac:dyDescent="0.2"/>
    <row r="18757" s="166" customFormat="1" x14ac:dyDescent="0.2"/>
    <row r="18758" s="166" customFormat="1" x14ac:dyDescent="0.2"/>
    <row r="18759" s="166" customFormat="1" x14ac:dyDescent="0.2"/>
    <row r="18760" s="166" customFormat="1" x14ac:dyDescent="0.2"/>
    <row r="18761" s="166" customFormat="1" x14ac:dyDescent="0.2"/>
    <row r="18762" s="166" customFormat="1" x14ac:dyDescent="0.2"/>
    <row r="18763" s="166" customFormat="1" x14ac:dyDescent="0.2"/>
    <row r="18764" s="166" customFormat="1" x14ac:dyDescent="0.2"/>
    <row r="18765" s="166" customFormat="1" x14ac:dyDescent="0.2"/>
    <row r="18766" s="166" customFormat="1" x14ac:dyDescent="0.2"/>
    <row r="18767" s="166" customFormat="1" x14ac:dyDescent="0.2"/>
    <row r="18768" s="166" customFormat="1" x14ac:dyDescent="0.2"/>
    <row r="18769" s="166" customFormat="1" x14ac:dyDescent="0.2"/>
    <row r="18770" s="166" customFormat="1" x14ac:dyDescent="0.2"/>
    <row r="18771" s="166" customFormat="1" x14ac:dyDescent="0.2"/>
    <row r="18772" s="166" customFormat="1" x14ac:dyDescent="0.2"/>
    <row r="18773" s="166" customFormat="1" x14ac:dyDescent="0.2"/>
    <row r="18774" s="166" customFormat="1" x14ac:dyDescent="0.2"/>
    <row r="18775" s="166" customFormat="1" x14ac:dyDescent="0.2"/>
    <row r="18776" s="166" customFormat="1" x14ac:dyDescent="0.2"/>
    <row r="18777" s="166" customFormat="1" x14ac:dyDescent="0.2"/>
    <row r="18778" s="166" customFormat="1" x14ac:dyDescent="0.2"/>
    <row r="18779" s="166" customFormat="1" x14ac:dyDescent="0.2"/>
    <row r="18780" s="166" customFormat="1" x14ac:dyDescent="0.2"/>
    <row r="18781" s="166" customFormat="1" x14ac:dyDescent="0.2"/>
    <row r="18782" s="166" customFormat="1" x14ac:dyDescent="0.2"/>
    <row r="18783" s="166" customFormat="1" x14ac:dyDescent="0.2"/>
    <row r="18784" s="166" customFormat="1" x14ac:dyDescent="0.2"/>
    <row r="18785" s="166" customFormat="1" x14ac:dyDescent="0.2"/>
    <row r="18786" s="166" customFormat="1" x14ac:dyDescent="0.2"/>
    <row r="18787" s="166" customFormat="1" x14ac:dyDescent="0.2"/>
    <row r="18788" s="166" customFormat="1" x14ac:dyDescent="0.2"/>
    <row r="18789" s="166" customFormat="1" x14ac:dyDescent="0.2"/>
    <row r="18790" s="166" customFormat="1" x14ac:dyDescent="0.2"/>
    <row r="18791" s="166" customFormat="1" x14ac:dyDescent="0.2"/>
    <row r="18792" s="166" customFormat="1" x14ac:dyDescent="0.2"/>
    <row r="18793" s="166" customFormat="1" x14ac:dyDescent="0.2"/>
    <row r="18794" s="166" customFormat="1" x14ac:dyDescent="0.2"/>
    <row r="18795" s="166" customFormat="1" x14ac:dyDescent="0.2"/>
    <row r="18796" s="166" customFormat="1" x14ac:dyDescent="0.2"/>
    <row r="18797" s="166" customFormat="1" x14ac:dyDescent="0.2"/>
    <row r="18798" s="166" customFormat="1" x14ac:dyDescent="0.2"/>
    <row r="18799" s="166" customFormat="1" x14ac:dyDescent="0.2"/>
    <row r="18800" s="166" customFormat="1" x14ac:dyDescent="0.2"/>
    <row r="18801" s="166" customFormat="1" x14ac:dyDescent="0.2"/>
    <row r="18802" s="166" customFormat="1" x14ac:dyDescent="0.2"/>
    <row r="18803" s="166" customFormat="1" x14ac:dyDescent="0.2"/>
    <row r="18804" s="166" customFormat="1" x14ac:dyDescent="0.2"/>
    <row r="18805" s="166" customFormat="1" x14ac:dyDescent="0.2"/>
    <row r="18806" s="166" customFormat="1" x14ac:dyDescent="0.2"/>
    <row r="18807" s="166" customFormat="1" x14ac:dyDescent="0.2"/>
    <row r="18808" s="166" customFormat="1" x14ac:dyDescent="0.2"/>
    <row r="18809" s="166" customFormat="1" x14ac:dyDescent="0.2"/>
    <row r="18810" s="166" customFormat="1" x14ac:dyDescent="0.2"/>
    <row r="18811" s="166" customFormat="1" x14ac:dyDescent="0.2"/>
    <row r="18812" s="166" customFormat="1" x14ac:dyDescent="0.2"/>
    <row r="18813" s="166" customFormat="1" x14ac:dyDescent="0.2"/>
    <row r="18814" s="166" customFormat="1" x14ac:dyDescent="0.2"/>
    <row r="18815" s="166" customFormat="1" x14ac:dyDescent="0.2"/>
    <row r="18816" s="166" customFormat="1" x14ac:dyDescent="0.2"/>
    <row r="18817" s="166" customFormat="1" x14ac:dyDescent="0.2"/>
    <row r="18818" s="166" customFormat="1" x14ac:dyDescent="0.2"/>
    <row r="18819" s="166" customFormat="1" x14ac:dyDescent="0.2"/>
    <row r="18820" s="166" customFormat="1" x14ac:dyDescent="0.2"/>
    <row r="18821" s="166" customFormat="1" x14ac:dyDescent="0.2"/>
    <row r="18822" s="166" customFormat="1" x14ac:dyDescent="0.2"/>
    <row r="18823" s="166" customFormat="1" x14ac:dyDescent="0.2"/>
    <row r="18824" s="166" customFormat="1" x14ac:dyDescent="0.2"/>
    <row r="18825" s="166" customFormat="1" x14ac:dyDescent="0.2"/>
    <row r="18826" s="166" customFormat="1" x14ac:dyDescent="0.2"/>
    <row r="18827" s="166" customFormat="1" x14ac:dyDescent="0.2"/>
    <row r="18828" s="166" customFormat="1" x14ac:dyDescent="0.2"/>
    <row r="18829" s="166" customFormat="1" x14ac:dyDescent="0.2"/>
    <row r="18830" s="166" customFormat="1" x14ac:dyDescent="0.2"/>
    <row r="18831" s="166" customFormat="1" x14ac:dyDescent="0.2"/>
    <row r="18832" s="166" customFormat="1" x14ac:dyDescent="0.2"/>
    <row r="18833" s="166" customFormat="1" x14ac:dyDescent="0.2"/>
    <row r="18834" s="166" customFormat="1" x14ac:dyDescent="0.2"/>
    <row r="18835" s="166" customFormat="1" x14ac:dyDescent="0.2"/>
    <row r="18836" s="166" customFormat="1" x14ac:dyDescent="0.2"/>
    <row r="18837" s="166" customFormat="1" x14ac:dyDescent="0.2"/>
    <row r="18838" s="166" customFormat="1" x14ac:dyDescent="0.2"/>
    <row r="18839" s="166" customFormat="1" x14ac:dyDescent="0.2"/>
    <row r="18840" s="166" customFormat="1" x14ac:dyDescent="0.2"/>
    <row r="18841" s="166" customFormat="1" x14ac:dyDescent="0.2"/>
    <row r="18842" s="166" customFormat="1" x14ac:dyDescent="0.2"/>
    <row r="18843" s="166" customFormat="1" x14ac:dyDescent="0.2"/>
    <row r="18844" s="166" customFormat="1" x14ac:dyDescent="0.2"/>
    <row r="18845" s="166" customFormat="1" x14ac:dyDescent="0.2"/>
    <row r="18846" s="166" customFormat="1" x14ac:dyDescent="0.2"/>
    <row r="18847" s="166" customFormat="1" x14ac:dyDescent="0.2"/>
    <row r="18848" s="166" customFormat="1" x14ac:dyDescent="0.2"/>
    <row r="18849" s="166" customFormat="1" x14ac:dyDescent="0.2"/>
    <row r="18850" s="166" customFormat="1" x14ac:dyDescent="0.2"/>
    <row r="18851" s="166" customFormat="1" x14ac:dyDescent="0.2"/>
    <row r="18852" s="166" customFormat="1" x14ac:dyDescent="0.2"/>
    <row r="18853" s="166" customFormat="1" x14ac:dyDescent="0.2"/>
    <row r="18854" s="166" customFormat="1" x14ac:dyDescent="0.2"/>
    <row r="18855" s="166" customFormat="1" x14ac:dyDescent="0.2"/>
    <row r="18856" s="166" customFormat="1" x14ac:dyDescent="0.2"/>
    <row r="18857" s="166" customFormat="1" x14ac:dyDescent="0.2"/>
    <row r="18858" s="166" customFormat="1" x14ac:dyDescent="0.2"/>
    <row r="18859" s="166" customFormat="1" x14ac:dyDescent="0.2"/>
    <row r="18860" s="166" customFormat="1" x14ac:dyDescent="0.2"/>
    <row r="18861" s="166" customFormat="1" x14ac:dyDescent="0.2"/>
    <row r="18862" s="166" customFormat="1" x14ac:dyDescent="0.2"/>
    <row r="18863" s="166" customFormat="1" x14ac:dyDescent="0.2"/>
    <row r="18864" s="166" customFormat="1" x14ac:dyDescent="0.2"/>
    <row r="18865" s="166" customFormat="1" x14ac:dyDescent="0.2"/>
    <row r="18866" s="166" customFormat="1" x14ac:dyDescent="0.2"/>
    <row r="18867" s="166" customFormat="1" x14ac:dyDescent="0.2"/>
    <row r="18868" s="166" customFormat="1" x14ac:dyDescent="0.2"/>
    <row r="18869" s="166" customFormat="1" x14ac:dyDescent="0.2"/>
    <row r="18870" s="166" customFormat="1" x14ac:dyDescent="0.2"/>
    <row r="18871" s="166" customFormat="1" x14ac:dyDescent="0.2"/>
    <row r="18872" s="166" customFormat="1" x14ac:dyDescent="0.2"/>
    <row r="18873" s="166" customFormat="1" x14ac:dyDescent="0.2"/>
    <row r="18874" s="166" customFormat="1" x14ac:dyDescent="0.2"/>
    <row r="18875" s="166" customFormat="1" x14ac:dyDescent="0.2"/>
    <row r="18876" s="166" customFormat="1" x14ac:dyDescent="0.2"/>
    <row r="18877" s="166" customFormat="1" x14ac:dyDescent="0.2"/>
    <row r="18878" s="166" customFormat="1" x14ac:dyDescent="0.2"/>
    <row r="18879" s="166" customFormat="1" x14ac:dyDescent="0.2"/>
    <row r="18880" s="166" customFormat="1" x14ac:dyDescent="0.2"/>
    <row r="18881" s="166" customFormat="1" x14ac:dyDescent="0.2"/>
    <row r="18882" s="166" customFormat="1" x14ac:dyDescent="0.2"/>
    <row r="18883" s="166" customFormat="1" x14ac:dyDescent="0.2"/>
    <row r="18884" s="166" customFormat="1" x14ac:dyDescent="0.2"/>
    <row r="18885" s="166" customFormat="1" x14ac:dyDescent="0.2"/>
    <row r="18886" s="166" customFormat="1" x14ac:dyDescent="0.2"/>
    <row r="18887" s="166" customFormat="1" x14ac:dyDescent="0.2"/>
    <row r="18888" s="166" customFormat="1" x14ac:dyDescent="0.2"/>
    <row r="18889" s="166" customFormat="1" x14ac:dyDescent="0.2"/>
    <row r="18890" s="166" customFormat="1" x14ac:dyDescent="0.2"/>
    <row r="18891" s="166" customFormat="1" x14ac:dyDescent="0.2"/>
    <row r="18892" s="166" customFormat="1" x14ac:dyDescent="0.2"/>
    <row r="18893" s="166" customFormat="1" x14ac:dyDescent="0.2"/>
    <row r="18894" s="166" customFormat="1" x14ac:dyDescent="0.2"/>
    <row r="18895" s="166" customFormat="1" x14ac:dyDescent="0.2"/>
    <row r="18896" s="166" customFormat="1" x14ac:dyDescent="0.2"/>
    <row r="18897" s="166" customFormat="1" x14ac:dyDescent="0.2"/>
    <row r="18898" s="166" customFormat="1" x14ac:dyDescent="0.2"/>
    <row r="18899" s="166" customFormat="1" x14ac:dyDescent="0.2"/>
    <row r="18900" s="166" customFormat="1" x14ac:dyDescent="0.2"/>
    <row r="18901" s="166" customFormat="1" x14ac:dyDescent="0.2"/>
    <row r="18902" s="166" customFormat="1" x14ac:dyDescent="0.2"/>
    <row r="18903" s="166" customFormat="1" x14ac:dyDescent="0.2"/>
    <row r="18904" s="166" customFormat="1" x14ac:dyDescent="0.2"/>
    <row r="18905" s="166" customFormat="1" x14ac:dyDescent="0.2"/>
    <row r="18906" s="166" customFormat="1" x14ac:dyDescent="0.2"/>
    <row r="18907" s="166" customFormat="1" x14ac:dyDescent="0.2"/>
    <row r="18908" s="166" customFormat="1" x14ac:dyDescent="0.2"/>
    <row r="18909" s="166" customFormat="1" x14ac:dyDescent="0.2"/>
    <row r="18910" s="166" customFormat="1" x14ac:dyDescent="0.2"/>
    <row r="18911" s="166" customFormat="1" x14ac:dyDescent="0.2"/>
    <row r="18912" s="166" customFormat="1" x14ac:dyDescent="0.2"/>
    <row r="18913" s="166" customFormat="1" x14ac:dyDescent="0.2"/>
    <row r="18914" s="166" customFormat="1" x14ac:dyDescent="0.2"/>
    <row r="18915" s="166" customFormat="1" x14ac:dyDescent="0.2"/>
    <row r="18916" s="166" customFormat="1" x14ac:dyDescent="0.2"/>
    <row r="18917" s="166" customFormat="1" x14ac:dyDescent="0.2"/>
    <row r="18918" s="166" customFormat="1" x14ac:dyDescent="0.2"/>
    <row r="18919" s="166" customFormat="1" x14ac:dyDescent="0.2"/>
    <row r="18920" s="166" customFormat="1" x14ac:dyDescent="0.2"/>
    <row r="18921" s="166" customFormat="1" x14ac:dyDescent="0.2"/>
    <row r="18922" s="166" customFormat="1" x14ac:dyDescent="0.2"/>
    <row r="18923" s="166" customFormat="1" x14ac:dyDescent="0.2"/>
    <row r="18924" s="166" customFormat="1" x14ac:dyDescent="0.2"/>
    <row r="18925" s="166" customFormat="1" x14ac:dyDescent="0.2"/>
    <row r="18926" s="166" customFormat="1" x14ac:dyDescent="0.2"/>
    <row r="18927" s="166" customFormat="1" x14ac:dyDescent="0.2"/>
    <row r="18928" s="166" customFormat="1" x14ac:dyDescent="0.2"/>
    <row r="18929" s="166" customFormat="1" x14ac:dyDescent="0.2"/>
    <row r="18930" s="166" customFormat="1" x14ac:dyDescent="0.2"/>
    <row r="18931" s="166" customFormat="1" x14ac:dyDescent="0.2"/>
    <row r="18932" s="166" customFormat="1" x14ac:dyDescent="0.2"/>
    <row r="18933" s="166" customFormat="1" x14ac:dyDescent="0.2"/>
    <row r="18934" s="166" customFormat="1" x14ac:dyDescent="0.2"/>
    <row r="18935" s="166" customFormat="1" x14ac:dyDescent="0.2"/>
    <row r="18936" s="166" customFormat="1" x14ac:dyDescent="0.2"/>
    <row r="18937" s="166" customFormat="1" x14ac:dyDescent="0.2"/>
    <row r="18938" s="166" customFormat="1" x14ac:dyDescent="0.2"/>
    <row r="18939" s="166" customFormat="1" x14ac:dyDescent="0.2"/>
    <row r="18940" s="166" customFormat="1" x14ac:dyDescent="0.2"/>
    <row r="18941" s="166" customFormat="1" x14ac:dyDescent="0.2"/>
    <row r="18942" s="166" customFormat="1" x14ac:dyDescent="0.2"/>
    <row r="18943" s="166" customFormat="1" x14ac:dyDescent="0.2"/>
    <row r="18944" s="166" customFormat="1" x14ac:dyDescent="0.2"/>
    <row r="18945" s="166" customFormat="1" x14ac:dyDescent="0.2"/>
    <row r="18946" s="166" customFormat="1" x14ac:dyDescent="0.2"/>
    <row r="18947" s="166" customFormat="1" x14ac:dyDescent="0.2"/>
    <row r="18948" s="166" customFormat="1" x14ac:dyDescent="0.2"/>
    <row r="18949" s="166" customFormat="1" x14ac:dyDescent="0.2"/>
    <row r="18950" s="166" customFormat="1" x14ac:dyDescent="0.2"/>
    <row r="18951" s="166" customFormat="1" x14ac:dyDescent="0.2"/>
    <row r="18952" s="166" customFormat="1" x14ac:dyDescent="0.2"/>
    <row r="18953" s="166" customFormat="1" x14ac:dyDescent="0.2"/>
    <row r="18954" s="166" customFormat="1" x14ac:dyDescent="0.2"/>
    <row r="18955" s="166" customFormat="1" x14ac:dyDescent="0.2"/>
    <row r="18956" s="166" customFormat="1" x14ac:dyDescent="0.2"/>
    <row r="18957" s="166" customFormat="1" x14ac:dyDescent="0.2"/>
    <row r="18958" s="166" customFormat="1" x14ac:dyDescent="0.2"/>
    <row r="18959" s="166" customFormat="1" x14ac:dyDescent="0.2"/>
    <row r="18960" s="166" customFormat="1" x14ac:dyDescent="0.2"/>
    <row r="18961" s="166" customFormat="1" x14ac:dyDescent="0.2"/>
    <row r="18962" s="166" customFormat="1" x14ac:dyDescent="0.2"/>
    <row r="18963" s="166" customFormat="1" x14ac:dyDescent="0.2"/>
    <row r="18964" s="166" customFormat="1" x14ac:dyDescent="0.2"/>
    <row r="18965" s="166" customFormat="1" x14ac:dyDescent="0.2"/>
    <row r="18966" s="166" customFormat="1" x14ac:dyDescent="0.2"/>
    <row r="18967" s="166" customFormat="1" x14ac:dyDescent="0.2"/>
    <row r="18968" s="166" customFormat="1" x14ac:dyDescent="0.2"/>
    <row r="18969" s="166" customFormat="1" x14ac:dyDescent="0.2"/>
    <row r="18970" s="166" customFormat="1" x14ac:dyDescent="0.2"/>
    <row r="18971" s="166" customFormat="1" x14ac:dyDescent="0.2"/>
    <row r="18972" s="166" customFormat="1" x14ac:dyDescent="0.2"/>
    <row r="18973" s="166" customFormat="1" x14ac:dyDescent="0.2"/>
    <row r="18974" s="166" customFormat="1" x14ac:dyDescent="0.2"/>
    <row r="18975" s="166" customFormat="1" x14ac:dyDescent="0.2"/>
    <row r="18976" s="166" customFormat="1" x14ac:dyDescent="0.2"/>
    <row r="18977" s="166" customFormat="1" x14ac:dyDescent="0.2"/>
    <row r="18978" s="166" customFormat="1" x14ac:dyDescent="0.2"/>
    <row r="18979" s="166" customFormat="1" x14ac:dyDescent="0.2"/>
    <row r="18980" s="166" customFormat="1" x14ac:dyDescent="0.2"/>
    <row r="18981" s="166" customFormat="1" x14ac:dyDescent="0.2"/>
    <row r="18982" s="166" customFormat="1" x14ac:dyDescent="0.2"/>
    <row r="18983" s="166" customFormat="1" x14ac:dyDescent="0.2"/>
    <row r="18984" s="166" customFormat="1" x14ac:dyDescent="0.2"/>
    <row r="18985" s="166" customFormat="1" x14ac:dyDescent="0.2"/>
    <row r="18986" s="166" customFormat="1" x14ac:dyDescent="0.2"/>
    <row r="18987" s="166" customFormat="1" x14ac:dyDescent="0.2"/>
    <row r="18988" s="166" customFormat="1" x14ac:dyDescent="0.2"/>
    <row r="18989" s="166" customFormat="1" x14ac:dyDescent="0.2"/>
    <row r="18990" s="166" customFormat="1" x14ac:dyDescent="0.2"/>
    <row r="18991" s="166" customFormat="1" x14ac:dyDescent="0.2"/>
    <row r="18992" s="166" customFormat="1" x14ac:dyDescent="0.2"/>
    <row r="18993" s="166" customFormat="1" x14ac:dyDescent="0.2"/>
    <row r="18994" s="166" customFormat="1" x14ac:dyDescent="0.2"/>
    <row r="18995" s="166" customFormat="1" x14ac:dyDescent="0.2"/>
    <row r="18996" s="166" customFormat="1" x14ac:dyDescent="0.2"/>
    <row r="18997" s="166" customFormat="1" x14ac:dyDescent="0.2"/>
    <row r="18998" s="166" customFormat="1" x14ac:dyDescent="0.2"/>
    <row r="18999" s="166" customFormat="1" x14ac:dyDescent="0.2"/>
    <row r="19000" s="166" customFormat="1" x14ac:dyDescent="0.2"/>
    <row r="19001" s="166" customFormat="1" x14ac:dyDescent="0.2"/>
    <row r="19002" s="166" customFormat="1" x14ac:dyDescent="0.2"/>
    <row r="19003" s="166" customFormat="1" x14ac:dyDescent="0.2"/>
    <row r="19004" s="166" customFormat="1" x14ac:dyDescent="0.2"/>
    <row r="19005" s="166" customFormat="1" x14ac:dyDescent="0.2"/>
    <row r="19006" s="166" customFormat="1" x14ac:dyDescent="0.2"/>
    <row r="19007" s="166" customFormat="1" x14ac:dyDescent="0.2"/>
    <row r="19008" s="166" customFormat="1" x14ac:dyDescent="0.2"/>
    <row r="19009" s="166" customFormat="1" x14ac:dyDescent="0.2"/>
    <row r="19010" s="166" customFormat="1" x14ac:dyDescent="0.2"/>
    <row r="19011" s="166" customFormat="1" x14ac:dyDescent="0.2"/>
    <row r="19012" s="166" customFormat="1" x14ac:dyDescent="0.2"/>
    <row r="19013" s="166" customFormat="1" x14ac:dyDescent="0.2"/>
    <row r="19014" s="166" customFormat="1" x14ac:dyDescent="0.2"/>
    <row r="19015" s="166" customFormat="1" x14ac:dyDescent="0.2"/>
    <row r="19016" s="166" customFormat="1" x14ac:dyDescent="0.2"/>
    <row r="19017" s="166" customFormat="1" x14ac:dyDescent="0.2"/>
    <row r="19018" s="166" customFormat="1" x14ac:dyDescent="0.2"/>
    <row r="19019" s="166" customFormat="1" x14ac:dyDescent="0.2"/>
    <row r="19020" s="166" customFormat="1" x14ac:dyDescent="0.2"/>
    <row r="19021" s="166" customFormat="1" x14ac:dyDescent="0.2"/>
    <row r="19022" s="166" customFormat="1" x14ac:dyDescent="0.2"/>
    <row r="19023" s="166" customFormat="1" x14ac:dyDescent="0.2"/>
    <row r="19024" s="166" customFormat="1" x14ac:dyDescent="0.2"/>
    <row r="19025" s="166" customFormat="1" x14ac:dyDescent="0.2"/>
    <row r="19026" s="166" customFormat="1" x14ac:dyDescent="0.2"/>
    <row r="19027" s="166" customFormat="1" x14ac:dyDescent="0.2"/>
    <row r="19028" s="166" customFormat="1" x14ac:dyDescent="0.2"/>
    <row r="19029" s="166" customFormat="1" x14ac:dyDescent="0.2"/>
    <row r="19030" s="166" customFormat="1" x14ac:dyDescent="0.2"/>
    <row r="19031" s="166" customFormat="1" x14ac:dyDescent="0.2"/>
    <row r="19032" s="166" customFormat="1" x14ac:dyDescent="0.2"/>
    <row r="19033" s="166" customFormat="1" x14ac:dyDescent="0.2"/>
    <row r="19034" s="166" customFormat="1" x14ac:dyDescent="0.2"/>
    <row r="19035" s="166" customFormat="1" x14ac:dyDescent="0.2"/>
    <row r="19036" s="166" customFormat="1" x14ac:dyDescent="0.2"/>
    <row r="19037" s="166" customFormat="1" x14ac:dyDescent="0.2"/>
    <row r="19038" s="166" customFormat="1" x14ac:dyDescent="0.2"/>
    <row r="19039" s="166" customFormat="1" x14ac:dyDescent="0.2"/>
    <row r="19040" s="166" customFormat="1" x14ac:dyDescent="0.2"/>
    <row r="19041" s="166" customFormat="1" x14ac:dyDescent="0.2"/>
    <row r="19042" s="166" customFormat="1" x14ac:dyDescent="0.2"/>
    <row r="19043" s="166" customFormat="1" x14ac:dyDescent="0.2"/>
    <row r="19044" s="166" customFormat="1" x14ac:dyDescent="0.2"/>
    <row r="19045" s="166" customFormat="1" x14ac:dyDescent="0.2"/>
    <row r="19046" s="166" customFormat="1" x14ac:dyDescent="0.2"/>
    <row r="19047" s="166" customFormat="1" x14ac:dyDescent="0.2"/>
    <row r="19048" s="166" customFormat="1" x14ac:dyDescent="0.2"/>
    <row r="19049" s="166" customFormat="1" x14ac:dyDescent="0.2"/>
    <row r="19050" s="166" customFormat="1" x14ac:dyDescent="0.2"/>
    <row r="19051" s="166" customFormat="1" x14ac:dyDescent="0.2"/>
    <row r="19052" s="166" customFormat="1" x14ac:dyDescent="0.2"/>
    <row r="19053" s="166" customFormat="1" x14ac:dyDescent="0.2"/>
    <row r="19054" s="166" customFormat="1" x14ac:dyDescent="0.2"/>
    <row r="19055" s="166" customFormat="1" x14ac:dyDescent="0.2"/>
    <row r="19056" s="166" customFormat="1" x14ac:dyDescent="0.2"/>
    <row r="19057" s="166" customFormat="1" x14ac:dyDescent="0.2"/>
    <row r="19058" s="166" customFormat="1" x14ac:dyDescent="0.2"/>
    <row r="19059" s="166" customFormat="1" x14ac:dyDescent="0.2"/>
    <row r="19060" s="166" customFormat="1" x14ac:dyDescent="0.2"/>
    <row r="19061" s="166" customFormat="1" x14ac:dyDescent="0.2"/>
    <row r="19062" s="166" customFormat="1" x14ac:dyDescent="0.2"/>
    <row r="19063" s="166" customFormat="1" x14ac:dyDescent="0.2"/>
    <row r="19064" s="166" customFormat="1" x14ac:dyDescent="0.2"/>
    <row r="19065" s="166" customFormat="1" x14ac:dyDescent="0.2"/>
    <row r="19066" s="166" customFormat="1" x14ac:dyDescent="0.2"/>
    <row r="19067" s="166" customFormat="1" x14ac:dyDescent="0.2"/>
    <row r="19068" s="166" customFormat="1" x14ac:dyDescent="0.2"/>
    <row r="19069" s="166" customFormat="1" x14ac:dyDescent="0.2"/>
    <row r="19070" s="166" customFormat="1" x14ac:dyDescent="0.2"/>
    <row r="19071" s="166" customFormat="1" x14ac:dyDescent="0.2"/>
    <row r="19072" s="166" customFormat="1" x14ac:dyDescent="0.2"/>
    <row r="19073" s="166" customFormat="1" x14ac:dyDescent="0.2"/>
    <row r="19074" s="166" customFormat="1" x14ac:dyDescent="0.2"/>
    <row r="19075" s="166" customFormat="1" x14ac:dyDescent="0.2"/>
    <row r="19076" s="166" customFormat="1" x14ac:dyDescent="0.2"/>
    <row r="19077" s="166" customFormat="1" x14ac:dyDescent="0.2"/>
    <row r="19078" s="166" customFormat="1" x14ac:dyDescent="0.2"/>
    <row r="19079" s="166" customFormat="1" x14ac:dyDescent="0.2"/>
    <row r="19080" s="166" customFormat="1" x14ac:dyDescent="0.2"/>
    <row r="19081" s="166" customFormat="1" x14ac:dyDescent="0.2"/>
    <row r="19082" s="166" customFormat="1" x14ac:dyDescent="0.2"/>
    <row r="19083" s="166" customFormat="1" x14ac:dyDescent="0.2"/>
    <row r="19084" s="166" customFormat="1" x14ac:dyDescent="0.2"/>
    <row r="19085" s="166" customFormat="1" x14ac:dyDescent="0.2"/>
    <row r="19086" s="166" customFormat="1" x14ac:dyDescent="0.2"/>
    <row r="19087" s="166" customFormat="1" x14ac:dyDescent="0.2"/>
    <row r="19088" s="166" customFormat="1" x14ac:dyDescent="0.2"/>
    <row r="19089" s="166" customFormat="1" x14ac:dyDescent="0.2"/>
    <row r="19090" s="166" customFormat="1" x14ac:dyDescent="0.2"/>
    <row r="19091" s="166" customFormat="1" x14ac:dyDescent="0.2"/>
    <row r="19092" s="166" customFormat="1" x14ac:dyDescent="0.2"/>
    <row r="19093" s="166" customFormat="1" x14ac:dyDescent="0.2"/>
    <row r="19094" s="166" customFormat="1" x14ac:dyDescent="0.2"/>
    <row r="19095" s="166" customFormat="1" x14ac:dyDescent="0.2"/>
    <row r="19096" s="166" customFormat="1" x14ac:dyDescent="0.2"/>
    <row r="19097" s="166" customFormat="1" x14ac:dyDescent="0.2"/>
    <row r="19098" s="166" customFormat="1" x14ac:dyDescent="0.2"/>
    <row r="19099" s="166" customFormat="1" x14ac:dyDescent="0.2"/>
    <row r="19100" s="166" customFormat="1" x14ac:dyDescent="0.2"/>
    <row r="19101" s="166" customFormat="1" x14ac:dyDescent="0.2"/>
    <row r="19102" s="166" customFormat="1" x14ac:dyDescent="0.2"/>
    <row r="19103" s="166" customFormat="1" x14ac:dyDescent="0.2"/>
    <row r="19104" s="166" customFormat="1" x14ac:dyDescent="0.2"/>
    <row r="19105" s="166" customFormat="1" x14ac:dyDescent="0.2"/>
    <row r="19106" s="166" customFormat="1" x14ac:dyDescent="0.2"/>
    <row r="19107" s="166" customFormat="1" x14ac:dyDescent="0.2"/>
    <row r="19108" s="166" customFormat="1" x14ac:dyDescent="0.2"/>
    <row r="19109" s="166" customFormat="1" x14ac:dyDescent="0.2"/>
    <row r="19110" s="166" customFormat="1" x14ac:dyDescent="0.2"/>
    <row r="19111" s="166" customFormat="1" x14ac:dyDescent="0.2"/>
    <row r="19112" s="166" customFormat="1" x14ac:dyDescent="0.2"/>
    <row r="19113" s="166" customFormat="1" x14ac:dyDescent="0.2"/>
    <row r="19114" s="166" customFormat="1" x14ac:dyDescent="0.2"/>
    <row r="19115" s="166" customFormat="1" x14ac:dyDescent="0.2"/>
    <row r="19116" s="166" customFormat="1" x14ac:dyDescent="0.2"/>
    <row r="19117" s="166" customFormat="1" x14ac:dyDescent="0.2"/>
    <row r="19118" s="166" customFormat="1" x14ac:dyDescent="0.2"/>
    <row r="19119" s="166" customFormat="1" x14ac:dyDescent="0.2"/>
    <row r="19120" s="166" customFormat="1" x14ac:dyDescent="0.2"/>
    <row r="19121" s="166" customFormat="1" x14ac:dyDescent="0.2"/>
    <row r="19122" s="166" customFormat="1" x14ac:dyDescent="0.2"/>
    <row r="19123" s="166" customFormat="1" x14ac:dyDescent="0.2"/>
    <row r="19124" s="166" customFormat="1" x14ac:dyDescent="0.2"/>
    <row r="19125" s="166" customFormat="1" x14ac:dyDescent="0.2"/>
    <row r="19126" s="166" customFormat="1" x14ac:dyDescent="0.2"/>
    <row r="19127" s="166" customFormat="1" x14ac:dyDescent="0.2"/>
    <row r="19128" s="166" customFormat="1" x14ac:dyDescent="0.2"/>
    <row r="19129" s="166" customFormat="1" x14ac:dyDescent="0.2"/>
    <row r="19130" s="166" customFormat="1" x14ac:dyDescent="0.2"/>
    <row r="19131" s="166" customFormat="1" x14ac:dyDescent="0.2"/>
    <row r="19132" s="166" customFormat="1" x14ac:dyDescent="0.2"/>
    <row r="19133" s="166" customFormat="1" x14ac:dyDescent="0.2"/>
    <row r="19134" s="166" customFormat="1" x14ac:dyDescent="0.2"/>
    <row r="19135" s="166" customFormat="1" x14ac:dyDescent="0.2"/>
    <row r="19136" s="166" customFormat="1" x14ac:dyDescent="0.2"/>
    <row r="19137" s="166" customFormat="1" x14ac:dyDescent="0.2"/>
    <row r="19138" s="166" customFormat="1" x14ac:dyDescent="0.2"/>
    <row r="19139" s="166" customFormat="1" x14ac:dyDescent="0.2"/>
    <row r="19140" s="166" customFormat="1" x14ac:dyDescent="0.2"/>
    <row r="19141" s="166" customFormat="1" x14ac:dyDescent="0.2"/>
    <row r="19142" s="166" customFormat="1" x14ac:dyDescent="0.2"/>
    <row r="19143" s="166" customFormat="1" x14ac:dyDescent="0.2"/>
    <row r="19144" s="166" customFormat="1" x14ac:dyDescent="0.2"/>
    <row r="19145" s="166" customFormat="1" x14ac:dyDescent="0.2"/>
    <row r="19146" s="166" customFormat="1" x14ac:dyDescent="0.2"/>
    <row r="19147" s="166" customFormat="1" x14ac:dyDescent="0.2"/>
    <row r="19148" s="166" customFormat="1" x14ac:dyDescent="0.2"/>
    <row r="19149" s="166" customFormat="1" x14ac:dyDescent="0.2"/>
    <row r="19150" s="166" customFormat="1" x14ac:dyDescent="0.2"/>
    <row r="19151" s="166" customFormat="1" x14ac:dyDescent="0.2"/>
    <row r="19152" s="166" customFormat="1" x14ac:dyDescent="0.2"/>
    <row r="19153" s="166" customFormat="1" x14ac:dyDescent="0.2"/>
    <row r="19154" s="166" customFormat="1" x14ac:dyDescent="0.2"/>
    <row r="19155" s="166" customFormat="1" x14ac:dyDescent="0.2"/>
    <row r="19156" s="166" customFormat="1" x14ac:dyDescent="0.2"/>
    <row r="19157" s="166" customFormat="1" x14ac:dyDescent="0.2"/>
    <row r="19158" s="166" customFormat="1" x14ac:dyDescent="0.2"/>
    <row r="19159" s="166" customFormat="1" x14ac:dyDescent="0.2"/>
    <row r="19160" s="166" customFormat="1" x14ac:dyDescent="0.2"/>
    <row r="19161" s="166" customFormat="1" x14ac:dyDescent="0.2"/>
    <row r="19162" s="166" customFormat="1" x14ac:dyDescent="0.2"/>
    <row r="19163" s="166" customFormat="1" x14ac:dyDescent="0.2"/>
    <row r="19164" s="166" customFormat="1" x14ac:dyDescent="0.2"/>
    <row r="19165" s="166" customFormat="1" x14ac:dyDescent="0.2"/>
    <row r="19166" s="166" customFormat="1" x14ac:dyDescent="0.2"/>
    <row r="19167" s="166" customFormat="1" x14ac:dyDescent="0.2"/>
    <row r="19168" s="166" customFormat="1" x14ac:dyDescent="0.2"/>
    <row r="19169" s="166" customFormat="1" x14ac:dyDescent="0.2"/>
    <row r="19170" s="166" customFormat="1" x14ac:dyDescent="0.2"/>
    <row r="19171" s="166" customFormat="1" x14ac:dyDescent="0.2"/>
    <row r="19172" s="166" customFormat="1" x14ac:dyDescent="0.2"/>
    <row r="19173" s="166" customFormat="1" x14ac:dyDescent="0.2"/>
    <row r="19174" s="166" customFormat="1" x14ac:dyDescent="0.2"/>
    <row r="19175" s="166" customFormat="1" x14ac:dyDescent="0.2"/>
    <row r="19176" s="166" customFormat="1" x14ac:dyDescent="0.2"/>
    <row r="19177" s="166" customFormat="1" x14ac:dyDescent="0.2"/>
    <row r="19178" s="166" customFormat="1" x14ac:dyDescent="0.2"/>
    <row r="19179" s="166" customFormat="1" x14ac:dyDescent="0.2"/>
    <row r="19180" s="166" customFormat="1" x14ac:dyDescent="0.2"/>
    <row r="19181" s="166" customFormat="1" x14ac:dyDescent="0.2"/>
    <row r="19182" s="166" customFormat="1" x14ac:dyDescent="0.2"/>
    <row r="19183" s="166" customFormat="1" x14ac:dyDescent="0.2"/>
    <row r="19184" s="166" customFormat="1" x14ac:dyDescent="0.2"/>
    <row r="19185" s="166" customFormat="1" x14ac:dyDescent="0.2"/>
    <row r="19186" s="166" customFormat="1" x14ac:dyDescent="0.2"/>
    <row r="19187" s="166" customFormat="1" x14ac:dyDescent="0.2"/>
    <row r="19188" s="166" customFormat="1" x14ac:dyDescent="0.2"/>
    <row r="19189" s="166" customFormat="1" x14ac:dyDescent="0.2"/>
    <row r="19190" s="166" customFormat="1" x14ac:dyDescent="0.2"/>
    <row r="19191" s="166" customFormat="1" x14ac:dyDescent="0.2"/>
    <row r="19192" s="166" customFormat="1" x14ac:dyDescent="0.2"/>
    <row r="19193" s="166" customFormat="1" x14ac:dyDescent="0.2"/>
    <row r="19194" s="166" customFormat="1" x14ac:dyDescent="0.2"/>
    <row r="19195" s="166" customFormat="1" x14ac:dyDescent="0.2"/>
    <row r="19196" s="166" customFormat="1" x14ac:dyDescent="0.2"/>
    <row r="19197" s="166" customFormat="1" x14ac:dyDescent="0.2"/>
    <row r="19198" s="166" customFormat="1" x14ac:dyDescent="0.2"/>
    <row r="19199" s="166" customFormat="1" x14ac:dyDescent="0.2"/>
    <row r="19200" s="166" customFormat="1" x14ac:dyDescent="0.2"/>
    <row r="19201" s="166" customFormat="1" x14ac:dyDescent="0.2"/>
    <row r="19202" s="166" customFormat="1" x14ac:dyDescent="0.2"/>
    <row r="19203" s="166" customFormat="1" x14ac:dyDescent="0.2"/>
    <row r="19204" s="166" customFormat="1" x14ac:dyDescent="0.2"/>
    <row r="19205" s="166" customFormat="1" x14ac:dyDescent="0.2"/>
    <row r="19206" s="166" customFormat="1" x14ac:dyDescent="0.2"/>
    <row r="19207" s="166" customFormat="1" x14ac:dyDescent="0.2"/>
    <row r="19208" s="166" customFormat="1" x14ac:dyDescent="0.2"/>
    <row r="19209" s="166" customFormat="1" x14ac:dyDescent="0.2"/>
    <row r="19210" s="166" customFormat="1" x14ac:dyDescent="0.2"/>
    <row r="19211" s="166" customFormat="1" x14ac:dyDescent="0.2"/>
    <row r="19212" s="166" customFormat="1" x14ac:dyDescent="0.2"/>
    <row r="19213" s="166" customFormat="1" x14ac:dyDescent="0.2"/>
    <row r="19214" s="166" customFormat="1" x14ac:dyDescent="0.2"/>
    <row r="19215" s="166" customFormat="1" x14ac:dyDescent="0.2"/>
    <row r="19216" s="166" customFormat="1" x14ac:dyDescent="0.2"/>
    <row r="19217" s="166" customFormat="1" x14ac:dyDescent="0.2"/>
    <row r="19218" s="166" customFormat="1" x14ac:dyDescent="0.2"/>
    <row r="19219" s="166" customFormat="1" x14ac:dyDescent="0.2"/>
    <row r="19220" s="166" customFormat="1" x14ac:dyDescent="0.2"/>
    <row r="19221" s="166" customFormat="1" x14ac:dyDescent="0.2"/>
    <row r="19222" s="166" customFormat="1" x14ac:dyDescent="0.2"/>
    <row r="19223" s="166" customFormat="1" x14ac:dyDescent="0.2"/>
    <row r="19224" s="166" customFormat="1" x14ac:dyDescent="0.2"/>
    <row r="19225" s="166" customFormat="1" x14ac:dyDescent="0.2"/>
    <row r="19226" s="166" customFormat="1" x14ac:dyDescent="0.2"/>
    <row r="19227" s="166" customFormat="1" x14ac:dyDescent="0.2"/>
    <row r="19228" s="166" customFormat="1" x14ac:dyDescent="0.2"/>
    <row r="19229" s="166" customFormat="1" x14ac:dyDescent="0.2"/>
    <row r="19230" s="166" customFormat="1" x14ac:dyDescent="0.2"/>
    <row r="19231" s="166" customFormat="1" x14ac:dyDescent="0.2"/>
    <row r="19232" s="166" customFormat="1" x14ac:dyDescent="0.2"/>
    <row r="19233" s="166" customFormat="1" x14ac:dyDescent="0.2"/>
    <row r="19234" s="166" customFormat="1" x14ac:dyDescent="0.2"/>
    <row r="19235" s="166" customFormat="1" x14ac:dyDescent="0.2"/>
    <row r="19236" s="166" customFormat="1" x14ac:dyDescent="0.2"/>
    <row r="19237" s="166" customFormat="1" x14ac:dyDescent="0.2"/>
    <row r="19238" s="166" customFormat="1" x14ac:dyDescent="0.2"/>
    <row r="19239" s="166" customFormat="1" x14ac:dyDescent="0.2"/>
    <row r="19240" s="166" customFormat="1" x14ac:dyDescent="0.2"/>
    <row r="19241" s="166" customFormat="1" x14ac:dyDescent="0.2"/>
    <row r="19242" s="166" customFormat="1" x14ac:dyDescent="0.2"/>
    <row r="19243" s="166" customFormat="1" x14ac:dyDescent="0.2"/>
    <row r="19244" s="166" customFormat="1" x14ac:dyDescent="0.2"/>
    <row r="19245" s="166" customFormat="1" x14ac:dyDescent="0.2"/>
    <row r="19246" s="166" customFormat="1" x14ac:dyDescent="0.2"/>
    <row r="19247" s="166" customFormat="1" x14ac:dyDescent="0.2"/>
    <row r="19248" s="166" customFormat="1" x14ac:dyDescent="0.2"/>
    <row r="19249" s="166" customFormat="1" x14ac:dyDescent="0.2"/>
    <row r="19250" s="166" customFormat="1" x14ac:dyDescent="0.2"/>
    <row r="19251" s="166" customFormat="1" x14ac:dyDescent="0.2"/>
    <row r="19252" s="166" customFormat="1" x14ac:dyDescent="0.2"/>
    <row r="19253" s="166" customFormat="1" x14ac:dyDescent="0.2"/>
    <row r="19254" s="166" customFormat="1" x14ac:dyDescent="0.2"/>
    <row r="19255" s="166" customFormat="1" x14ac:dyDescent="0.2"/>
    <row r="19256" s="166" customFormat="1" x14ac:dyDescent="0.2"/>
    <row r="19257" s="166" customFormat="1" x14ac:dyDescent="0.2"/>
    <row r="19258" s="166" customFormat="1" x14ac:dyDescent="0.2"/>
    <row r="19259" s="166" customFormat="1" x14ac:dyDescent="0.2"/>
    <row r="19260" s="166" customFormat="1" x14ac:dyDescent="0.2"/>
    <row r="19261" s="166" customFormat="1" x14ac:dyDescent="0.2"/>
    <row r="19262" s="166" customFormat="1" x14ac:dyDescent="0.2"/>
    <row r="19263" s="166" customFormat="1" x14ac:dyDescent="0.2"/>
    <row r="19264" s="166" customFormat="1" x14ac:dyDescent="0.2"/>
    <row r="19265" s="166" customFormat="1" x14ac:dyDescent="0.2"/>
    <row r="19266" s="166" customFormat="1" x14ac:dyDescent="0.2"/>
    <row r="19267" s="166" customFormat="1" x14ac:dyDescent="0.2"/>
    <row r="19268" s="166" customFormat="1" x14ac:dyDescent="0.2"/>
    <row r="19269" s="166" customFormat="1" x14ac:dyDescent="0.2"/>
    <row r="19270" s="166" customFormat="1" x14ac:dyDescent="0.2"/>
    <row r="19271" s="166" customFormat="1" x14ac:dyDescent="0.2"/>
    <row r="19272" s="166" customFormat="1" x14ac:dyDescent="0.2"/>
    <row r="19273" s="166" customFormat="1" x14ac:dyDescent="0.2"/>
    <row r="19274" s="166" customFormat="1" x14ac:dyDescent="0.2"/>
    <row r="19275" s="166" customFormat="1" x14ac:dyDescent="0.2"/>
    <row r="19276" s="166" customFormat="1" x14ac:dyDescent="0.2"/>
    <row r="19277" s="166" customFormat="1" x14ac:dyDescent="0.2"/>
    <row r="19278" s="166" customFormat="1" x14ac:dyDescent="0.2"/>
    <row r="19279" s="166" customFormat="1" x14ac:dyDescent="0.2"/>
    <row r="19280" s="166" customFormat="1" x14ac:dyDescent="0.2"/>
    <row r="19281" s="166" customFormat="1" x14ac:dyDescent="0.2"/>
    <row r="19282" s="166" customFormat="1" x14ac:dyDescent="0.2"/>
    <row r="19283" s="166" customFormat="1" x14ac:dyDescent="0.2"/>
    <row r="19284" s="166" customFormat="1" x14ac:dyDescent="0.2"/>
    <row r="19285" s="166" customFormat="1" x14ac:dyDescent="0.2"/>
    <row r="19286" s="166" customFormat="1" x14ac:dyDescent="0.2"/>
    <row r="19287" s="166" customFormat="1" x14ac:dyDescent="0.2"/>
    <row r="19288" s="166" customFormat="1" x14ac:dyDescent="0.2"/>
    <row r="19289" s="166" customFormat="1" x14ac:dyDescent="0.2"/>
    <row r="19290" s="166" customFormat="1" x14ac:dyDescent="0.2"/>
    <row r="19291" s="166" customFormat="1" x14ac:dyDescent="0.2"/>
    <row r="19292" s="166" customFormat="1" x14ac:dyDescent="0.2"/>
    <row r="19293" s="166" customFormat="1" x14ac:dyDescent="0.2"/>
    <row r="19294" s="166" customFormat="1" x14ac:dyDescent="0.2"/>
    <row r="19295" s="166" customFormat="1" x14ac:dyDescent="0.2"/>
    <row r="19296" s="166" customFormat="1" x14ac:dyDescent="0.2"/>
    <row r="19297" s="166" customFormat="1" x14ac:dyDescent="0.2"/>
    <row r="19298" s="166" customFormat="1" x14ac:dyDescent="0.2"/>
    <row r="19299" s="166" customFormat="1" x14ac:dyDescent="0.2"/>
    <row r="19300" s="166" customFormat="1" x14ac:dyDescent="0.2"/>
    <row r="19301" s="166" customFormat="1" x14ac:dyDescent="0.2"/>
    <row r="19302" s="166" customFormat="1" x14ac:dyDescent="0.2"/>
    <row r="19303" s="166" customFormat="1" x14ac:dyDescent="0.2"/>
    <row r="19304" s="166" customFormat="1" x14ac:dyDescent="0.2"/>
    <row r="19305" s="166" customFormat="1" x14ac:dyDescent="0.2"/>
    <row r="19306" s="166" customFormat="1" x14ac:dyDescent="0.2"/>
    <row r="19307" s="166" customFormat="1" x14ac:dyDescent="0.2"/>
    <row r="19308" s="166" customFormat="1" x14ac:dyDescent="0.2"/>
    <row r="19309" s="166" customFormat="1" x14ac:dyDescent="0.2"/>
    <row r="19310" s="166" customFormat="1" x14ac:dyDescent="0.2"/>
    <row r="19311" s="166" customFormat="1" x14ac:dyDescent="0.2"/>
    <row r="19312" s="166" customFormat="1" x14ac:dyDescent="0.2"/>
    <row r="19313" s="166" customFormat="1" x14ac:dyDescent="0.2"/>
    <row r="19314" s="166" customFormat="1" x14ac:dyDescent="0.2"/>
    <row r="19315" s="166" customFormat="1" x14ac:dyDescent="0.2"/>
    <row r="19316" s="166" customFormat="1" x14ac:dyDescent="0.2"/>
    <row r="19317" s="166" customFormat="1" x14ac:dyDescent="0.2"/>
    <row r="19318" s="166" customFormat="1" x14ac:dyDescent="0.2"/>
    <row r="19319" s="166" customFormat="1" x14ac:dyDescent="0.2"/>
    <row r="19320" s="166" customFormat="1" x14ac:dyDescent="0.2"/>
    <row r="19321" s="166" customFormat="1" x14ac:dyDescent="0.2"/>
    <row r="19322" s="166" customFormat="1" x14ac:dyDescent="0.2"/>
    <row r="19323" s="166" customFormat="1" x14ac:dyDescent="0.2"/>
    <row r="19324" s="166" customFormat="1" x14ac:dyDescent="0.2"/>
    <row r="19325" s="166" customFormat="1" x14ac:dyDescent="0.2"/>
    <row r="19326" s="166" customFormat="1" x14ac:dyDescent="0.2"/>
    <row r="19327" s="166" customFormat="1" x14ac:dyDescent="0.2"/>
    <row r="19328" s="166" customFormat="1" x14ac:dyDescent="0.2"/>
    <row r="19329" s="166" customFormat="1" x14ac:dyDescent="0.2"/>
    <row r="19330" s="166" customFormat="1" x14ac:dyDescent="0.2"/>
    <row r="19331" s="166" customFormat="1" x14ac:dyDescent="0.2"/>
    <row r="19332" s="166" customFormat="1" x14ac:dyDescent="0.2"/>
    <row r="19333" s="166" customFormat="1" x14ac:dyDescent="0.2"/>
    <row r="19334" s="166" customFormat="1" x14ac:dyDescent="0.2"/>
    <row r="19335" s="166" customFormat="1" x14ac:dyDescent="0.2"/>
    <row r="19336" s="166" customFormat="1" x14ac:dyDescent="0.2"/>
    <row r="19337" s="166" customFormat="1" x14ac:dyDescent="0.2"/>
    <row r="19338" s="166" customFormat="1" x14ac:dyDescent="0.2"/>
    <row r="19339" s="166" customFormat="1" x14ac:dyDescent="0.2"/>
    <row r="19340" s="166" customFormat="1" x14ac:dyDescent="0.2"/>
    <row r="19341" s="166" customFormat="1" x14ac:dyDescent="0.2"/>
    <row r="19342" s="166" customFormat="1" x14ac:dyDescent="0.2"/>
    <row r="19343" s="166" customFormat="1" x14ac:dyDescent="0.2"/>
    <row r="19344" s="166" customFormat="1" x14ac:dyDescent="0.2"/>
    <row r="19345" s="166" customFormat="1" x14ac:dyDescent="0.2"/>
    <row r="19346" s="166" customFormat="1" x14ac:dyDescent="0.2"/>
    <row r="19347" s="166" customFormat="1" x14ac:dyDescent="0.2"/>
    <row r="19348" s="166" customFormat="1" x14ac:dyDescent="0.2"/>
    <row r="19349" s="166" customFormat="1" x14ac:dyDescent="0.2"/>
    <row r="19350" s="166" customFormat="1" x14ac:dyDescent="0.2"/>
    <row r="19351" s="166" customFormat="1" x14ac:dyDescent="0.2"/>
    <row r="19352" s="166" customFormat="1" x14ac:dyDescent="0.2"/>
    <row r="19353" s="166" customFormat="1" x14ac:dyDescent="0.2"/>
    <row r="19354" s="166" customFormat="1" x14ac:dyDescent="0.2"/>
    <row r="19355" s="166" customFormat="1" x14ac:dyDescent="0.2"/>
    <row r="19356" s="166" customFormat="1" x14ac:dyDescent="0.2"/>
    <row r="19357" s="166" customFormat="1" x14ac:dyDescent="0.2"/>
    <row r="19358" s="166" customFormat="1" x14ac:dyDescent="0.2"/>
    <row r="19359" s="166" customFormat="1" x14ac:dyDescent="0.2"/>
    <row r="19360" s="166" customFormat="1" x14ac:dyDescent="0.2"/>
    <row r="19361" s="166" customFormat="1" x14ac:dyDescent="0.2"/>
    <row r="19362" s="166" customFormat="1" x14ac:dyDescent="0.2"/>
    <row r="19363" s="166" customFormat="1" x14ac:dyDescent="0.2"/>
    <row r="19364" s="166" customFormat="1" x14ac:dyDescent="0.2"/>
    <row r="19365" s="166" customFormat="1" x14ac:dyDescent="0.2"/>
    <row r="19366" s="166" customFormat="1" x14ac:dyDescent="0.2"/>
    <row r="19367" s="166" customFormat="1" x14ac:dyDescent="0.2"/>
    <row r="19368" s="166" customFormat="1" x14ac:dyDescent="0.2"/>
    <row r="19369" s="166" customFormat="1" x14ac:dyDescent="0.2"/>
    <row r="19370" s="166" customFormat="1" x14ac:dyDescent="0.2"/>
    <row r="19371" s="166" customFormat="1" x14ac:dyDescent="0.2"/>
    <row r="19372" s="166" customFormat="1" x14ac:dyDescent="0.2"/>
    <row r="19373" s="166" customFormat="1" x14ac:dyDescent="0.2"/>
    <row r="19374" s="166" customFormat="1" x14ac:dyDescent="0.2"/>
    <row r="19375" s="166" customFormat="1" x14ac:dyDescent="0.2"/>
    <row r="19376" s="166" customFormat="1" x14ac:dyDescent="0.2"/>
    <row r="19377" s="166" customFormat="1" x14ac:dyDescent="0.2"/>
    <row r="19378" s="166" customFormat="1" x14ac:dyDescent="0.2"/>
    <row r="19379" s="166" customFormat="1" x14ac:dyDescent="0.2"/>
    <row r="19380" s="166" customFormat="1" x14ac:dyDescent="0.2"/>
    <row r="19381" s="166" customFormat="1" x14ac:dyDescent="0.2"/>
    <row r="19382" s="166" customFormat="1" x14ac:dyDescent="0.2"/>
    <row r="19383" s="166" customFormat="1" x14ac:dyDescent="0.2"/>
    <row r="19384" s="166" customFormat="1" x14ac:dyDescent="0.2"/>
    <row r="19385" s="166" customFormat="1" x14ac:dyDescent="0.2"/>
    <row r="19386" s="166" customFormat="1" x14ac:dyDescent="0.2"/>
    <row r="19387" s="166" customFormat="1" x14ac:dyDescent="0.2"/>
    <row r="19388" s="166" customFormat="1" x14ac:dyDescent="0.2"/>
    <row r="19389" s="166" customFormat="1" x14ac:dyDescent="0.2"/>
    <row r="19390" s="166" customFormat="1" x14ac:dyDescent="0.2"/>
    <row r="19391" s="166" customFormat="1" x14ac:dyDescent="0.2"/>
    <row r="19392" s="166" customFormat="1" x14ac:dyDescent="0.2"/>
    <row r="19393" s="166" customFormat="1" x14ac:dyDescent="0.2"/>
    <row r="19394" s="166" customFormat="1" x14ac:dyDescent="0.2"/>
    <row r="19395" s="166" customFormat="1" x14ac:dyDescent="0.2"/>
    <row r="19396" s="166" customFormat="1" x14ac:dyDescent="0.2"/>
    <row r="19397" s="166" customFormat="1" x14ac:dyDescent="0.2"/>
    <row r="19398" s="166" customFormat="1" x14ac:dyDescent="0.2"/>
    <row r="19399" s="166" customFormat="1" x14ac:dyDescent="0.2"/>
    <row r="19400" s="166" customFormat="1" x14ac:dyDescent="0.2"/>
    <row r="19401" s="166" customFormat="1" x14ac:dyDescent="0.2"/>
    <row r="19402" s="166" customFormat="1" x14ac:dyDescent="0.2"/>
    <row r="19403" s="166" customFormat="1" x14ac:dyDescent="0.2"/>
    <row r="19404" s="166" customFormat="1" x14ac:dyDescent="0.2"/>
    <row r="19405" s="166" customFormat="1" x14ac:dyDescent="0.2"/>
    <row r="19406" s="166" customFormat="1" x14ac:dyDescent="0.2"/>
    <row r="19407" s="166" customFormat="1" x14ac:dyDescent="0.2"/>
    <row r="19408" s="166" customFormat="1" x14ac:dyDescent="0.2"/>
    <row r="19409" s="166" customFormat="1" x14ac:dyDescent="0.2"/>
    <row r="19410" s="166" customFormat="1" x14ac:dyDescent="0.2"/>
    <row r="19411" s="166" customFormat="1" x14ac:dyDescent="0.2"/>
    <row r="19412" s="166" customFormat="1" x14ac:dyDescent="0.2"/>
    <row r="19413" s="166" customFormat="1" x14ac:dyDescent="0.2"/>
    <row r="19414" s="166" customFormat="1" x14ac:dyDescent="0.2"/>
    <row r="19415" s="166" customFormat="1" x14ac:dyDescent="0.2"/>
    <row r="19416" s="166" customFormat="1" x14ac:dyDescent="0.2"/>
    <row r="19417" s="166" customFormat="1" x14ac:dyDescent="0.2"/>
    <row r="19418" s="166" customFormat="1" x14ac:dyDescent="0.2"/>
    <row r="19419" s="166" customFormat="1" x14ac:dyDescent="0.2"/>
    <row r="19420" s="166" customFormat="1" x14ac:dyDescent="0.2"/>
    <row r="19421" s="166" customFormat="1" x14ac:dyDescent="0.2"/>
    <row r="19422" s="166" customFormat="1" x14ac:dyDescent="0.2"/>
    <row r="19423" s="166" customFormat="1" x14ac:dyDescent="0.2"/>
    <row r="19424" s="166" customFormat="1" x14ac:dyDescent="0.2"/>
    <row r="19425" s="166" customFormat="1" x14ac:dyDescent="0.2"/>
    <row r="19426" s="166" customFormat="1" x14ac:dyDescent="0.2"/>
    <row r="19427" s="166" customFormat="1" x14ac:dyDescent="0.2"/>
    <row r="19428" s="166" customFormat="1" x14ac:dyDescent="0.2"/>
    <row r="19429" s="166" customFormat="1" x14ac:dyDescent="0.2"/>
    <row r="19430" s="166" customFormat="1" x14ac:dyDescent="0.2"/>
    <row r="19431" s="166" customFormat="1" x14ac:dyDescent="0.2"/>
    <row r="19432" s="166" customFormat="1" x14ac:dyDescent="0.2"/>
    <row r="19433" s="166" customFormat="1" x14ac:dyDescent="0.2"/>
    <row r="19434" s="166" customFormat="1" x14ac:dyDescent="0.2"/>
    <row r="19435" s="166" customFormat="1" x14ac:dyDescent="0.2"/>
    <row r="19436" s="166" customFormat="1" x14ac:dyDescent="0.2"/>
    <row r="19437" s="166" customFormat="1" x14ac:dyDescent="0.2"/>
    <row r="19438" s="166" customFormat="1" x14ac:dyDescent="0.2"/>
    <row r="19439" s="166" customFormat="1" x14ac:dyDescent="0.2"/>
    <row r="19440" s="166" customFormat="1" x14ac:dyDescent="0.2"/>
    <row r="19441" s="166" customFormat="1" x14ac:dyDescent="0.2"/>
    <row r="19442" s="166" customFormat="1" x14ac:dyDescent="0.2"/>
    <row r="19443" s="166" customFormat="1" x14ac:dyDescent="0.2"/>
    <row r="19444" s="166" customFormat="1" x14ac:dyDescent="0.2"/>
    <row r="19445" s="166" customFormat="1" x14ac:dyDescent="0.2"/>
    <row r="19446" s="166" customFormat="1" x14ac:dyDescent="0.2"/>
    <row r="19447" s="166" customFormat="1" x14ac:dyDescent="0.2"/>
    <row r="19448" s="166" customFormat="1" x14ac:dyDescent="0.2"/>
    <row r="19449" s="166" customFormat="1" x14ac:dyDescent="0.2"/>
    <row r="19450" s="166" customFormat="1" x14ac:dyDescent="0.2"/>
    <row r="19451" s="166" customFormat="1" x14ac:dyDescent="0.2"/>
    <row r="19452" s="166" customFormat="1" x14ac:dyDescent="0.2"/>
    <row r="19453" s="166" customFormat="1" x14ac:dyDescent="0.2"/>
    <row r="19454" s="166" customFormat="1" x14ac:dyDescent="0.2"/>
    <row r="19455" s="166" customFormat="1" x14ac:dyDescent="0.2"/>
    <row r="19456" s="166" customFormat="1" x14ac:dyDescent="0.2"/>
    <row r="19457" s="166" customFormat="1" x14ac:dyDescent="0.2"/>
    <row r="19458" s="166" customFormat="1" x14ac:dyDescent="0.2"/>
    <row r="19459" s="166" customFormat="1" x14ac:dyDescent="0.2"/>
    <row r="19460" s="166" customFormat="1" x14ac:dyDescent="0.2"/>
    <row r="19461" s="166" customFormat="1" x14ac:dyDescent="0.2"/>
    <row r="19462" s="166" customFormat="1" x14ac:dyDescent="0.2"/>
    <row r="19463" s="166" customFormat="1" x14ac:dyDescent="0.2"/>
    <row r="19464" s="166" customFormat="1" x14ac:dyDescent="0.2"/>
    <row r="19465" s="166" customFormat="1" x14ac:dyDescent="0.2"/>
    <row r="19466" s="166" customFormat="1" x14ac:dyDescent="0.2"/>
    <row r="19467" s="166" customFormat="1" x14ac:dyDescent="0.2"/>
    <row r="19468" s="166" customFormat="1" x14ac:dyDescent="0.2"/>
    <row r="19469" s="166" customFormat="1" x14ac:dyDescent="0.2"/>
    <row r="19470" s="166" customFormat="1" x14ac:dyDescent="0.2"/>
    <row r="19471" s="166" customFormat="1" x14ac:dyDescent="0.2"/>
    <row r="19472" s="166" customFormat="1" x14ac:dyDescent="0.2"/>
    <row r="19473" s="166" customFormat="1" x14ac:dyDescent="0.2"/>
    <row r="19474" s="166" customFormat="1" x14ac:dyDescent="0.2"/>
    <row r="19475" s="166" customFormat="1" x14ac:dyDescent="0.2"/>
    <row r="19476" s="166" customFormat="1" x14ac:dyDescent="0.2"/>
    <row r="19477" s="166" customFormat="1" x14ac:dyDescent="0.2"/>
    <row r="19478" s="166" customFormat="1" x14ac:dyDescent="0.2"/>
    <row r="19479" s="166" customFormat="1" x14ac:dyDescent="0.2"/>
    <row r="19480" s="166" customFormat="1" x14ac:dyDescent="0.2"/>
    <row r="19481" s="166" customFormat="1" x14ac:dyDescent="0.2"/>
    <row r="19482" s="166" customFormat="1" x14ac:dyDescent="0.2"/>
    <row r="19483" s="166" customFormat="1" x14ac:dyDescent="0.2"/>
    <row r="19484" s="166" customFormat="1" x14ac:dyDescent="0.2"/>
    <row r="19485" s="166" customFormat="1" x14ac:dyDescent="0.2"/>
    <row r="19486" s="166" customFormat="1" x14ac:dyDescent="0.2"/>
    <row r="19487" s="166" customFormat="1" x14ac:dyDescent="0.2"/>
    <row r="19488" s="166" customFormat="1" x14ac:dyDescent="0.2"/>
    <row r="19489" s="166" customFormat="1" x14ac:dyDescent="0.2"/>
    <row r="19490" s="166" customFormat="1" x14ac:dyDescent="0.2"/>
    <row r="19491" s="166" customFormat="1" x14ac:dyDescent="0.2"/>
    <row r="19492" s="166" customFormat="1" x14ac:dyDescent="0.2"/>
    <row r="19493" s="166" customFormat="1" x14ac:dyDescent="0.2"/>
    <row r="19494" s="166" customFormat="1" x14ac:dyDescent="0.2"/>
    <row r="19495" s="166" customFormat="1" x14ac:dyDescent="0.2"/>
    <row r="19496" s="166" customFormat="1" x14ac:dyDescent="0.2"/>
    <row r="19497" s="166" customFormat="1" x14ac:dyDescent="0.2"/>
    <row r="19498" s="166" customFormat="1" x14ac:dyDescent="0.2"/>
    <row r="19499" s="166" customFormat="1" x14ac:dyDescent="0.2"/>
    <row r="19500" s="166" customFormat="1" x14ac:dyDescent="0.2"/>
    <row r="19501" s="166" customFormat="1" x14ac:dyDescent="0.2"/>
    <row r="19502" s="166" customFormat="1" x14ac:dyDescent="0.2"/>
    <row r="19503" s="166" customFormat="1" x14ac:dyDescent="0.2"/>
    <row r="19504" s="166" customFormat="1" x14ac:dyDescent="0.2"/>
    <row r="19505" s="166" customFormat="1" x14ac:dyDescent="0.2"/>
    <row r="19506" s="166" customFormat="1" x14ac:dyDescent="0.2"/>
    <row r="19507" s="166" customFormat="1" x14ac:dyDescent="0.2"/>
    <row r="19508" s="166" customFormat="1" x14ac:dyDescent="0.2"/>
    <row r="19509" s="166" customFormat="1" x14ac:dyDescent="0.2"/>
    <row r="19510" s="166" customFormat="1" x14ac:dyDescent="0.2"/>
    <row r="19511" s="166" customFormat="1" x14ac:dyDescent="0.2"/>
    <row r="19512" s="166" customFormat="1" x14ac:dyDescent="0.2"/>
    <row r="19513" s="166" customFormat="1" x14ac:dyDescent="0.2"/>
    <row r="19514" s="166" customFormat="1" x14ac:dyDescent="0.2"/>
    <row r="19515" s="166" customFormat="1" x14ac:dyDescent="0.2"/>
    <row r="19516" s="166" customFormat="1" x14ac:dyDescent="0.2"/>
    <row r="19517" s="166" customFormat="1" x14ac:dyDescent="0.2"/>
    <row r="19518" s="166" customFormat="1" x14ac:dyDescent="0.2"/>
    <row r="19519" s="166" customFormat="1" x14ac:dyDescent="0.2"/>
    <row r="19520" s="166" customFormat="1" x14ac:dyDescent="0.2"/>
    <row r="19521" s="166" customFormat="1" x14ac:dyDescent="0.2"/>
    <row r="19522" s="166" customFormat="1" x14ac:dyDescent="0.2"/>
    <row r="19523" s="166" customFormat="1" x14ac:dyDescent="0.2"/>
    <row r="19524" s="166" customFormat="1" x14ac:dyDescent="0.2"/>
    <row r="19525" s="166" customFormat="1" x14ac:dyDescent="0.2"/>
    <row r="19526" s="166" customFormat="1" x14ac:dyDescent="0.2"/>
    <row r="19527" s="166" customFormat="1" x14ac:dyDescent="0.2"/>
    <row r="19528" s="166" customFormat="1" x14ac:dyDescent="0.2"/>
    <row r="19529" s="166" customFormat="1" x14ac:dyDescent="0.2"/>
    <row r="19530" s="166" customFormat="1" x14ac:dyDescent="0.2"/>
    <row r="19531" s="166" customFormat="1" x14ac:dyDescent="0.2"/>
    <row r="19532" s="166" customFormat="1" x14ac:dyDescent="0.2"/>
    <row r="19533" s="166" customFormat="1" x14ac:dyDescent="0.2"/>
    <row r="19534" s="166" customFormat="1" x14ac:dyDescent="0.2"/>
    <row r="19535" s="166" customFormat="1" x14ac:dyDescent="0.2"/>
    <row r="19536" s="166" customFormat="1" x14ac:dyDescent="0.2"/>
    <row r="19537" s="166" customFormat="1" x14ac:dyDescent="0.2"/>
    <row r="19538" s="166" customFormat="1" x14ac:dyDescent="0.2"/>
    <row r="19539" s="166" customFormat="1" x14ac:dyDescent="0.2"/>
    <row r="19540" s="166" customFormat="1" x14ac:dyDescent="0.2"/>
    <row r="19541" s="166" customFormat="1" x14ac:dyDescent="0.2"/>
    <row r="19542" s="166" customFormat="1" x14ac:dyDescent="0.2"/>
    <row r="19543" s="166" customFormat="1" x14ac:dyDescent="0.2"/>
    <row r="19544" s="166" customFormat="1" x14ac:dyDescent="0.2"/>
    <row r="19545" s="166" customFormat="1" x14ac:dyDescent="0.2"/>
    <row r="19546" s="166" customFormat="1" x14ac:dyDescent="0.2"/>
    <row r="19547" s="166" customFormat="1" x14ac:dyDescent="0.2"/>
    <row r="19548" s="166" customFormat="1" x14ac:dyDescent="0.2"/>
    <row r="19549" s="166" customFormat="1" x14ac:dyDescent="0.2"/>
    <row r="19550" s="166" customFormat="1" x14ac:dyDescent="0.2"/>
    <row r="19551" s="166" customFormat="1" x14ac:dyDescent="0.2"/>
    <row r="19552" s="166" customFormat="1" x14ac:dyDescent="0.2"/>
    <row r="19553" s="166" customFormat="1" x14ac:dyDescent="0.2"/>
    <row r="19554" s="166" customFormat="1" x14ac:dyDescent="0.2"/>
    <row r="19555" s="166" customFormat="1" x14ac:dyDescent="0.2"/>
    <row r="19556" s="166" customFormat="1" x14ac:dyDescent="0.2"/>
    <row r="19557" s="166" customFormat="1" x14ac:dyDescent="0.2"/>
    <row r="19558" s="166" customFormat="1" x14ac:dyDescent="0.2"/>
    <row r="19559" s="166" customFormat="1" x14ac:dyDescent="0.2"/>
    <row r="19560" s="166" customFormat="1" x14ac:dyDescent="0.2"/>
    <row r="19561" s="166" customFormat="1" x14ac:dyDescent="0.2"/>
    <row r="19562" s="166" customFormat="1" x14ac:dyDescent="0.2"/>
    <row r="19563" s="166" customFormat="1" x14ac:dyDescent="0.2"/>
    <row r="19564" s="166" customFormat="1" x14ac:dyDescent="0.2"/>
    <row r="19565" s="166" customFormat="1" x14ac:dyDescent="0.2"/>
    <row r="19566" s="166" customFormat="1" x14ac:dyDescent="0.2"/>
    <row r="19567" s="166" customFormat="1" x14ac:dyDescent="0.2"/>
    <row r="19568" s="166" customFormat="1" x14ac:dyDescent="0.2"/>
    <row r="19569" s="166" customFormat="1" x14ac:dyDescent="0.2"/>
    <row r="19570" s="166" customFormat="1" x14ac:dyDescent="0.2"/>
    <row r="19571" s="166" customFormat="1" x14ac:dyDescent="0.2"/>
    <row r="19572" s="166" customFormat="1" x14ac:dyDescent="0.2"/>
    <row r="19573" s="166" customFormat="1" x14ac:dyDescent="0.2"/>
    <row r="19574" s="166" customFormat="1" x14ac:dyDescent="0.2"/>
    <row r="19575" s="166" customFormat="1" x14ac:dyDescent="0.2"/>
    <row r="19576" s="166" customFormat="1" x14ac:dyDescent="0.2"/>
    <row r="19577" s="166" customFormat="1" x14ac:dyDescent="0.2"/>
    <row r="19578" s="166" customFormat="1" x14ac:dyDescent="0.2"/>
    <row r="19579" s="166" customFormat="1" x14ac:dyDescent="0.2"/>
    <row r="19580" s="166" customFormat="1" x14ac:dyDescent="0.2"/>
    <row r="19581" s="166" customFormat="1" x14ac:dyDescent="0.2"/>
    <row r="19582" s="166" customFormat="1" x14ac:dyDescent="0.2"/>
    <row r="19583" s="166" customFormat="1" x14ac:dyDescent="0.2"/>
    <row r="19584" s="166" customFormat="1" x14ac:dyDescent="0.2"/>
    <row r="19585" s="166" customFormat="1" x14ac:dyDescent="0.2"/>
    <row r="19586" s="166" customFormat="1" x14ac:dyDescent="0.2"/>
    <row r="19587" s="166" customFormat="1" x14ac:dyDescent="0.2"/>
    <row r="19588" s="166" customFormat="1" x14ac:dyDescent="0.2"/>
    <row r="19589" s="166" customFormat="1" x14ac:dyDescent="0.2"/>
    <row r="19590" s="166" customFormat="1" x14ac:dyDescent="0.2"/>
    <row r="19591" s="166" customFormat="1" x14ac:dyDescent="0.2"/>
    <row r="19592" s="166" customFormat="1" x14ac:dyDescent="0.2"/>
    <row r="19593" s="166" customFormat="1" x14ac:dyDescent="0.2"/>
    <row r="19594" s="166" customFormat="1" x14ac:dyDescent="0.2"/>
    <row r="19595" s="166" customFormat="1" x14ac:dyDescent="0.2"/>
    <row r="19596" s="166" customFormat="1" x14ac:dyDescent="0.2"/>
    <row r="19597" s="166" customFormat="1" x14ac:dyDescent="0.2"/>
    <row r="19598" s="166" customFormat="1" x14ac:dyDescent="0.2"/>
    <row r="19599" s="166" customFormat="1" x14ac:dyDescent="0.2"/>
    <row r="19600" s="166" customFormat="1" x14ac:dyDescent="0.2"/>
    <row r="19601" s="166" customFormat="1" x14ac:dyDescent="0.2"/>
    <row r="19602" s="166" customFormat="1" x14ac:dyDescent="0.2"/>
    <row r="19603" s="166" customFormat="1" x14ac:dyDescent="0.2"/>
    <row r="19604" s="166" customFormat="1" x14ac:dyDescent="0.2"/>
    <row r="19605" s="166" customFormat="1" x14ac:dyDescent="0.2"/>
    <row r="19606" s="166" customFormat="1" x14ac:dyDescent="0.2"/>
    <row r="19607" s="166" customFormat="1" x14ac:dyDescent="0.2"/>
    <row r="19608" s="166" customFormat="1" x14ac:dyDescent="0.2"/>
    <row r="19609" s="166" customFormat="1" x14ac:dyDescent="0.2"/>
    <row r="19610" s="166" customFormat="1" x14ac:dyDescent="0.2"/>
    <row r="19611" s="166" customFormat="1" x14ac:dyDescent="0.2"/>
    <row r="19612" s="166" customFormat="1" x14ac:dyDescent="0.2"/>
    <row r="19613" s="166" customFormat="1" x14ac:dyDescent="0.2"/>
    <row r="19614" s="166" customFormat="1" x14ac:dyDescent="0.2"/>
    <row r="19615" s="166" customFormat="1" x14ac:dyDescent="0.2"/>
    <row r="19616" s="166" customFormat="1" x14ac:dyDescent="0.2"/>
    <row r="19617" s="166" customFormat="1" x14ac:dyDescent="0.2"/>
    <row r="19618" s="166" customFormat="1" x14ac:dyDescent="0.2"/>
    <row r="19619" s="166" customFormat="1" x14ac:dyDescent="0.2"/>
    <row r="19620" s="166" customFormat="1" x14ac:dyDescent="0.2"/>
    <row r="19621" s="166" customFormat="1" x14ac:dyDescent="0.2"/>
    <row r="19622" s="166" customFormat="1" x14ac:dyDescent="0.2"/>
    <row r="19623" s="166" customFormat="1" x14ac:dyDescent="0.2"/>
    <row r="19624" s="166" customFormat="1" x14ac:dyDescent="0.2"/>
    <row r="19625" s="166" customFormat="1" x14ac:dyDescent="0.2"/>
    <row r="19626" s="166" customFormat="1" x14ac:dyDescent="0.2"/>
    <row r="19627" s="166" customFormat="1" x14ac:dyDescent="0.2"/>
    <row r="19628" s="166" customFormat="1" x14ac:dyDescent="0.2"/>
    <row r="19629" s="166" customFormat="1" x14ac:dyDescent="0.2"/>
    <row r="19630" s="166" customFormat="1" x14ac:dyDescent="0.2"/>
    <row r="19631" s="166" customFormat="1" x14ac:dyDescent="0.2"/>
    <row r="19632" s="166" customFormat="1" x14ac:dyDescent="0.2"/>
    <row r="19633" s="166" customFormat="1" x14ac:dyDescent="0.2"/>
    <row r="19634" s="166" customFormat="1" x14ac:dyDescent="0.2"/>
    <row r="19635" s="166" customFormat="1" x14ac:dyDescent="0.2"/>
    <row r="19636" s="166" customFormat="1" x14ac:dyDescent="0.2"/>
    <row r="19637" s="166" customFormat="1" x14ac:dyDescent="0.2"/>
    <row r="19638" s="166" customFormat="1" x14ac:dyDescent="0.2"/>
    <row r="19639" s="166" customFormat="1" x14ac:dyDescent="0.2"/>
    <row r="19640" s="166" customFormat="1" x14ac:dyDescent="0.2"/>
    <row r="19641" s="166" customFormat="1" x14ac:dyDescent="0.2"/>
    <row r="19642" s="166" customFormat="1" x14ac:dyDescent="0.2"/>
    <row r="19643" s="166" customFormat="1" x14ac:dyDescent="0.2"/>
    <row r="19644" s="166" customFormat="1" x14ac:dyDescent="0.2"/>
    <row r="19645" s="166" customFormat="1" x14ac:dyDescent="0.2"/>
    <row r="19646" s="166" customFormat="1" x14ac:dyDescent="0.2"/>
    <row r="19647" s="166" customFormat="1" x14ac:dyDescent="0.2"/>
    <row r="19648" s="166" customFormat="1" x14ac:dyDescent="0.2"/>
    <row r="19649" s="166" customFormat="1" x14ac:dyDescent="0.2"/>
    <row r="19650" s="166" customFormat="1" x14ac:dyDescent="0.2"/>
    <row r="19651" s="166" customFormat="1" x14ac:dyDescent="0.2"/>
    <row r="19652" s="166" customFormat="1" x14ac:dyDescent="0.2"/>
    <row r="19653" s="166" customFormat="1" x14ac:dyDescent="0.2"/>
    <row r="19654" s="166" customFormat="1" x14ac:dyDescent="0.2"/>
    <row r="19655" s="166" customFormat="1" x14ac:dyDescent="0.2"/>
    <row r="19656" s="166" customFormat="1" x14ac:dyDescent="0.2"/>
    <row r="19657" s="166" customFormat="1" x14ac:dyDescent="0.2"/>
    <row r="19658" s="166" customFormat="1" x14ac:dyDescent="0.2"/>
    <row r="19659" s="166" customFormat="1" x14ac:dyDescent="0.2"/>
    <row r="19660" s="166" customFormat="1" x14ac:dyDescent="0.2"/>
    <row r="19661" s="166" customFormat="1" x14ac:dyDescent="0.2"/>
    <row r="19662" s="166" customFormat="1" x14ac:dyDescent="0.2"/>
    <row r="19663" s="166" customFormat="1" x14ac:dyDescent="0.2"/>
    <row r="19664" s="166" customFormat="1" x14ac:dyDescent="0.2"/>
    <row r="19665" s="166" customFormat="1" x14ac:dyDescent="0.2"/>
    <row r="19666" s="166" customFormat="1" x14ac:dyDescent="0.2"/>
    <row r="19667" s="166" customFormat="1" x14ac:dyDescent="0.2"/>
    <row r="19668" s="166" customFormat="1" x14ac:dyDescent="0.2"/>
    <row r="19669" s="166" customFormat="1" x14ac:dyDescent="0.2"/>
    <row r="19670" s="166" customFormat="1" x14ac:dyDescent="0.2"/>
    <row r="19671" s="166" customFormat="1" x14ac:dyDescent="0.2"/>
    <row r="19672" s="166" customFormat="1" x14ac:dyDescent="0.2"/>
    <row r="19673" s="166" customFormat="1" x14ac:dyDescent="0.2"/>
    <row r="19674" s="166" customFormat="1" x14ac:dyDescent="0.2"/>
    <row r="19675" s="166" customFormat="1" x14ac:dyDescent="0.2"/>
    <row r="19676" s="166" customFormat="1" x14ac:dyDescent="0.2"/>
    <row r="19677" s="166" customFormat="1" x14ac:dyDescent="0.2"/>
    <row r="19678" s="166" customFormat="1" x14ac:dyDescent="0.2"/>
    <row r="19679" s="166" customFormat="1" x14ac:dyDescent="0.2"/>
    <row r="19680" s="166" customFormat="1" x14ac:dyDescent="0.2"/>
    <row r="19681" s="166" customFormat="1" x14ac:dyDescent="0.2"/>
    <row r="19682" s="166" customFormat="1" x14ac:dyDescent="0.2"/>
    <row r="19683" s="166" customFormat="1" x14ac:dyDescent="0.2"/>
    <row r="19684" s="166" customFormat="1" x14ac:dyDescent="0.2"/>
    <row r="19685" s="166" customFormat="1" x14ac:dyDescent="0.2"/>
    <row r="19686" s="166" customFormat="1" x14ac:dyDescent="0.2"/>
    <row r="19687" s="166" customFormat="1" x14ac:dyDescent="0.2"/>
    <row r="19688" s="166" customFormat="1" x14ac:dyDescent="0.2"/>
    <row r="19689" s="166" customFormat="1" x14ac:dyDescent="0.2"/>
    <row r="19690" s="166" customFormat="1" x14ac:dyDescent="0.2"/>
    <row r="19691" s="166" customFormat="1" x14ac:dyDescent="0.2"/>
    <row r="19692" s="166" customFormat="1" x14ac:dyDescent="0.2"/>
    <row r="19693" s="166" customFormat="1" x14ac:dyDescent="0.2"/>
    <row r="19694" s="166" customFormat="1" x14ac:dyDescent="0.2"/>
    <row r="19695" s="166" customFormat="1" x14ac:dyDescent="0.2"/>
    <row r="19696" s="166" customFormat="1" x14ac:dyDescent="0.2"/>
    <row r="19697" s="166" customFormat="1" x14ac:dyDescent="0.2"/>
    <row r="19698" s="166" customFormat="1" x14ac:dyDescent="0.2"/>
    <row r="19699" s="166" customFormat="1" x14ac:dyDescent="0.2"/>
    <row r="19700" s="166" customFormat="1" x14ac:dyDescent="0.2"/>
    <row r="19701" s="166" customFormat="1" x14ac:dyDescent="0.2"/>
    <row r="19702" s="166" customFormat="1" x14ac:dyDescent="0.2"/>
    <row r="19703" s="166" customFormat="1" x14ac:dyDescent="0.2"/>
    <row r="19704" s="166" customFormat="1" x14ac:dyDescent="0.2"/>
    <row r="19705" s="166" customFormat="1" x14ac:dyDescent="0.2"/>
    <row r="19706" s="166" customFormat="1" x14ac:dyDescent="0.2"/>
    <row r="19707" s="166" customFormat="1" x14ac:dyDescent="0.2"/>
    <row r="19708" s="166" customFormat="1" x14ac:dyDescent="0.2"/>
    <row r="19709" s="166" customFormat="1" x14ac:dyDescent="0.2"/>
    <row r="19710" s="166" customFormat="1" x14ac:dyDescent="0.2"/>
    <row r="19711" s="166" customFormat="1" x14ac:dyDescent="0.2"/>
    <row r="19712" s="166" customFormat="1" x14ac:dyDescent="0.2"/>
    <row r="19713" s="166" customFormat="1" x14ac:dyDescent="0.2"/>
    <row r="19714" s="166" customFormat="1" x14ac:dyDescent="0.2"/>
    <row r="19715" s="166" customFormat="1" x14ac:dyDescent="0.2"/>
    <row r="19716" s="166" customFormat="1" x14ac:dyDescent="0.2"/>
    <row r="19717" s="166" customFormat="1" x14ac:dyDescent="0.2"/>
    <row r="19718" s="166" customFormat="1" x14ac:dyDescent="0.2"/>
    <row r="19719" s="166" customFormat="1" x14ac:dyDescent="0.2"/>
    <row r="19720" s="166" customFormat="1" x14ac:dyDescent="0.2"/>
    <row r="19721" s="166" customFormat="1" x14ac:dyDescent="0.2"/>
    <row r="19722" s="166" customFormat="1" x14ac:dyDescent="0.2"/>
    <row r="19723" s="166" customFormat="1" x14ac:dyDescent="0.2"/>
    <row r="19724" s="166" customFormat="1" x14ac:dyDescent="0.2"/>
    <row r="19725" s="166" customFormat="1" x14ac:dyDescent="0.2"/>
    <row r="19726" s="166" customFormat="1" x14ac:dyDescent="0.2"/>
    <row r="19727" s="166" customFormat="1" x14ac:dyDescent="0.2"/>
    <row r="19728" s="166" customFormat="1" x14ac:dyDescent="0.2"/>
    <row r="19729" s="166" customFormat="1" x14ac:dyDescent="0.2"/>
    <row r="19730" s="166" customFormat="1" x14ac:dyDescent="0.2"/>
    <row r="19731" s="166" customFormat="1" x14ac:dyDescent="0.2"/>
    <row r="19732" s="166" customFormat="1" x14ac:dyDescent="0.2"/>
    <row r="19733" s="166" customFormat="1" x14ac:dyDescent="0.2"/>
    <row r="19734" s="166" customFormat="1" x14ac:dyDescent="0.2"/>
    <row r="19735" s="166" customFormat="1" x14ac:dyDescent="0.2"/>
    <row r="19736" s="166" customFormat="1" x14ac:dyDescent="0.2"/>
    <row r="19737" s="166" customFormat="1" x14ac:dyDescent="0.2"/>
    <row r="19738" s="166" customFormat="1" x14ac:dyDescent="0.2"/>
    <row r="19739" s="166" customFormat="1" x14ac:dyDescent="0.2"/>
    <row r="19740" s="166" customFormat="1" x14ac:dyDescent="0.2"/>
    <row r="19741" s="166" customFormat="1" x14ac:dyDescent="0.2"/>
    <row r="19742" s="166" customFormat="1" x14ac:dyDescent="0.2"/>
    <row r="19743" s="166" customFormat="1" x14ac:dyDescent="0.2"/>
    <row r="19744" s="166" customFormat="1" x14ac:dyDescent="0.2"/>
    <row r="19745" s="166" customFormat="1" x14ac:dyDescent="0.2"/>
    <row r="19746" s="166" customFormat="1" x14ac:dyDescent="0.2"/>
    <row r="19747" s="166" customFormat="1" x14ac:dyDescent="0.2"/>
    <row r="19748" s="166" customFormat="1" x14ac:dyDescent="0.2"/>
    <row r="19749" s="166" customFormat="1" x14ac:dyDescent="0.2"/>
    <row r="19750" s="166" customFormat="1" x14ac:dyDescent="0.2"/>
    <row r="19751" s="166" customFormat="1" x14ac:dyDescent="0.2"/>
    <row r="19752" s="166" customFormat="1" x14ac:dyDescent="0.2"/>
    <row r="19753" s="166" customFormat="1" x14ac:dyDescent="0.2"/>
    <row r="19754" s="166" customFormat="1" x14ac:dyDescent="0.2"/>
    <row r="19755" s="166" customFormat="1" x14ac:dyDescent="0.2"/>
    <row r="19756" s="166" customFormat="1" x14ac:dyDescent="0.2"/>
    <row r="19757" s="166" customFormat="1" x14ac:dyDescent="0.2"/>
    <row r="19758" s="166" customFormat="1" x14ac:dyDescent="0.2"/>
    <row r="19759" s="166" customFormat="1" x14ac:dyDescent="0.2"/>
    <row r="19760" s="166" customFormat="1" x14ac:dyDescent="0.2"/>
    <row r="19761" s="166" customFormat="1" x14ac:dyDescent="0.2"/>
    <row r="19762" s="166" customFormat="1" x14ac:dyDescent="0.2"/>
    <row r="19763" s="166" customFormat="1" x14ac:dyDescent="0.2"/>
    <row r="19764" s="166" customFormat="1" x14ac:dyDescent="0.2"/>
    <row r="19765" s="166" customFormat="1" x14ac:dyDescent="0.2"/>
    <row r="19766" s="166" customFormat="1" x14ac:dyDescent="0.2"/>
    <row r="19767" s="166" customFormat="1" x14ac:dyDescent="0.2"/>
    <row r="19768" s="166" customFormat="1" x14ac:dyDescent="0.2"/>
    <row r="19769" s="166" customFormat="1" x14ac:dyDescent="0.2"/>
    <row r="19770" s="166" customFormat="1" x14ac:dyDescent="0.2"/>
    <row r="19771" s="166" customFormat="1" x14ac:dyDescent="0.2"/>
    <row r="19772" s="166" customFormat="1" x14ac:dyDescent="0.2"/>
    <row r="19773" s="166" customFormat="1" x14ac:dyDescent="0.2"/>
    <row r="19774" s="166" customFormat="1" x14ac:dyDescent="0.2"/>
    <row r="19775" s="166" customFormat="1" x14ac:dyDescent="0.2"/>
    <row r="19776" s="166" customFormat="1" x14ac:dyDescent="0.2"/>
    <row r="19777" s="166" customFormat="1" x14ac:dyDescent="0.2"/>
    <row r="19778" s="166" customFormat="1" x14ac:dyDescent="0.2"/>
    <row r="19779" s="166" customFormat="1" x14ac:dyDescent="0.2"/>
    <row r="19780" s="166" customFormat="1" x14ac:dyDescent="0.2"/>
    <row r="19781" s="166" customFormat="1" x14ac:dyDescent="0.2"/>
    <row r="19782" s="166" customFormat="1" x14ac:dyDescent="0.2"/>
    <row r="19783" s="166" customFormat="1" x14ac:dyDescent="0.2"/>
    <row r="19784" s="166" customFormat="1" x14ac:dyDescent="0.2"/>
    <row r="19785" s="166" customFormat="1" x14ac:dyDescent="0.2"/>
    <row r="19786" s="166" customFormat="1" x14ac:dyDescent="0.2"/>
    <row r="19787" s="166" customFormat="1" x14ac:dyDescent="0.2"/>
    <row r="19788" s="166" customFormat="1" x14ac:dyDescent="0.2"/>
    <row r="19789" s="166" customFormat="1" x14ac:dyDescent="0.2"/>
    <row r="19790" s="166" customFormat="1" x14ac:dyDescent="0.2"/>
    <row r="19791" s="166" customFormat="1" x14ac:dyDescent="0.2"/>
    <row r="19792" s="166" customFormat="1" x14ac:dyDescent="0.2"/>
    <row r="19793" s="166" customFormat="1" x14ac:dyDescent="0.2"/>
    <row r="19794" s="166" customFormat="1" x14ac:dyDescent="0.2"/>
    <row r="19795" s="166" customFormat="1" x14ac:dyDescent="0.2"/>
    <row r="19796" s="166" customFormat="1" x14ac:dyDescent="0.2"/>
    <row r="19797" s="166" customFormat="1" x14ac:dyDescent="0.2"/>
    <row r="19798" s="166" customFormat="1" x14ac:dyDescent="0.2"/>
    <row r="19799" s="166" customFormat="1" x14ac:dyDescent="0.2"/>
    <row r="19800" s="166" customFormat="1" x14ac:dyDescent="0.2"/>
    <row r="19801" s="166" customFormat="1" x14ac:dyDescent="0.2"/>
    <row r="19802" s="166" customFormat="1" x14ac:dyDescent="0.2"/>
    <row r="19803" s="166" customFormat="1" x14ac:dyDescent="0.2"/>
    <row r="19804" s="166" customFormat="1" x14ac:dyDescent="0.2"/>
    <row r="19805" s="166" customFormat="1" x14ac:dyDescent="0.2"/>
    <row r="19806" s="166" customFormat="1" x14ac:dyDescent="0.2"/>
    <row r="19807" s="166" customFormat="1" x14ac:dyDescent="0.2"/>
    <row r="19808" s="166" customFormat="1" x14ac:dyDescent="0.2"/>
    <row r="19809" s="166" customFormat="1" x14ac:dyDescent="0.2"/>
    <row r="19810" s="166" customFormat="1" x14ac:dyDescent="0.2"/>
    <row r="19811" s="166" customFormat="1" x14ac:dyDescent="0.2"/>
    <row r="19812" s="166" customFormat="1" x14ac:dyDescent="0.2"/>
    <row r="19813" s="166" customFormat="1" x14ac:dyDescent="0.2"/>
    <row r="19814" s="166" customFormat="1" x14ac:dyDescent="0.2"/>
    <row r="19815" s="166" customFormat="1" x14ac:dyDescent="0.2"/>
    <row r="19816" s="166" customFormat="1" x14ac:dyDescent="0.2"/>
    <row r="19817" s="166" customFormat="1" x14ac:dyDescent="0.2"/>
    <row r="19818" s="166" customFormat="1" x14ac:dyDescent="0.2"/>
    <row r="19819" s="166" customFormat="1" x14ac:dyDescent="0.2"/>
    <row r="19820" s="166" customFormat="1" x14ac:dyDescent="0.2"/>
    <row r="19821" s="166" customFormat="1" x14ac:dyDescent="0.2"/>
    <row r="19822" s="166" customFormat="1" x14ac:dyDescent="0.2"/>
    <row r="19823" s="166" customFormat="1" x14ac:dyDescent="0.2"/>
    <row r="19824" s="166" customFormat="1" x14ac:dyDescent="0.2"/>
    <row r="19825" s="166" customFormat="1" x14ac:dyDescent="0.2"/>
    <row r="19826" s="166" customFormat="1" x14ac:dyDescent="0.2"/>
    <row r="19827" s="166" customFormat="1" x14ac:dyDescent="0.2"/>
    <row r="19828" s="166" customFormat="1" x14ac:dyDescent="0.2"/>
    <row r="19829" s="166" customFormat="1" x14ac:dyDescent="0.2"/>
    <row r="19830" s="166" customFormat="1" x14ac:dyDescent="0.2"/>
    <row r="19831" s="166" customFormat="1" x14ac:dyDescent="0.2"/>
    <row r="19832" s="166" customFormat="1" x14ac:dyDescent="0.2"/>
    <row r="19833" s="166" customFormat="1" x14ac:dyDescent="0.2"/>
    <row r="19834" s="166" customFormat="1" x14ac:dyDescent="0.2"/>
    <row r="19835" s="166" customFormat="1" x14ac:dyDescent="0.2"/>
    <row r="19836" s="166" customFormat="1" x14ac:dyDescent="0.2"/>
    <row r="19837" s="166" customFormat="1" x14ac:dyDescent="0.2"/>
    <row r="19838" s="166" customFormat="1" x14ac:dyDescent="0.2"/>
    <row r="19839" s="166" customFormat="1" x14ac:dyDescent="0.2"/>
    <row r="19840" s="166" customFormat="1" x14ac:dyDescent="0.2"/>
    <row r="19841" s="166" customFormat="1" x14ac:dyDescent="0.2"/>
    <row r="19842" s="166" customFormat="1" x14ac:dyDescent="0.2"/>
    <row r="19843" s="166" customFormat="1" x14ac:dyDescent="0.2"/>
    <row r="19844" s="166" customFormat="1" x14ac:dyDescent="0.2"/>
    <row r="19845" s="166" customFormat="1" x14ac:dyDescent="0.2"/>
    <row r="19846" s="166" customFormat="1" x14ac:dyDescent="0.2"/>
    <row r="19847" s="166" customFormat="1" x14ac:dyDescent="0.2"/>
    <row r="19848" s="166" customFormat="1" x14ac:dyDescent="0.2"/>
    <row r="19849" s="166" customFormat="1" x14ac:dyDescent="0.2"/>
    <row r="19850" s="166" customFormat="1" x14ac:dyDescent="0.2"/>
    <row r="19851" s="166" customFormat="1" x14ac:dyDescent="0.2"/>
    <row r="19852" s="166" customFormat="1" x14ac:dyDescent="0.2"/>
    <row r="19853" s="166" customFormat="1" x14ac:dyDescent="0.2"/>
    <row r="19854" s="166" customFormat="1" x14ac:dyDescent="0.2"/>
    <row r="19855" s="166" customFormat="1" x14ac:dyDescent="0.2"/>
    <row r="19856" s="166" customFormat="1" x14ac:dyDescent="0.2"/>
    <row r="19857" s="166" customFormat="1" x14ac:dyDescent="0.2"/>
    <row r="19858" s="166" customFormat="1" x14ac:dyDescent="0.2"/>
    <row r="19859" s="166" customFormat="1" x14ac:dyDescent="0.2"/>
    <row r="19860" s="166" customFormat="1" x14ac:dyDescent="0.2"/>
    <row r="19861" s="166" customFormat="1" x14ac:dyDescent="0.2"/>
    <row r="19862" s="166" customFormat="1" x14ac:dyDescent="0.2"/>
    <row r="19863" s="166" customFormat="1" x14ac:dyDescent="0.2"/>
    <row r="19864" s="166" customFormat="1" x14ac:dyDescent="0.2"/>
    <row r="19865" s="166" customFormat="1" x14ac:dyDescent="0.2"/>
    <row r="19866" s="166" customFormat="1" x14ac:dyDescent="0.2"/>
    <row r="19867" s="166" customFormat="1" x14ac:dyDescent="0.2"/>
    <row r="19868" s="166" customFormat="1" x14ac:dyDescent="0.2"/>
    <row r="19869" s="166" customFormat="1" x14ac:dyDescent="0.2"/>
    <row r="19870" s="166" customFormat="1" x14ac:dyDescent="0.2"/>
    <row r="19871" s="166" customFormat="1" x14ac:dyDescent="0.2"/>
    <row r="19872" s="166" customFormat="1" x14ac:dyDescent="0.2"/>
    <row r="19873" s="166" customFormat="1" x14ac:dyDescent="0.2"/>
    <row r="19874" s="166" customFormat="1" x14ac:dyDescent="0.2"/>
    <row r="19875" s="166" customFormat="1" x14ac:dyDescent="0.2"/>
    <row r="19876" s="166" customFormat="1" x14ac:dyDescent="0.2"/>
    <row r="19877" s="166" customFormat="1" x14ac:dyDescent="0.2"/>
    <row r="19878" s="166" customFormat="1" x14ac:dyDescent="0.2"/>
    <row r="19879" s="166" customFormat="1" x14ac:dyDescent="0.2"/>
    <row r="19880" s="166" customFormat="1" x14ac:dyDescent="0.2"/>
    <row r="19881" s="166" customFormat="1" x14ac:dyDescent="0.2"/>
    <row r="19882" s="166" customFormat="1" x14ac:dyDescent="0.2"/>
    <row r="19883" s="166" customFormat="1" x14ac:dyDescent="0.2"/>
    <row r="19884" s="166" customFormat="1" x14ac:dyDescent="0.2"/>
    <row r="19885" s="166" customFormat="1" x14ac:dyDescent="0.2"/>
    <row r="19886" s="166" customFormat="1" x14ac:dyDescent="0.2"/>
    <row r="19887" s="166" customFormat="1" x14ac:dyDescent="0.2"/>
    <row r="19888" s="166" customFormat="1" x14ac:dyDescent="0.2"/>
    <row r="19889" s="166" customFormat="1" x14ac:dyDescent="0.2"/>
    <row r="19890" s="166" customFormat="1" x14ac:dyDescent="0.2"/>
    <row r="19891" s="166" customFormat="1" x14ac:dyDescent="0.2"/>
    <row r="19892" s="166" customFormat="1" x14ac:dyDescent="0.2"/>
    <row r="19893" s="166" customFormat="1" x14ac:dyDescent="0.2"/>
    <row r="19894" s="166" customFormat="1" x14ac:dyDescent="0.2"/>
    <row r="19895" s="166" customFormat="1" x14ac:dyDescent="0.2"/>
    <row r="19896" s="166" customFormat="1" x14ac:dyDescent="0.2"/>
    <row r="19897" s="166" customFormat="1" x14ac:dyDescent="0.2"/>
    <row r="19898" s="166" customFormat="1" x14ac:dyDescent="0.2"/>
    <row r="19899" s="166" customFormat="1" x14ac:dyDescent="0.2"/>
    <row r="19900" s="166" customFormat="1" x14ac:dyDescent="0.2"/>
    <row r="19901" s="166" customFormat="1" x14ac:dyDescent="0.2"/>
    <row r="19902" s="166" customFormat="1" x14ac:dyDescent="0.2"/>
    <row r="19903" s="166" customFormat="1" x14ac:dyDescent="0.2"/>
    <row r="19904" s="166" customFormat="1" x14ac:dyDescent="0.2"/>
    <row r="19905" s="166" customFormat="1" x14ac:dyDescent="0.2"/>
    <row r="19906" s="166" customFormat="1" x14ac:dyDescent="0.2"/>
    <row r="19907" s="166" customFormat="1" x14ac:dyDescent="0.2"/>
    <row r="19908" s="166" customFormat="1" x14ac:dyDescent="0.2"/>
    <row r="19909" s="166" customFormat="1" x14ac:dyDescent="0.2"/>
    <row r="19910" s="166" customFormat="1" x14ac:dyDescent="0.2"/>
    <row r="19911" s="166" customFormat="1" x14ac:dyDescent="0.2"/>
    <row r="19912" s="166" customFormat="1" x14ac:dyDescent="0.2"/>
    <row r="19913" s="166" customFormat="1" x14ac:dyDescent="0.2"/>
    <row r="19914" s="166" customFormat="1" x14ac:dyDescent="0.2"/>
    <row r="19915" s="166" customFormat="1" x14ac:dyDescent="0.2"/>
    <row r="19916" s="166" customFormat="1" x14ac:dyDescent="0.2"/>
    <row r="19917" s="166" customFormat="1" x14ac:dyDescent="0.2"/>
    <row r="19918" s="166" customFormat="1" x14ac:dyDescent="0.2"/>
    <row r="19919" s="166" customFormat="1" x14ac:dyDescent="0.2"/>
    <row r="19920" s="166" customFormat="1" x14ac:dyDescent="0.2"/>
    <row r="19921" s="166" customFormat="1" x14ac:dyDescent="0.2"/>
    <row r="19922" s="166" customFormat="1" x14ac:dyDescent="0.2"/>
    <row r="19923" s="166" customFormat="1" x14ac:dyDescent="0.2"/>
    <row r="19924" s="166" customFormat="1" x14ac:dyDescent="0.2"/>
    <row r="19925" s="166" customFormat="1" x14ac:dyDescent="0.2"/>
    <row r="19926" s="166" customFormat="1" x14ac:dyDescent="0.2"/>
    <row r="19927" s="166" customFormat="1" x14ac:dyDescent="0.2"/>
    <row r="19928" s="166" customFormat="1" x14ac:dyDescent="0.2"/>
    <row r="19929" s="166" customFormat="1" x14ac:dyDescent="0.2"/>
    <row r="19930" s="166" customFormat="1" x14ac:dyDescent="0.2"/>
    <row r="19931" s="166" customFormat="1" x14ac:dyDescent="0.2"/>
    <row r="19932" s="166" customFormat="1" x14ac:dyDescent="0.2"/>
    <row r="19933" s="166" customFormat="1" x14ac:dyDescent="0.2"/>
    <row r="19934" s="166" customFormat="1" x14ac:dyDescent="0.2"/>
    <row r="19935" s="166" customFormat="1" x14ac:dyDescent="0.2"/>
    <row r="19936" s="166" customFormat="1" x14ac:dyDescent="0.2"/>
    <row r="19937" s="166" customFormat="1" x14ac:dyDescent="0.2"/>
    <row r="19938" s="166" customFormat="1" x14ac:dyDescent="0.2"/>
    <row r="19939" s="166" customFormat="1" x14ac:dyDescent="0.2"/>
    <row r="19940" s="166" customFormat="1" x14ac:dyDescent="0.2"/>
    <row r="19941" s="166" customFormat="1" x14ac:dyDescent="0.2"/>
    <row r="19942" s="166" customFormat="1" x14ac:dyDescent="0.2"/>
    <row r="19943" s="166" customFormat="1" x14ac:dyDescent="0.2"/>
    <row r="19944" s="166" customFormat="1" x14ac:dyDescent="0.2"/>
    <row r="19945" s="166" customFormat="1" x14ac:dyDescent="0.2"/>
    <row r="19946" s="166" customFormat="1" x14ac:dyDescent="0.2"/>
    <row r="19947" s="166" customFormat="1" x14ac:dyDescent="0.2"/>
    <row r="19948" s="166" customFormat="1" x14ac:dyDescent="0.2"/>
    <row r="19949" s="166" customFormat="1" x14ac:dyDescent="0.2"/>
    <row r="19950" s="166" customFormat="1" x14ac:dyDescent="0.2"/>
    <row r="19951" s="166" customFormat="1" x14ac:dyDescent="0.2"/>
    <row r="19952" s="166" customFormat="1" x14ac:dyDescent="0.2"/>
    <row r="19953" s="166" customFormat="1" x14ac:dyDescent="0.2"/>
    <row r="19954" s="166" customFormat="1" x14ac:dyDescent="0.2"/>
    <row r="19955" s="166" customFormat="1" x14ac:dyDescent="0.2"/>
    <row r="19956" s="166" customFormat="1" x14ac:dyDescent="0.2"/>
    <row r="19957" s="166" customFormat="1" x14ac:dyDescent="0.2"/>
    <row r="19958" s="166" customFormat="1" x14ac:dyDescent="0.2"/>
    <row r="19959" s="166" customFormat="1" x14ac:dyDescent="0.2"/>
    <row r="19960" s="166" customFormat="1" x14ac:dyDescent="0.2"/>
    <row r="19961" s="166" customFormat="1" x14ac:dyDescent="0.2"/>
    <row r="19962" s="166" customFormat="1" x14ac:dyDescent="0.2"/>
    <row r="19963" s="166" customFormat="1" x14ac:dyDescent="0.2"/>
    <row r="19964" s="166" customFormat="1" x14ac:dyDescent="0.2"/>
    <row r="19965" s="166" customFormat="1" x14ac:dyDescent="0.2"/>
    <row r="19966" s="166" customFormat="1" x14ac:dyDescent="0.2"/>
    <row r="19967" s="166" customFormat="1" x14ac:dyDescent="0.2"/>
    <row r="19968" s="166" customFormat="1" x14ac:dyDescent="0.2"/>
    <row r="19969" s="166" customFormat="1" x14ac:dyDescent="0.2"/>
    <row r="19970" s="166" customFormat="1" x14ac:dyDescent="0.2"/>
    <row r="19971" s="166" customFormat="1" x14ac:dyDescent="0.2"/>
    <row r="19972" s="166" customFormat="1" x14ac:dyDescent="0.2"/>
    <row r="19973" s="166" customFormat="1" x14ac:dyDescent="0.2"/>
    <row r="19974" s="166" customFormat="1" x14ac:dyDescent="0.2"/>
    <row r="19975" s="166" customFormat="1" x14ac:dyDescent="0.2"/>
    <row r="19976" s="166" customFormat="1" x14ac:dyDescent="0.2"/>
    <row r="19977" s="166" customFormat="1" x14ac:dyDescent="0.2"/>
    <row r="19978" s="166" customFormat="1" x14ac:dyDescent="0.2"/>
    <row r="19979" s="166" customFormat="1" x14ac:dyDescent="0.2"/>
    <row r="19980" s="166" customFormat="1" x14ac:dyDescent="0.2"/>
    <row r="19981" s="166" customFormat="1" x14ac:dyDescent="0.2"/>
    <row r="19982" s="166" customFormat="1" x14ac:dyDescent="0.2"/>
    <row r="19983" s="166" customFormat="1" x14ac:dyDescent="0.2"/>
    <row r="19984" s="166" customFormat="1" x14ac:dyDescent="0.2"/>
    <row r="19985" s="166" customFormat="1" x14ac:dyDescent="0.2"/>
    <row r="19986" s="166" customFormat="1" x14ac:dyDescent="0.2"/>
    <row r="19987" s="166" customFormat="1" x14ac:dyDescent="0.2"/>
    <row r="19988" s="166" customFormat="1" x14ac:dyDescent="0.2"/>
    <row r="19989" s="166" customFormat="1" x14ac:dyDescent="0.2"/>
    <row r="19990" s="166" customFormat="1" x14ac:dyDescent="0.2"/>
    <row r="19991" s="166" customFormat="1" x14ac:dyDescent="0.2"/>
    <row r="19992" s="166" customFormat="1" x14ac:dyDescent="0.2"/>
    <row r="19993" s="166" customFormat="1" x14ac:dyDescent="0.2"/>
    <row r="19994" s="166" customFormat="1" x14ac:dyDescent="0.2"/>
    <row r="19995" s="166" customFormat="1" x14ac:dyDescent="0.2"/>
    <row r="19996" s="166" customFormat="1" x14ac:dyDescent="0.2"/>
    <row r="19997" s="166" customFormat="1" x14ac:dyDescent="0.2"/>
    <row r="19998" s="166" customFormat="1" x14ac:dyDescent="0.2"/>
    <row r="19999" s="166" customFormat="1" x14ac:dyDescent="0.2"/>
    <row r="20000" s="166" customFormat="1" x14ac:dyDescent="0.2"/>
    <row r="20001" s="166" customFormat="1" x14ac:dyDescent="0.2"/>
    <row r="20002" s="166" customFormat="1" x14ac:dyDescent="0.2"/>
    <row r="20003" s="166" customFormat="1" x14ac:dyDescent="0.2"/>
    <row r="20004" s="166" customFormat="1" x14ac:dyDescent="0.2"/>
    <row r="20005" s="166" customFormat="1" x14ac:dyDescent="0.2"/>
    <row r="20006" s="166" customFormat="1" x14ac:dyDescent="0.2"/>
    <row r="20007" s="166" customFormat="1" x14ac:dyDescent="0.2"/>
    <row r="20008" s="166" customFormat="1" x14ac:dyDescent="0.2"/>
    <row r="20009" s="166" customFormat="1" x14ac:dyDescent="0.2"/>
    <row r="20010" s="166" customFormat="1" x14ac:dyDescent="0.2"/>
    <row r="20011" s="166" customFormat="1" x14ac:dyDescent="0.2"/>
    <row r="20012" s="166" customFormat="1" x14ac:dyDescent="0.2"/>
    <row r="20013" s="166" customFormat="1" x14ac:dyDescent="0.2"/>
    <row r="20014" s="166" customFormat="1" x14ac:dyDescent="0.2"/>
    <row r="20015" s="166" customFormat="1" x14ac:dyDescent="0.2"/>
    <row r="20016" s="166" customFormat="1" x14ac:dyDescent="0.2"/>
    <row r="20017" s="166" customFormat="1" x14ac:dyDescent="0.2"/>
    <row r="20018" s="166" customFormat="1" x14ac:dyDescent="0.2"/>
    <row r="20019" s="166" customFormat="1" x14ac:dyDescent="0.2"/>
    <row r="20020" s="166" customFormat="1" x14ac:dyDescent="0.2"/>
    <row r="20021" s="166" customFormat="1" x14ac:dyDescent="0.2"/>
    <row r="20022" s="166" customFormat="1" x14ac:dyDescent="0.2"/>
    <row r="20023" s="166" customFormat="1" x14ac:dyDescent="0.2"/>
    <row r="20024" s="166" customFormat="1" x14ac:dyDescent="0.2"/>
    <row r="20025" s="166" customFormat="1" x14ac:dyDescent="0.2"/>
    <row r="20026" s="166" customFormat="1" x14ac:dyDescent="0.2"/>
    <row r="20027" s="166" customFormat="1" x14ac:dyDescent="0.2"/>
    <row r="20028" s="166" customFormat="1" x14ac:dyDescent="0.2"/>
    <row r="20029" s="166" customFormat="1" x14ac:dyDescent="0.2"/>
    <row r="20030" s="166" customFormat="1" x14ac:dyDescent="0.2"/>
    <row r="20031" s="166" customFormat="1" x14ac:dyDescent="0.2"/>
    <row r="20032" s="166" customFormat="1" x14ac:dyDescent="0.2"/>
    <row r="20033" s="166" customFormat="1" x14ac:dyDescent="0.2"/>
    <row r="20034" s="166" customFormat="1" x14ac:dyDescent="0.2"/>
    <row r="20035" s="166" customFormat="1" x14ac:dyDescent="0.2"/>
    <row r="20036" s="166" customFormat="1" x14ac:dyDescent="0.2"/>
    <row r="20037" s="166" customFormat="1" x14ac:dyDescent="0.2"/>
    <row r="20038" s="166" customFormat="1" x14ac:dyDescent="0.2"/>
    <row r="20039" s="166" customFormat="1" x14ac:dyDescent="0.2"/>
    <row r="20040" s="166" customFormat="1" x14ac:dyDescent="0.2"/>
    <row r="20041" s="166" customFormat="1" x14ac:dyDescent="0.2"/>
    <row r="20042" s="166" customFormat="1" x14ac:dyDescent="0.2"/>
    <row r="20043" s="166" customFormat="1" x14ac:dyDescent="0.2"/>
    <row r="20044" s="166" customFormat="1" x14ac:dyDescent="0.2"/>
    <row r="20045" s="166" customFormat="1" x14ac:dyDescent="0.2"/>
    <row r="20046" s="166" customFormat="1" x14ac:dyDescent="0.2"/>
    <row r="20047" s="166" customFormat="1" x14ac:dyDescent="0.2"/>
    <row r="20048" s="166" customFormat="1" x14ac:dyDescent="0.2"/>
    <row r="20049" s="166" customFormat="1" x14ac:dyDescent="0.2"/>
    <row r="20050" s="166" customFormat="1" x14ac:dyDescent="0.2"/>
    <row r="20051" s="166" customFormat="1" x14ac:dyDescent="0.2"/>
    <row r="20052" s="166" customFormat="1" x14ac:dyDescent="0.2"/>
    <row r="20053" s="166" customFormat="1" x14ac:dyDescent="0.2"/>
    <row r="20054" s="166" customFormat="1" x14ac:dyDescent="0.2"/>
    <row r="20055" s="166" customFormat="1" x14ac:dyDescent="0.2"/>
    <row r="20056" s="166" customFormat="1" x14ac:dyDescent="0.2"/>
    <row r="20057" s="166" customFormat="1" x14ac:dyDescent="0.2"/>
    <row r="20058" s="166" customFormat="1" x14ac:dyDescent="0.2"/>
    <row r="20059" s="166" customFormat="1" x14ac:dyDescent="0.2"/>
    <row r="20060" s="166" customFormat="1" x14ac:dyDescent="0.2"/>
    <row r="20061" s="166" customFormat="1" x14ac:dyDescent="0.2"/>
    <row r="20062" s="166" customFormat="1" x14ac:dyDescent="0.2"/>
    <row r="20063" s="166" customFormat="1" x14ac:dyDescent="0.2"/>
    <row r="20064" s="166" customFormat="1" x14ac:dyDescent="0.2"/>
    <row r="20065" s="166" customFormat="1" x14ac:dyDescent="0.2"/>
    <row r="20066" s="166" customFormat="1" x14ac:dyDescent="0.2"/>
    <row r="20067" s="166" customFormat="1" x14ac:dyDescent="0.2"/>
    <row r="20068" s="166" customFormat="1" x14ac:dyDescent="0.2"/>
    <row r="20069" s="166" customFormat="1" x14ac:dyDescent="0.2"/>
    <row r="20070" s="166" customFormat="1" x14ac:dyDescent="0.2"/>
    <row r="20071" s="166" customFormat="1" x14ac:dyDescent="0.2"/>
    <row r="20072" s="166" customFormat="1" x14ac:dyDescent="0.2"/>
    <row r="20073" s="166" customFormat="1" x14ac:dyDescent="0.2"/>
    <row r="20074" s="166" customFormat="1" x14ac:dyDescent="0.2"/>
    <row r="20075" s="166" customFormat="1" x14ac:dyDescent="0.2"/>
    <row r="20076" s="166" customFormat="1" x14ac:dyDescent="0.2"/>
    <row r="20077" s="166" customFormat="1" x14ac:dyDescent="0.2"/>
    <row r="20078" s="166" customFormat="1" x14ac:dyDescent="0.2"/>
    <row r="20079" s="166" customFormat="1" x14ac:dyDescent="0.2"/>
    <row r="20080" s="166" customFormat="1" x14ac:dyDescent="0.2"/>
    <row r="20081" s="166" customFormat="1" x14ac:dyDescent="0.2"/>
    <row r="20082" s="166" customFormat="1" x14ac:dyDescent="0.2"/>
    <row r="20083" s="166" customFormat="1" x14ac:dyDescent="0.2"/>
    <row r="20084" s="166" customFormat="1" x14ac:dyDescent="0.2"/>
    <row r="20085" s="166" customFormat="1" x14ac:dyDescent="0.2"/>
    <row r="20086" s="166" customFormat="1" x14ac:dyDescent="0.2"/>
    <row r="20087" s="166" customFormat="1" x14ac:dyDescent="0.2"/>
    <row r="20088" s="166" customFormat="1" x14ac:dyDescent="0.2"/>
    <row r="20089" s="166" customFormat="1" x14ac:dyDescent="0.2"/>
    <row r="20090" s="166" customFormat="1" x14ac:dyDescent="0.2"/>
    <row r="20091" s="166" customFormat="1" x14ac:dyDescent="0.2"/>
    <row r="20092" s="166" customFormat="1" x14ac:dyDescent="0.2"/>
    <row r="20093" s="166" customFormat="1" x14ac:dyDescent="0.2"/>
  </sheetData>
  <sheetProtection password="E10F" sheet="1"/>
  <phoneticPr fontId="0" type="noConversion"/>
  <hyperlinks>
    <hyperlink ref="T3" location="'Cover Sheet'!A1" display="BACK to COVER SHEET" xr:uid="{00000000-0004-0000-2000-000000000000}"/>
    <hyperlink ref="T3:V3" location="'Cover Sheet'!A1" display="BACK to COVER SHEET" xr:uid="{00000000-0004-0000-2000-000001000000}"/>
  </hyperlinks>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B1:S56"/>
  <sheetViews>
    <sheetView showGridLines="0" workbookViewId="0">
      <selection activeCell="B2" sqref="B2"/>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4.28515625" style="56" bestFit="1" customWidth="1"/>
    <col min="10" max="10" width="11.7109375" style="56" customWidth="1"/>
    <col min="11" max="11" width="6.7109375" style="56" customWidth="1"/>
    <col min="12" max="12" width="8.7109375" style="56" customWidth="1"/>
    <col min="13" max="16384" width="9.140625" style="56"/>
  </cols>
  <sheetData>
    <row r="1" spans="2:15" ht="15.75" x14ac:dyDescent="0.25">
      <c r="B1" s="55" t="s">
        <v>232</v>
      </c>
    </row>
    <row r="2" spans="2:15" x14ac:dyDescent="0.2">
      <c r="C2" s="661" t="s">
        <v>27</v>
      </c>
      <c r="D2" s="662"/>
      <c r="E2" s="663"/>
      <c r="F2" s="640" t="s">
        <v>28</v>
      </c>
      <c r="G2" s="641"/>
      <c r="K2" s="298" t="s">
        <v>565</v>
      </c>
      <c r="L2" s="298"/>
      <c r="M2" s="298"/>
    </row>
    <row r="4" spans="2:15" ht="25.5" customHeight="1" x14ac:dyDescent="0.2">
      <c r="B4" s="57" t="s">
        <v>18</v>
      </c>
      <c r="C4" s="57" t="s">
        <v>1</v>
      </c>
      <c r="D4" s="106"/>
      <c r="E4" s="71" t="s">
        <v>33</v>
      </c>
      <c r="F4" s="71" t="s">
        <v>34</v>
      </c>
      <c r="G4" s="71" t="s">
        <v>35</v>
      </c>
      <c r="H4" s="71" t="s">
        <v>32</v>
      </c>
      <c r="I4" s="119" t="s">
        <v>21</v>
      </c>
      <c r="J4" s="71" t="s">
        <v>22</v>
      </c>
      <c r="L4" s="127"/>
      <c r="M4" s="259" t="s">
        <v>290</v>
      </c>
      <c r="N4" s="259" t="s">
        <v>289</v>
      </c>
    </row>
    <row r="5" spans="2:15" x14ac:dyDescent="0.2">
      <c r="B5" s="58" t="s">
        <v>30</v>
      </c>
      <c r="C5" s="44" t="s">
        <v>7</v>
      </c>
      <c r="E5" s="22" t="s">
        <v>7</v>
      </c>
      <c r="F5" s="22" t="s">
        <v>7</v>
      </c>
      <c r="G5" s="22" t="s">
        <v>7</v>
      </c>
      <c r="H5" s="107"/>
      <c r="I5" s="52" t="s">
        <v>7</v>
      </c>
      <c r="J5" s="107"/>
      <c r="L5" s="239" t="s">
        <v>247</v>
      </c>
      <c r="M5" s="56">
        <f>I22/1000</f>
        <v>0.3</v>
      </c>
      <c r="N5" s="250">
        <f>M5</f>
        <v>0.3</v>
      </c>
    </row>
    <row r="6" spans="2:15" x14ac:dyDescent="0.2">
      <c r="B6" s="58" t="s">
        <v>46</v>
      </c>
      <c r="C6" s="44" t="s">
        <v>44</v>
      </c>
      <c r="E6" s="22" t="s">
        <v>44</v>
      </c>
      <c r="F6" s="22" t="s">
        <v>44</v>
      </c>
      <c r="G6" s="22" t="s">
        <v>44</v>
      </c>
      <c r="H6" s="109"/>
      <c r="I6" s="108" t="s">
        <v>23</v>
      </c>
      <c r="J6" s="111"/>
      <c r="L6" s="239" t="s">
        <v>248</v>
      </c>
      <c r="M6" s="56">
        <f>I21/1000</f>
        <v>3.0000000000000001E-3</v>
      </c>
      <c r="N6" s="250">
        <f>I20/1000</f>
        <v>3.0000000000000001E-3</v>
      </c>
    </row>
    <row r="7" spans="2:15"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46" t="str">
        <f>HLOOKUP(I5,MaterialData!$C$3:$O$4,2,FALSE)</f>
        <v>Steel</v>
      </c>
      <c r="J7" s="109"/>
    </row>
    <row r="8" spans="2:15"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46">
        <f>INDEX(Innertable,MATCH($B8,MaterialData!$B$5:$B$10,0),MATCH(I$7,MaterialData!$C$4:$O$4,0))</f>
        <v>200000000000</v>
      </c>
      <c r="J8" s="111"/>
      <c r="L8" s="239" t="s">
        <v>250</v>
      </c>
      <c r="M8" s="60">
        <f>M5*M6</f>
        <v>8.9999999999999998E-4</v>
      </c>
      <c r="N8" s="239" t="s">
        <v>269</v>
      </c>
      <c r="O8" s="60">
        <f>(M5*M6^3)/12</f>
        <v>6.7499999999999994E-10</v>
      </c>
    </row>
    <row r="9" spans="2:15"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46">
        <f>INDEX(Innertable,MATCH($B9,MaterialData!$B$5:$B$10,0),MATCH(I$7,MaterialData!$C$4:$O$4,0))</f>
        <v>305000000</v>
      </c>
      <c r="J9" s="111"/>
      <c r="L9" s="239" t="s">
        <v>251</v>
      </c>
      <c r="M9" s="60">
        <f>N5*N6</f>
        <v>8.9999999999999998E-4</v>
      </c>
      <c r="N9" s="239" t="s">
        <v>270</v>
      </c>
      <c r="O9" s="60">
        <f>(N5*N6^3)/12</f>
        <v>6.7499999999999994E-10</v>
      </c>
    </row>
    <row r="10" spans="2:15"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46">
        <f>INDEX(Innertable,MATCH($B10,MaterialData!$B$5:$B$10,0),MATCH(I$7,MaterialData!$C$4:$O$4,0))</f>
        <v>365000000</v>
      </c>
      <c r="J10" s="111"/>
      <c r="L10" s="239" t="s">
        <v>432</v>
      </c>
      <c r="M10" s="56">
        <f>M6/2</f>
        <v>1.5E-3</v>
      </c>
      <c r="N10" s="239" t="s">
        <v>254</v>
      </c>
      <c r="O10" s="60">
        <f>O8+(M8*($M$12-M10)^2)</f>
        <v>1.1969999999999999E-7</v>
      </c>
    </row>
    <row r="11" spans="2:15"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46">
        <f>INDEX(Innertable,MATCH($B11,MaterialData!$B$5:$B$10,0),MATCH(I$7,MaterialData!$C$4:$O$4,0))</f>
        <v>180000000</v>
      </c>
      <c r="J11" s="111"/>
      <c r="L11" s="239" t="s">
        <v>433</v>
      </c>
      <c r="M11" s="56">
        <f>(I18-0.5*I20)*0.001</f>
        <v>2.4500000000000001E-2</v>
      </c>
      <c r="N11" s="239" t="s">
        <v>255</v>
      </c>
      <c r="O11" s="60">
        <f>O9+(M9*($M$12-M11)^2)</f>
        <v>1.1970000000000005E-7</v>
      </c>
    </row>
    <row r="12" spans="2:15"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46">
        <f>INDEX(Innertable,MATCH($B12,MaterialData!$B$5:$B$10,0),MATCH(I$7,MaterialData!$C$4:$O$4,0))</f>
        <v>300000000</v>
      </c>
      <c r="J12" s="111"/>
      <c r="L12" s="239" t="s">
        <v>249</v>
      </c>
      <c r="M12" s="252">
        <f>(M8*M10+M9*M11)/(M8+M9)</f>
        <v>1.2999999999999999E-2</v>
      </c>
      <c r="N12" s="239" t="s">
        <v>260</v>
      </c>
      <c r="O12" s="266">
        <f>SUM(O10:O11)</f>
        <v>2.3940000000000004E-7</v>
      </c>
    </row>
    <row r="13" spans="2:15" x14ac:dyDescent="0.2">
      <c r="C13" s="105"/>
      <c r="D13" s="56"/>
      <c r="E13" s="120"/>
      <c r="F13" s="105"/>
      <c r="G13" s="80"/>
      <c r="H13" s="109"/>
      <c r="J13" s="109"/>
      <c r="O13" s="60"/>
    </row>
    <row r="14" spans="2:15" x14ac:dyDescent="0.2">
      <c r="B14" s="59" t="s">
        <v>31</v>
      </c>
      <c r="C14" s="44">
        <v>3</v>
      </c>
      <c r="D14" s="56"/>
      <c r="E14" s="22">
        <v>3</v>
      </c>
      <c r="F14" s="22">
        <v>0</v>
      </c>
      <c r="G14" s="22">
        <v>0</v>
      </c>
      <c r="H14" s="109"/>
      <c r="J14" s="109"/>
      <c r="O14" s="60"/>
    </row>
    <row r="15" spans="2:15" x14ac:dyDescent="0.2">
      <c r="B15" s="59" t="s">
        <v>166</v>
      </c>
      <c r="C15" s="44">
        <v>25.4</v>
      </c>
      <c r="E15" s="22">
        <v>25.4</v>
      </c>
      <c r="F15" s="22">
        <v>25.4</v>
      </c>
      <c r="G15" s="22">
        <v>25.4</v>
      </c>
      <c r="H15" s="109"/>
      <c r="I15" s="105"/>
      <c r="J15" s="109"/>
      <c r="O15" s="60"/>
    </row>
    <row r="16" spans="2:15" x14ac:dyDescent="0.2">
      <c r="B16" s="59" t="s">
        <v>167</v>
      </c>
      <c r="C16" s="44">
        <v>1.6</v>
      </c>
      <c r="E16" s="22">
        <v>1.6</v>
      </c>
      <c r="F16" s="22">
        <v>1.6</v>
      </c>
      <c r="G16" s="22">
        <v>1.6</v>
      </c>
      <c r="H16" s="109"/>
      <c r="I16" s="105"/>
      <c r="J16" s="109"/>
      <c r="L16" s="191"/>
      <c r="O16" s="60"/>
    </row>
    <row r="17" spans="2:19" x14ac:dyDescent="0.2">
      <c r="B17" s="105"/>
      <c r="C17" s="105"/>
      <c r="E17" s="121"/>
      <c r="F17" s="122" t="s">
        <v>156</v>
      </c>
      <c r="G17" s="66" t="str">
        <f>IF(AND(K27&gt;=100,F2="tubing only",NOT(OR(E18="NO",F18="NO",G18="NO"))),"YES","NO")</f>
        <v>YES</v>
      </c>
      <c r="H17" s="109"/>
      <c r="I17" s="105"/>
      <c r="J17" s="109"/>
      <c r="O17" s="60"/>
    </row>
    <row r="18" spans="2:19" x14ac:dyDescent="0.2">
      <c r="B18" s="99" t="s">
        <v>24</v>
      </c>
      <c r="C18" s="105"/>
      <c r="E18" s="179" t="str">
        <f>IF(E14=0,"N/A",IF(AND(E5=$C$5,E15&gt;=25.4,E16&gt;=1.6),"YES","NO"))</f>
        <v>YES</v>
      </c>
      <c r="F18" s="180" t="str">
        <f>IF(F14=0,"N/A",IF(AND(F5=$C$5,F15&gt;=25.4,F16&gt;=1.6),"YES","NO"))</f>
        <v>N/A</v>
      </c>
      <c r="G18" s="181" t="str">
        <f>IF(G14=0,"N/A",IF(AND(G5=$C$5,G15&gt;=25.4,G16&gt;=1.6),"YES","NO"))</f>
        <v>N/A</v>
      </c>
      <c r="H18" s="109"/>
      <c r="I18" s="241">
        <f>I19+I20+I21</f>
        <v>26</v>
      </c>
      <c r="J18" s="109"/>
      <c r="O18" s="60"/>
    </row>
    <row r="19" spans="2:19" x14ac:dyDescent="0.2">
      <c r="B19" s="99" t="s">
        <v>25</v>
      </c>
      <c r="C19" s="105"/>
      <c r="E19" s="658"/>
      <c r="F19" s="659"/>
      <c r="G19" s="660"/>
      <c r="H19" s="109"/>
      <c r="I19" s="52">
        <v>20</v>
      </c>
      <c r="J19" s="109"/>
      <c r="O19" s="60"/>
    </row>
    <row r="20" spans="2:19" x14ac:dyDescent="0.2">
      <c r="B20" s="99" t="s">
        <v>287</v>
      </c>
      <c r="E20" s="658"/>
      <c r="F20" s="659"/>
      <c r="G20" s="660"/>
      <c r="H20" s="109"/>
      <c r="I20" s="52">
        <v>3</v>
      </c>
      <c r="J20" s="109"/>
      <c r="O20" s="60"/>
    </row>
    <row r="21" spans="2:19" x14ac:dyDescent="0.2">
      <c r="B21" s="264" t="s">
        <v>286</v>
      </c>
      <c r="E21" s="658"/>
      <c r="F21" s="659"/>
      <c r="G21" s="660"/>
      <c r="H21" s="109"/>
      <c r="I21" s="52">
        <v>3</v>
      </c>
      <c r="J21" s="109"/>
      <c r="O21" s="60"/>
    </row>
    <row r="22" spans="2:19" x14ac:dyDescent="0.2">
      <c r="B22" s="99" t="s">
        <v>26</v>
      </c>
      <c r="E22" s="658"/>
      <c r="F22" s="659"/>
      <c r="G22" s="660"/>
      <c r="H22" s="109"/>
      <c r="I22" s="52">
        <v>300</v>
      </c>
      <c r="J22" s="109"/>
      <c r="K22" s="186"/>
      <c r="O22" s="60"/>
    </row>
    <row r="23" spans="2:19" x14ac:dyDescent="0.2">
      <c r="B23" s="105"/>
      <c r="C23" s="105"/>
      <c r="E23" s="123"/>
      <c r="F23" s="124"/>
      <c r="G23" s="125"/>
      <c r="H23" s="109"/>
      <c r="I23" s="105"/>
      <c r="J23" s="109"/>
      <c r="O23" s="60"/>
    </row>
    <row r="24" spans="2:19" x14ac:dyDescent="0.2">
      <c r="B24" s="59" t="s">
        <v>4</v>
      </c>
      <c r="C24" s="44">
        <f>C15/1000</f>
        <v>2.5399999999999999E-2</v>
      </c>
      <c r="E24" s="44">
        <f>IF($F$2="composite only","No tubes",IF(E14=0,"No tubes",E15/1000))</f>
        <v>2.5399999999999999E-2</v>
      </c>
      <c r="F24" s="44" t="str">
        <f>IF($F$2="composite only","No tubes",IF(F14=0,"No tubes",F15/1000))</f>
        <v>No tubes</v>
      </c>
      <c r="G24" s="44" t="str">
        <f>IF($F$2="composite only","No tubes",IF(G14=0,"No tubes",G15/1000))</f>
        <v>No tubes</v>
      </c>
      <c r="H24" s="109"/>
      <c r="I24" s="105"/>
      <c r="J24" s="109"/>
      <c r="O24" s="60"/>
    </row>
    <row r="25" spans="2:19" x14ac:dyDescent="0.2">
      <c r="B25" s="59" t="s">
        <v>159</v>
      </c>
      <c r="C25" s="44">
        <f>C16/1000</f>
        <v>1.6000000000000001E-3</v>
      </c>
      <c r="E25" s="44">
        <f>IF(E24="no tubes","",IF(E14=0,"",E16/1000))</f>
        <v>1.6000000000000001E-3</v>
      </c>
      <c r="F25" s="44" t="str">
        <f>IF(F24="no tubes","",IF(F14=0,"",F16/1000))</f>
        <v/>
      </c>
      <c r="G25" s="44" t="str">
        <f>IF(G24="no tubes","",IF(G14=0,"",G16/1000))</f>
        <v/>
      </c>
      <c r="H25" s="113"/>
      <c r="I25" s="105"/>
      <c r="J25" s="113"/>
      <c r="O25" s="60"/>
      <c r="S25" s="61"/>
    </row>
    <row r="26" spans="2:19" x14ac:dyDescent="0.2">
      <c r="B26" s="59" t="s">
        <v>3</v>
      </c>
      <c r="C26" s="46">
        <f>IF(C6="Round",((C24)^4-((C24-2*C25))^4)*3.142/64,((C24)^4-((C24-2*C25))^4)/12)</f>
        <v>8.5099184800000022E-9</v>
      </c>
      <c r="E26" s="46">
        <f>IF(E24="no tubes","",IF(E14=0,"",IF(E6="Round",(((E24)^4-((E24-2*E25))^4)*3.142/64),IF(E6="Square",(((E24)^4-((E24-2*E25))^4)/12),""))))</f>
        <v>8.5099184800000022E-9</v>
      </c>
      <c r="F26" s="46" t="str">
        <f>IF(F24="no tubes","",IF(F14=0,"",IF(F6="Round",(((F24)^4-((F24-2*F25))^4)*3.142/64),IF(F6="Square",(((F24)^4-((F24-2*F25))^4)/12),""))))</f>
        <v/>
      </c>
      <c r="G26" s="46" t="str">
        <f>IF(G24="no tubes","",IF(G14=0,"",IF(G6="Round",(((G24)^4-((G24-2*G25))^4)*3.142/64),IF(G6="Square",(((G24)^4-((G24-2*G25))^4)/12),""))))</f>
        <v/>
      </c>
      <c r="H26" s="46">
        <f>IF(SUM(E26:G26)&gt;0,SUM(E26:G26),"")</f>
        <v>8.5099184800000022E-9</v>
      </c>
      <c r="I26" s="115" t="str">
        <f>IF($F$2="Tubing only","Tubing Only",O12)</f>
        <v>Tubing Only</v>
      </c>
      <c r="J26" s="46">
        <f t="shared" ref="J26:J35" si="0">IF($F$2="Tubing only",H26,IF($F$2="Composite only",I26,IF($F$2="Tubes + Composite",H26+I26,"No Type Selected")))</f>
        <v>8.5099184800000022E-9</v>
      </c>
      <c r="O26" s="60"/>
      <c r="R26" s="60"/>
      <c r="S26" s="61"/>
    </row>
    <row r="27" spans="2:19" x14ac:dyDescent="0.2">
      <c r="B27" s="59" t="s">
        <v>0</v>
      </c>
      <c r="C27" s="46">
        <f>C8*C26*C14</f>
        <v>5105.9510880000016</v>
      </c>
      <c r="D27" s="110"/>
      <c r="E27" s="46">
        <f>IF(E24="no tubes","",IF(E14=0,"",E8*E26*E14))</f>
        <v>5105.9510880000016</v>
      </c>
      <c r="F27" s="46" t="str">
        <f>IF(F24="no tubes","",IF(F14=0,"",F8*F26*F14))</f>
        <v/>
      </c>
      <c r="G27" s="46" t="str">
        <f>IF(G24="no tubes","",IF(G14=0,"",G8*G26*G14))</f>
        <v/>
      </c>
      <c r="H27" s="46">
        <f t="shared" ref="H27:H35" si="1">IF(SUM(E27:G27)&gt;0,SUM(E27:G27),"")</f>
        <v>5105.9510880000016</v>
      </c>
      <c r="I27" s="115" t="str">
        <f>IF(I26="Tubing Only","",I26*I8)</f>
        <v/>
      </c>
      <c r="J27" s="46">
        <f t="shared" si="0"/>
        <v>5105.9510880000016</v>
      </c>
      <c r="K27" s="54">
        <f>IF(AND(NOT($F$2="tubes + composite"),OR(AND($G$14&gt;0,G27&lt;(C27/3)),AND($F$14&gt;0,F27&lt;(C27/3)),AND($E$14&gt;0,E27&lt;(C27/3)))),0,100*J27/C27)</f>
        <v>100</v>
      </c>
      <c r="L27" s="56" t="str">
        <f>IF((99.9&gt;K27)*AND(K27&gt;33.3),"For Composites Only, Additional Proof Required","")</f>
        <v/>
      </c>
    </row>
    <row r="28" spans="2:19" x14ac:dyDescent="0.2">
      <c r="B28" s="59" t="s">
        <v>160</v>
      </c>
      <c r="C28" s="47">
        <f>IF(C24="no tubes","",IF(C14=0,"",IF(C6="Round",C14*((C15^2-(C15-2*C16)^2)*PI()/4),IF(C6="Square",C14*(C15^2-(C15-2*C16)^2),""))))</f>
        <v>358.89554474609793</v>
      </c>
      <c r="D28" s="126"/>
      <c r="E28" s="47">
        <f>IF(E24="no tubes","",IF(E14=0,"",IF(E6="Round",E14*((E15^2-(E15-2*E16)^2)*PI()/4),IF(E6="Square",E14*(E15^2-(E15-2*E16)^2),""))))</f>
        <v>358.89554474609793</v>
      </c>
      <c r="F28" s="47" t="str">
        <f>IF(F24="no tubes","",IF(F14=0,"",IF(F6="Round",F14*((F15^2-(F15-2*F16)^2)*PI()/4),IF(F6="Square",F14*(F15^2-(F15-2*F16)^2),""))))</f>
        <v/>
      </c>
      <c r="G28" s="47" t="str">
        <f>IF(G24="no tubes","",IF(G14=0,"",IF(G6="Round",G14*((G15^2-(G15-2*G16)^2)*PI()/4),IF(G6="Square",G14*(G15^2-(G15-2*G16)^2),""))))</f>
        <v/>
      </c>
      <c r="H28" s="47">
        <f t="shared" si="1"/>
        <v>358.89554474609793</v>
      </c>
      <c r="I28" s="47" t="str">
        <f>IF(I26="Tubing Only","",(I18-I19)*I22)</f>
        <v/>
      </c>
      <c r="J28" s="47">
        <f t="shared" si="0"/>
        <v>358.89554474609793</v>
      </c>
      <c r="K28" s="54">
        <f>IF(AND($F$2="tubing only",AND(E5="steel",F5="steel",G5="steel")),100*J28/C28,"NA")</f>
        <v>100</v>
      </c>
      <c r="L28" s="56" t="str">
        <f>IF(AND(95&lt;K28,K28&lt;100),"For tubes only, provided your actual tube measures &gt;= your nominal OD and wall this is OK","")</f>
        <v/>
      </c>
      <c r="R28" s="60"/>
    </row>
    <row r="29" spans="2:19" x14ac:dyDescent="0.2">
      <c r="B29" s="59" t="s">
        <v>161</v>
      </c>
      <c r="C29" s="46">
        <f>C$28*C9/1000000</f>
        <v>109463.14114755986</v>
      </c>
      <c r="D29" s="110"/>
      <c r="E29" s="46">
        <f>IF(E24="no tubes","",IF(E14=0,"",E$28*E9/1000000))</f>
        <v>109463.14114755986</v>
      </c>
      <c r="F29" s="46" t="str">
        <f>IF(F24="no tubes","",IF(F14=0,"",F$28*F9/1000000))</f>
        <v/>
      </c>
      <c r="G29" s="46" t="str">
        <f>IF(G24="no tubes","",IF(G14=0,"",G$28*G9/1000000))</f>
        <v/>
      </c>
      <c r="H29" s="46">
        <f t="shared" si="1"/>
        <v>109463.14114755986</v>
      </c>
      <c r="I29" s="46" t="str">
        <f>IF(I26="Tubing Only","",I28*I9/1000000)</f>
        <v/>
      </c>
      <c r="J29" s="46">
        <f t="shared" si="0"/>
        <v>109463.14114755986</v>
      </c>
      <c r="K29" s="54">
        <f>IF(AND($F$2="tubing only",OR($E29&lt;0.95*($E$14/$C$14)*$C29,$F29&lt;0.95*($F$14/$C$14)*$C29,$G29&lt;0.95*($G$14/$C$14)*$C29)),0,100*J29/C29)</f>
        <v>100</v>
      </c>
      <c r="L29" s="56" t="str">
        <f>IF(AND(95&lt;K29,K29&lt;100),"For tubes only, provided your actual tube measures &gt;= your nominal OD and wall this is OK","")</f>
        <v/>
      </c>
    </row>
    <row r="30" spans="2:19" x14ac:dyDescent="0.2">
      <c r="B30" s="59" t="s">
        <v>5</v>
      </c>
      <c r="C30" s="46">
        <f>C$28*C10/1000000</f>
        <v>130996.87383232574</v>
      </c>
      <c r="D30" s="110"/>
      <c r="E30" s="46">
        <f>IF(E24="no tubes","",IF(E14=0,"",E$28*E10/1000000))</f>
        <v>130996.87383232574</v>
      </c>
      <c r="F30" s="46" t="str">
        <f>IF(F24="no tubes","",IF(F14=0,"",F$28*F10/1000000))</f>
        <v/>
      </c>
      <c r="G30" s="46" t="str">
        <f>IF(G24="no tubes","",IF(G14=0,"",G$28*G10/1000000))</f>
        <v/>
      </c>
      <c r="H30" s="46">
        <f t="shared" si="1"/>
        <v>130996.87383232574</v>
      </c>
      <c r="I30" s="46" t="str">
        <f>IF(I26="Tubing Only","",I28*I10/1000000)</f>
        <v/>
      </c>
      <c r="J30" s="46">
        <f t="shared" si="0"/>
        <v>130996.87383232574</v>
      </c>
      <c r="K30" s="54">
        <f>IF(AND($F$2="tubing only",OR($E30&lt;0.95*($E$14/$C$14)*$C30,$F30&lt;0.95*($F$14/$C$14)*$C30,$G30&lt;0.95*($G$14/$C$14)*$C30)),0,100*J30/C30)</f>
        <v>100</v>
      </c>
      <c r="L30" s="56" t="str">
        <f>IF(AND(95&lt;K30,K30&lt;100),"For tubes only, provided your actual tube measures &gt;= your nominal OD and wall this is OK","")</f>
        <v/>
      </c>
      <c r="R30" s="60"/>
    </row>
    <row r="31" spans="2:19" x14ac:dyDescent="0.2">
      <c r="B31" s="59" t="s">
        <v>162</v>
      </c>
      <c r="C31" s="46">
        <f>C$28*C11/1000000</f>
        <v>64601.198054297631</v>
      </c>
      <c r="D31" s="110"/>
      <c r="E31" s="46">
        <f>IF(E24="no tubes","",IF(E14=0,"",E$28*E11/1000000))</f>
        <v>64601.198054297631</v>
      </c>
      <c r="F31" s="46" t="str">
        <f>IF(F24="no tubes","",IF(F14=0,"",F$28*F11/1000000))</f>
        <v/>
      </c>
      <c r="G31" s="46" t="str">
        <f>IF(G24="no tubes","",IF(G14=0,"",G$28*G11/1000000))</f>
        <v/>
      </c>
      <c r="H31" s="46">
        <f t="shared" si="1"/>
        <v>64601.198054297631</v>
      </c>
      <c r="I31" s="46" t="str">
        <f>IF(I26="Tubing Only","",I28*I9/1000000)</f>
        <v/>
      </c>
      <c r="J31" s="46">
        <f t="shared" si="0"/>
        <v>64601.198054297631</v>
      </c>
      <c r="K31" s="54">
        <f>IF(AND($F$2="tubing only",OR($E31&lt;0.95*($E$14/$C$14)*$C31,$F31&lt;0.95*($F$14/$C$14)*$C31,$G31&lt;0.95*($G$14/$C$14)*$C31)),0,100*J31/C31)</f>
        <v>100</v>
      </c>
      <c r="L31" s="56" t="str">
        <f>IF(AND(95&lt;K31,K31&lt;100),"For tubes only, provided your actual tube measures &gt;= your nominal OD and wall this is OK","")</f>
        <v/>
      </c>
      <c r="R31" s="60"/>
    </row>
    <row r="32" spans="2:19" x14ac:dyDescent="0.2">
      <c r="B32" s="59" t="s">
        <v>6</v>
      </c>
      <c r="C32" s="46">
        <f>IF(C14=0,"",C$28*C12/1000000)</f>
        <v>107668.66342382938</v>
      </c>
      <c r="D32" s="110"/>
      <c r="E32" s="46">
        <f>IF(E24="no tubes","",IF(E14=0,"",E$28*E12/1000000))</f>
        <v>107668.66342382938</v>
      </c>
      <c r="F32" s="46" t="str">
        <f>IF(F24="no tubes","",IF(F14=0,"",F$28*F12/1000000))</f>
        <v/>
      </c>
      <c r="G32" s="46" t="str">
        <f>IF(G24="no tubes","",IF(G14=0,"",G$28*G12/1000000))</f>
        <v/>
      </c>
      <c r="H32" s="46">
        <f t="shared" si="1"/>
        <v>107668.66342382938</v>
      </c>
      <c r="I32" s="46" t="str">
        <f>IF(I26="tubing only","",I28*I10/1000000)</f>
        <v/>
      </c>
      <c r="J32" s="46">
        <f t="shared" si="0"/>
        <v>107668.66342382938</v>
      </c>
      <c r="K32" s="54">
        <f>IF(AND($F$2="tubing only",OR($E32&lt;0.95*($E$14/$C$14)*$C32,$F32&lt;0.95*($F$14/$C$14)*$C32,$G32&lt;0.95*($G$14/$C$14)*$C32)),0,100*J32/C32)</f>
        <v>100</v>
      </c>
      <c r="L32" s="56" t="str">
        <f>IF(AND(95&lt;K32,K32&lt;100),"For tubes only, provided your actual tube measures &gt;= your nominal OD and wall this is OK","")</f>
        <v/>
      </c>
      <c r="R32" s="60"/>
    </row>
    <row r="33" spans="2:13" x14ac:dyDescent="0.2">
      <c r="B33" s="59" t="s">
        <v>163</v>
      </c>
      <c r="C33" s="46">
        <f>C14*4*C10*C26/(0.5*C24*1)</f>
        <v>2934.9167671181112</v>
      </c>
      <c r="E33" s="46">
        <f>IF(E24="no tubes","",IF(E14=0,"",E14*4*E10*E26/(0.5*E24*1)))</f>
        <v>2934.9167671181112</v>
      </c>
      <c r="F33" s="46" t="str">
        <f>IF(F24="no tubes","",IF(F14=0,"",F14*4*F10*F26/(0.5*F24*1)))</f>
        <v/>
      </c>
      <c r="G33" s="46" t="str">
        <f>IF(G24="no tubes","",IF(G14=0,"",G14*4*G10*G26/(0.5*G24*1)))</f>
        <v/>
      </c>
      <c r="H33" s="46">
        <f t="shared" si="1"/>
        <v>2934.9167671181112</v>
      </c>
      <c r="I33" s="46" t="str">
        <f>IF(I26="tubing only","",4*I10*(I26*2/(I18/1000))/1)</f>
        <v/>
      </c>
      <c r="J33" s="46">
        <f t="shared" si="0"/>
        <v>2934.9167671181112</v>
      </c>
      <c r="K33" s="54">
        <f>IF(AND($F$2="tubing only",OR($E33&lt;0.95*($E$14/$C$14)*$C33,$F33&lt;0.95*($F$14/$C$14)*$C33,$G33&lt;0.95*($G$14/$C$14)*$C33)),0,100*J33/C33)</f>
        <v>99.999999999999986</v>
      </c>
      <c r="L33" s="56" t="str">
        <f>IF((99.9&gt;K33)*AND(K33&gt;33.3),"For Composites Only, Additional Proof Required","")</f>
        <v/>
      </c>
    </row>
    <row r="34" spans="2:13" x14ac:dyDescent="0.2">
      <c r="B34" s="59" t="s">
        <v>164</v>
      </c>
      <c r="C34" s="46">
        <f>IF(C14=0,"",C33*1^3/(48*C27))</f>
        <v>1.1975065616797901E-2</v>
      </c>
      <c r="E34" s="46">
        <f>IF(E24="no tubes","",IF(E14=0,"",($C$33*1^3/(48*E27))))</f>
        <v>1.1975065616797901E-2</v>
      </c>
      <c r="F34" s="46" t="str">
        <f>IF(F24="no tubes","",IF(F14=0,"",($C$33*1^3/(48*F27))))</f>
        <v/>
      </c>
      <c r="G34" s="46" t="str">
        <f>IF(G24="no tubes","",IF(G14=0,"",($C$33*1^3/(48*G27))))</f>
        <v/>
      </c>
      <c r="H34" s="46">
        <f>IF(F2="composite only","",$C$33*1^3/(48*H27))</f>
        <v>1.1975065616797901E-2</v>
      </c>
      <c r="I34" s="46" t="str">
        <f>IF(NOT($F$2="tubing only"),$C$33*1^3/(48*I27),"")</f>
        <v/>
      </c>
      <c r="J34" s="46">
        <f>IF($F$2="Tubing only",H34,IF($F$2="Composite only",I34,IF($F$2="Tubes + Composite",$C$33*1^3/(48*J27),"No Type Selected")))</f>
        <v>1.1975065616797901E-2</v>
      </c>
      <c r="K34" s="54">
        <f>IF(AND($F$2="tubing only",J34&gt;1.05*C34),101,100*J34/C34)</f>
        <v>100.00000000000001</v>
      </c>
      <c r="L34" s="56" t="str">
        <f>IF((100.1&lt;K34)*AND(K34&lt;300.1),"For Composites Only, Additional Proof Required","")</f>
        <v/>
      </c>
      <c r="M34" s="60"/>
    </row>
    <row r="35" spans="2:13" x14ac:dyDescent="0.2">
      <c r="B35" s="59" t="s">
        <v>165</v>
      </c>
      <c r="C35" s="46">
        <f>0.5*C33*(C33*1^3/(48*C27))</f>
        <v>17.572910433039873</v>
      </c>
      <c r="E35" s="46">
        <f>IF(E24="no tubes","",0.5*E33*(E33*1^3/(48*E27)))</f>
        <v>17.572910433039873</v>
      </c>
      <c r="F35" s="46" t="str">
        <f>IF(F24="no tubes","",0.5*F33*(F33*1^3/(48*F27)))</f>
        <v/>
      </c>
      <c r="G35" s="46" t="str">
        <f>IF(G24="no tubes","",0.5*G33*(G33*1^3/(48*G27)))</f>
        <v/>
      </c>
      <c r="H35" s="46">
        <f t="shared" si="1"/>
        <v>17.572910433039873</v>
      </c>
      <c r="I35" s="46" t="str">
        <f>IF(I26="tubing only","",0.5*I33*(I33*1^3/(48*I27)))</f>
        <v/>
      </c>
      <c r="J35" s="46">
        <f t="shared" si="0"/>
        <v>17.572910433039873</v>
      </c>
      <c r="K35" s="54">
        <f>IF(AND($F$2="tubing only",OR($E$36&lt;$C$36,$F$36&lt;$C$36,$G$36&lt;$C$36)),0,100*J35/C35)</f>
        <v>100</v>
      </c>
      <c r="L35" s="56" t="str">
        <f>IF((99.9&gt;K35)*AND(K35&gt;33.3),"For Composites Only, Additional Proof Required","")</f>
        <v/>
      </c>
    </row>
    <row r="36" spans="2:13" x14ac:dyDescent="0.2">
      <c r="C36" s="207">
        <f>0.99*C27/C14</f>
        <v>1684.9638590400007</v>
      </c>
      <c r="D36" s="208"/>
      <c r="E36" s="207">
        <f>IF(AND($F$2="tubing only",E14&gt;0),E27/E14,9E+99)</f>
        <v>1701.9836960000005</v>
      </c>
      <c r="F36" s="207">
        <f>IF(AND($F$2="tubing only",F14&gt;0),F27/F14,9E+99)</f>
        <v>8.9999999999999999E+99</v>
      </c>
      <c r="G36" s="207">
        <f>IF(AND($F$2="tubing only",G14&gt;0),G27/G14,9E+99)</f>
        <v>8.9999999999999999E+99</v>
      </c>
      <c r="H36" s="186"/>
    </row>
    <row r="37" spans="2:13" x14ac:dyDescent="0.2">
      <c r="B37" s="127" t="s">
        <v>281</v>
      </c>
      <c r="E37" s="60"/>
    </row>
    <row r="38" spans="2:13" x14ac:dyDescent="0.2">
      <c r="B38" s="24"/>
      <c r="C38" s="25"/>
      <c r="D38" s="25"/>
      <c r="E38" s="25"/>
      <c r="F38" s="25"/>
      <c r="G38" s="25"/>
      <c r="H38" s="25"/>
      <c r="I38" s="25"/>
      <c r="J38" s="25"/>
      <c r="K38" s="26"/>
    </row>
    <row r="39" spans="2:13" x14ac:dyDescent="0.2">
      <c r="B39" s="30"/>
      <c r="C39" s="31"/>
      <c r="D39" s="31"/>
      <c r="E39" s="31"/>
      <c r="F39" s="31"/>
      <c r="G39" s="31"/>
      <c r="H39" s="31"/>
      <c r="I39" s="31"/>
      <c r="J39" s="31"/>
      <c r="K39" s="32"/>
    </row>
    <row r="40" spans="2:13" x14ac:dyDescent="0.2">
      <c r="B40" s="30"/>
      <c r="C40" s="31"/>
      <c r="D40" s="31"/>
      <c r="E40" s="31"/>
      <c r="F40" s="31"/>
      <c r="G40" s="31"/>
      <c r="H40" s="31"/>
      <c r="I40" s="31"/>
      <c r="J40" s="31"/>
      <c r="K40" s="32"/>
    </row>
    <row r="41" spans="2:13" x14ac:dyDescent="0.2">
      <c r="B41" s="30"/>
      <c r="C41" s="31"/>
      <c r="D41" s="31"/>
      <c r="E41" s="31"/>
      <c r="F41" s="31"/>
      <c r="G41" s="31"/>
      <c r="H41" s="31"/>
      <c r="I41" s="31"/>
      <c r="J41" s="31"/>
      <c r="K41" s="32"/>
    </row>
    <row r="42" spans="2:13" x14ac:dyDescent="0.2">
      <c r="B42" s="30"/>
      <c r="C42" s="31"/>
      <c r="D42" s="31"/>
      <c r="E42" s="31"/>
      <c r="F42" s="31"/>
      <c r="G42" s="31"/>
      <c r="H42" s="31"/>
      <c r="I42" s="31"/>
      <c r="J42" s="31"/>
      <c r="K42" s="32"/>
    </row>
    <row r="43" spans="2:13" x14ac:dyDescent="0.2">
      <c r="B43" s="30"/>
      <c r="C43" s="31"/>
      <c r="D43" s="31"/>
      <c r="E43" s="31"/>
      <c r="F43" s="31"/>
      <c r="G43" s="31"/>
      <c r="H43" s="31"/>
      <c r="I43" s="31"/>
      <c r="J43" s="31"/>
      <c r="K43" s="32"/>
    </row>
    <row r="44" spans="2:13" x14ac:dyDescent="0.2">
      <c r="B44" s="30"/>
      <c r="C44" s="31"/>
      <c r="D44" s="31"/>
      <c r="E44" s="31"/>
      <c r="F44" s="31"/>
      <c r="G44" s="31"/>
      <c r="H44" s="31"/>
      <c r="I44" s="31"/>
      <c r="J44" s="31"/>
      <c r="K44" s="32"/>
    </row>
    <row r="45" spans="2:13" x14ac:dyDescent="0.2">
      <c r="B45" s="30"/>
      <c r="C45" s="31"/>
      <c r="D45" s="31"/>
      <c r="E45" s="31"/>
      <c r="F45" s="31"/>
      <c r="G45" s="31"/>
      <c r="H45" s="31"/>
      <c r="I45" s="31"/>
      <c r="J45" s="31"/>
      <c r="K45" s="32"/>
    </row>
    <row r="46" spans="2:13" x14ac:dyDescent="0.2">
      <c r="B46" s="30"/>
      <c r="C46" s="31"/>
      <c r="D46" s="31"/>
      <c r="E46" s="31"/>
      <c r="F46" s="31"/>
      <c r="G46" s="31"/>
      <c r="H46" s="31"/>
      <c r="I46" s="31"/>
      <c r="J46" s="31"/>
      <c r="K46" s="32"/>
    </row>
    <row r="47" spans="2:13" x14ac:dyDescent="0.2">
      <c r="B47" s="30"/>
      <c r="C47" s="31"/>
      <c r="D47" s="31"/>
      <c r="E47" s="31"/>
      <c r="F47" s="31"/>
      <c r="G47" s="31"/>
      <c r="H47" s="31"/>
      <c r="I47" s="31"/>
      <c r="J47" s="31"/>
      <c r="K47" s="32"/>
    </row>
    <row r="48" spans="2:13" x14ac:dyDescent="0.2">
      <c r="B48" s="30"/>
      <c r="C48" s="31"/>
      <c r="D48" s="31"/>
      <c r="E48" s="31"/>
      <c r="F48" s="31"/>
      <c r="G48" s="31"/>
      <c r="H48" s="31"/>
      <c r="I48" s="31"/>
      <c r="J48" s="31"/>
      <c r="K48" s="32"/>
    </row>
    <row r="49" spans="2:11" x14ac:dyDescent="0.2">
      <c r="B49" s="30"/>
      <c r="C49" s="31"/>
      <c r="D49" s="31"/>
      <c r="E49" s="31"/>
      <c r="F49" s="31"/>
      <c r="G49" s="31"/>
      <c r="H49" s="31"/>
      <c r="I49" s="31"/>
      <c r="J49" s="31"/>
      <c r="K49" s="32"/>
    </row>
    <row r="50" spans="2:11" x14ac:dyDescent="0.2">
      <c r="B50" s="30"/>
      <c r="C50" s="31"/>
      <c r="D50" s="31"/>
      <c r="E50" s="31"/>
      <c r="F50" s="31"/>
      <c r="G50" s="31"/>
      <c r="H50" s="31"/>
      <c r="I50" s="31"/>
      <c r="J50" s="31"/>
      <c r="K50" s="32"/>
    </row>
    <row r="51" spans="2:11" x14ac:dyDescent="0.2">
      <c r="B51" s="30"/>
      <c r="C51" s="31"/>
      <c r="D51" s="31"/>
      <c r="E51" s="31"/>
      <c r="F51" s="31"/>
      <c r="G51" s="31"/>
      <c r="H51" s="31"/>
      <c r="I51" s="31"/>
      <c r="J51" s="31"/>
      <c r="K51" s="32"/>
    </row>
    <row r="52" spans="2:11" x14ac:dyDescent="0.2">
      <c r="B52" s="30"/>
      <c r="C52" s="31"/>
      <c r="D52" s="31"/>
      <c r="E52" s="31"/>
      <c r="F52" s="31"/>
      <c r="G52" s="31"/>
      <c r="H52" s="31"/>
      <c r="I52" s="31"/>
      <c r="J52" s="31"/>
      <c r="K52" s="32"/>
    </row>
    <row r="53" spans="2:11" x14ac:dyDescent="0.2">
      <c r="B53" s="30"/>
      <c r="C53" s="31"/>
      <c r="D53" s="31"/>
      <c r="E53" s="31"/>
      <c r="F53" s="31"/>
      <c r="G53" s="31"/>
      <c r="H53" s="31"/>
      <c r="I53" s="31"/>
      <c r="J53" s="31"/>
      <c r="K53" s="32"/>
    </row>
    <row r="54" spans="2:11" x14ac:dyDescent="0.2">
      <c r="B54" s="30"/>
      <c r="C54" s="31"/>
      <c r="D54" s="31"/>
      <c r="E54" s="31"/>
      <c r="F54" s="31"/>
      <c r="G54" s="31"/>
      <c r="H54" s="31"/>
      <c r="I54" s="31"/>
      <c r="J54" s="31"/>
      <c r="K54" s="32"/>
    </row>
    <row r="55" spans="2:11" x14ac:dyDescent="0.2">
      <c r="B55" s="30"/>
      <c r="C55" s="31"/>
      <c r="D55" s="31"/>
      <c r="E55" s="31"/>
      <c r="F55" s="31"/>
      <c r="G55" s="31"/>
      <c r="H55" s="31"/>
      <c r="I55" s="31"/>
      <c r="J55" s="31"/>
      <c r="K55" s="32"/>
    </row>
    <row r="56" spans="2:11" x14ac:dyDescent="0.2">
      <c r="B56" s="38"/>
      <c r="C56" s="36"/>
      <c r="D56" s="36"/>
      <c r="E56" s="36"/>
      <c r="F56" s="36"/>
      <c r="G56" s="36"/>
      <c r="H56" s="36"/>
      <c r="I56" s="36"/>
      <c r="J56" s="36"/>
      <c r="K56" s="39"/>
    </row>
  </sheetData>
  <sheetProtection password="E10F" sheet="1"/>
  <mergeCells count="3">
    <mergeCell ref="C2:E2"/>
    <mergeCell ref="F2:G2"/>
    <mergeCell ref="E19:G22"/>
  </mergeCells>
  <phoneticPr fontId="0" type="noConversion"/>
  <conditionalFormatting sqref="G35">
    <cfRule type="cellIs" dxfId="46" priority="5" stopIfTrue="1" operator="lessThan">
      <formula>0.95*$C35*(G$14/$C$14)</formula>
    </cfRule>
  </conditionalFormatting>
  <conditionalFormatting sqref="K28:K33">
    <cfRule type="cellIs" dxfId="45" priority="17" stopIfTrue="1" operator="greaterThanOrEqual">
      <formula>100</formula>
    </cfRule>
    <cfRule type="cellIs" dxfId="44" priority="18" stopIfTrue="1" operator="lessThan">
      <formula>100</formula>
    </cfRule>
  </conditionalFormatting>
  <conditionalFormatting sqref="K34">
    <cfRule type="cellIs" dxfId="43" priority="9" stopIfTrue="1" operator="between">
      <formula>100.1</formula>
      <formula>300</formula>
    </cfRule>
    <cfRule type="cellIs" dxfId="42" priority="19" stopIfTrue="1" operator="greaterThan">
      <formula>300</formula>
    </cfRule>
    <cfRule type="cellIs" dxfId="41" priority="20" stopIfTrue="1" operator="lessThanOrEqual">
      <formula>100</formula>
    </cfRule>
  </conditionalFormatting>
  <conditionalFormatting sqref="K27">
    <cfRule type="cellIs" dxfId="40" priority="21" stopIfTrue="1" operator="greaterThanOrEqual">
      <formula>100</formula>
    </cfRule>
    <cfRule type="cellIs" dxfId="39" priority="22" stopIfTrue="1" operator="lessThan">
      <formula>33.3</formula>
    </cfRule>
    <cfRule type="cellIs" dxfId="38" priority="23" stopIfTrue="1" operator="between">
      <formula>33.3</formula>
      <formula>100</formula>
    </cfRule>
  </conditionalFormatting>
  <conditionalFormatting sqref="E27:E33 E35">
    <cfRule type="cellIs" dxfId="37" priority="16" stopIfTrue="1" operator="lessThan">
      <formula>0.95*$C27*(E$14/$C$14)</formula>
    </cfRule>
  </conditionalFormatting>
  <conditionalFormatting sqref="K35">
    <cfRule type="cellIs" dxfId="36" priority="10" stopIfTrue="1" operator="greaterThanOrEqual">
      <formula>100</formula>
    </cfRule>
    <cfRule type="cellIs" dxfId="35" priority="11" stopIfTrue="1" operator="lessThan">
      <formula>33.3</formula>
    </cfRule>
    <cfRule type="cellIs" dxfId="34" priority="12" stopIfTrue="1" operator="between">
      <formula>33.3</formula>
      <formula>100</formula>
    </cfRule>
  </conditionalFormatting>
  <conditionalFormatting sqref="F27:F33">
    <cfRule type="cellIs" dxfId="33" priority="8" stopIfTrue="1" operator="lessThan">
      <formula>0.95*$C27*(F$14/$C$14)</formula>
    </cfRule>
  </conditionalFormatting>
  <conditionalFormatting sqref="G27:G33">
    <cfRule type="cellIs" dxfId="32" priority="7" stopIfTrue="1" operator="lessThan">
      <formula>0.95*$C27*(G$14/$C$14)</formula>
    </cfRule>
  </conditionalFormatting>
  <conditionalFormatting sqref="F35">
    <cfRule type="cellIs" dxfId="31" priority="6" stopIfTrue="1" operator="lessThan">
      <formula>0.95*$C35*(F$14/$C$14)</formula>
    </cfRule>
  </conditionalFormatting>
  <conditionalFormatting sqref="I22">
    <cfRule type="cellIs" dxfId="30" priority="1" stopIfTrue="1" operator="greaterThan">
      <formula>320</formula>
    </cfRule>
    <cfRule type="cellIs" dxfId="29" priority="2" stopIfTrue="1" operator="greaterThan">
      <formula>320</formula>
    </cfRule>
    <cfRule type="cellIs" dxfId="28" priority="3" stopIfTrue="1" operator="greaterThan">
      <formula>350</formula>
    </cfRule>
    <cfRule type="cellIs" dxfId="27" priority="4" stopIfTrue="1" operator="greaterThan">
      <formula>320</formula>
    </cfRule>
  </conditionalFormatting>
  <dataValidations count="5">
    <dataValidation allowBlank="1" showInputMessage="1" showErrorMessage="1" promptTitle="Select Material" sqref="C6 I6" xr:uid="{00000000-0002-0000-2100-000000000000}"/>
    <dataValidation type="list" allowBlank="1" showInputMessage="1" showErrorMessage="1" promptTitle="Select Material" sqref="E6:G6" xr:uid="{00000000-0002-0000-2100-000001000000}">
      <formula1>Tube_Type</formula1>
    </dataValidation>
    <dataValidation type="list" allowBlank="1" showInputMessage="1" showErrorMessage="1" promptTitle="Select Material" sqref="J13:J14 D6 C5:H5 H6" xr:uid="{00000000-0002-0000-2100-000002000000}">
      <formula1>Materials</formula1>
    </dataValidation>
    <dataValidation type="list" allowBlank="1" showInputMessage="1" showErrorMessage="1" sqref="F2" xr:uid="{00000000-0002-0000-2100-000003000000}">
      <formula1>ConstructionType</formula1>
    </dataValidation>
    <dataValidation type="list" allowBlank="1" showInputMessage="1" showErrorMessage="1" sqref="I5" xr:uid="{00000000-0002-0000-2100-000004000000}">
      <formula1>Material</formula1>
    </dataValidation>
  </dataValidations>
  <hyperlinks>
    <hyperlink ref="K2:M2" location="'Cover Sheet'!A1" display="BACK to COVER SHEET" xr:uid="{00000000-0004-0000-2100-000000000000}"/>
  </hyperlinks>
  <pageMargins left="0.75" right="0.75" top="1" bottom="1" header="0.5" footer="0.5"/>
  <pageSetup paperSize="9" orientation="portrait" horizontalDpi="4294967294"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7"/>
  <dimension ref="B1:S56"/>
  <sheetViews>
    <sheetView showGridLines="0" workbookViewId="0">
      <selection activeCell="B2" sqref="B2"/>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4.28515625" style="56" bestFit="1" customWidth="1"/>
    <col min="10" max="10" width="11.7109375" style="56" customWidth="1"/>
    <col min="11" max="11" width="6.140625" style="56" customWidth="1"/>
    <col min="12" max="12" width="8.7109375" style="56" customWidth="1"/>
    <col min="13" max="16384" width="9.140625" style="56"/>
  </cols>
  <sheetData>
    <row r="1" spans="2:15" ht="15.75" x14ac:dyDescent="0.25">
      <c r="B1" s="55" t="s">
        <v>245</v>
      </c>
    </row>
    <row r="2" spans="2:15" x14ac:dyDescent="0.2">
      <c r="C2" s="639" t="s">
        <v>27</v>
      </c>
      <c r="D2" s="639"/>
      <c r="E2" s="639"/>
      <c r="F2" s="640" t="s">
        <v>28</v>
      </c>
      <c r="G2" s="641"/>
      <c r="L2" s="298" t="s">
        <v>565</v>
      </c>
      <c r="M2" s="298"/>
      <c r="N2" s="298"/>
    </row>
    <row r="4" spans="2:15" ht="25.5" x14ac:dyDescent="0.2">
      <c r="B4" s="57" t="s">
        <v>18</v>
      </c>
      <c r="C4" s="57" t="s">
        <v>1</v>
      </c>
      <c r="D4" s="106"/>
      <c r="E4" s="71" t="s">
        <v>33</v>
      </c>
      <c r="F4" s="71" t="s">
        <v>34</v>
      </c>
      <c r="G4" s="71" t="s">
        <v>35</v>
      </c>
      <c r="H4" s="71" t="s">
        <v>32</v>
      </c>
      <c r="I4" s="119" t="s">
        <v>21</v>
      </c>
      <c r="J4" s="71" t="s">
        <v>22</v>
      </c>
      <c r="L4" s="127"/>
      <c r="M4" s="259" t="s">
        <v>290</v>
      </c>
      <c r="N4" s="259" t="s">
        <v>289</v>
      </c>
    </row>
    <row r="5" spans="2:15" x14ac:dyDescent="0.2">
      <c r="B5" s="58" t="s">
        <v>30</v>
      </c>
      <c r="C5" s="44" t="s">
        <v>7</v>
      </c>
      <c r="E5" s="22" t="s">
        <v>7</v>
      </c>
      <c r="F5" s="22" t="s">
        <v>7</v>
      </c>
      <c r="G5" s="22" t="s">
        <v>7</v>
      </c>
      <c r="H5" s="107"/>
      <c r="I5" s="52" t="s">
        <v>7</v>
      </c>
      <c r="J5" s="107"/>
      <c r="L5" s="239" t="s">
        <v>247</v>
      </c>
      <c r="M5" s="56">
        <f>I22/1000</f>
        <v>0.3</v>
      </c>
      <c r="N5" s="250">
        <f>M5</f>
        <v>0.3</v>
      </c>
    </row>
    <row r="6" spans="2:15" x14ac:dyDescent="0.2">
      <c r="B6" s="58" t="s">
        <v>46</v>
      </c>
      <c r="C6" s="44" t="s">
        <v>44</v>
      </c>
      <c r="E6" s="22" t="s">
        <v>44</v>
      </c>
      <c r="F6" s="22" t="s">
        <v>44</v>
      </c>
      <c r="G6" s="22" t="s">
        <v>44</v>
      </c>
      <c r="H6" s="109"/>
      <c r="I6" s="108" t="s">
        <v>23</v>
      </c>
      <c r="J6" s="109"/>
      <c r="L6" s="239" t="s">
        <v>248</v>
      </c>
      <c r="M6" s="56">
        <f>I21/1000</f>
        <v>3.0000000000000001E-3</v>
      </c>
      <c r="N6" s="250">
        <f>I20/1000</f>
        <v>3.0000000000000001E-3</v>
      </c>
    </row>
    <row r="7" spans="2:15"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46" t="str">
        <f>HLOOKUP(I5,MaterialData!$C$3:$O$4,2,FALSE)</f>
        <v>Steel</v>
      </c>
      <c r="J7" s="111"/>
    </row>
    <row r="8" spans="2:15"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46">
        <f>INDEX(Innertable,MATCH($B8,MaterialData!$B$5:$B$10,0),MATCH(I$7,MaterialData!$C$4:$O$4,0))</f>
        <v>200000000000</v>
      </c>
      <c r="J8" s="111"/>
      <c r="L8" s="239" t="s">
        <v>250</v>
      </c>
      <c r="M8" s="60">
        <f>M5*M6</f>
        <v>8.9999999999999998E-4</v>
      </c>
      <c r="N8" s="239" t="s">
        <v>269</v>
      </c>
      <c r="O8" s="60">
        <f>(M5*M6^3)/12</f>
        <v>6.7499999999999994E-10</v>
      </c>
    </row>
    <row r="9" spans="2:15"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46">
        <f>INDEX(Innertable,MATCH($B9,MaterialData!$B$5:$B$10,0),MATCH(I$7,MaterialData!$C$4:$O$4,0))</f>
        <v>305000000</v>
      </c>
      <c r="J9" s="111"/>
      <c r="L9" s="239" t="s">
        <v>251</v>
      </c>
      <c r="M9" s="60">
        <f>N5*N6</f>
        <v>8.9999999999999998E-4</v>
      </c>
      <c r="N9" s="239" t="s">
        <v>270</v>
      </c>
      <c r="O9" s="60">
        <f>(N5*N6^3)/12</f>
        <v>6.7499999999999994E-10</v>
      </c>
    </row>
    <row r="10" spans="2:15"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46">
        <f>INDEX(Innertable,MATCH($B10,MaterialData!$B$5:$B$10,0),MATCH(I$7,MaterialData!$C$4:$O$4,0))</f>
        <v>365000000</v>
      </c>
      <c r="J10" s="111"/>
      <c r="L10" s="239" t="s">
        <v>432</v>
      </c>
      <c r="M10" s="56">
        <f>M6/2</f>
        <v>1.5E-3</v>
      </c>
      <c r="N10" s="239" t="s">
        <v>254</v>
      </c>
      <c r="O10" s="60">
        <f>O8+(M8*($M$12-M10)^2)</f>
        <v>1.1969999999999999E-7</v>
      </c>
    </row>
    <row r="11" spans="2:15"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46">
        <f>INDEX(Innertable,MATCH($B11,MaterialData!$B$5:$B$10,0),MATCH(I$7,MaterialData!$C$4:$O$4,0))</f>
        <v>180000000</v>
      </c>
      <c r="J11" s="111"/>
      <c r="L11" s="239" t="s">
        <v>433</v>
      </c>
      <c r="M11" s="56">
        <f>(I18-0.5*I20)*0.001</f>
        <v>2.4500000000000001E-2</v>
      </c>
      <c r="N11" s="239" t="s">
        <v>255</v>
      </c>
      <c r="O11" s="60">
        <f>O9+(M9*($M$12-M11)^2)</f>
        <v>1.1970000000000005E-7</v>
      </c>
    </row>
    <row r="12" spans="2:15"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46">
        <f>INDEX(Innertable,MATCH($B12,MaterialData!$B$5:$B$10,0),MATCH(I$7,MaterialData!$C$4:$O$4,0))</f>
        <v>300000000</v>
      </c>
      <c r="J12" s="111"/>
      <c r="L12" s="239" t="s">
        <v>249</v>
      </c>
      <c r="M12" s="252">
        <f>(M8*M10+M9*M11)/(M8+M9)</f>
        <v>1.2999999999999999E-2</v>
      </c>
      <c r="N12" s="239" t="s">
        <v>260</v>
      </c>
      <c r="O12" s="266">
        <f>SUM(O10:O11)</f>
        <v>2.3940000000000004E-7</v>
      </c>
    </row>
    <row r="13" spans="2:15" x14ac:dyDescent="0.2">
      <c r="C13" s="105"/>
      <c r="D13" s="56"/>
      <c r="E13" s="120"/>
      <c r="F13" s="105"/>
      <c r="G13" s="80"/>
      <c r="H13" s="109"/>
      <c r="J13" s="109"/>
      <c r="O13" s="60"/>
    </row>
    <row r="14" spans="2:15" x14ac:dyDescent="0.2">
      <c r="B14" s="59" t="s">
        <v>31</v>
      </c>
      <c r="C14" s="44">
        <v>3</v>
      </c>
      <c r="D14" s="56"/>
      <c r="E14" s="22">
        <v>3</v>
      </c>
      <c r="F14" s="22">
        <v>0</v>
      </c>
      <c r="G14" s="22">
        <v>0</v>
      </c>
      <c r="H14" s="109"/>
      <c r="J14" s="109"/>
      <c r="O14" s="60"/>
    </row>
    <row r="15" spans="2:15" x14ac:dyDescent="0.2">
      <c r="B15" s="59" t="s">
        <v>166</v>
      </c>
      <c r="C15" s="44">
        <v>25.4</v>
      </c>
      <c r="E15" s="22">
        <v>25.4</v>
      </c>
      <c r="F15" s="22">
        <v>25.4</v>
      </c>
      <c r="G15" s="22">
        <v>25.4</v>
      </c>
      <c r="H15" s="109"/>
      <c r="I15" s="105"/>
      <c r="J15" s="109"/>
      <c r="O15" s="60"/>
    </row>
    <row r="16" spans="2:15" x14ac:dyDescent="0.2">
      <c r="B16" s="59" t="s">
        <v>167</v>
      </c>
      <c r="C16" s="44">
        <v>1.2</v>
      </c>
      <c r="E16" s="22">
        <v>1.2</v>
      </c>
      <c r="F16" s="22">
        <v>1.2</v>
      </c>
      <c r="G16" s="22">
        <v>1.2</v>
      </c>
      <c r="H16" s="109"/>
      <c r="I16" s="105"/>
      <c r="J16" s="109"/>
      <c r="L16" s="191"/>
      <c r="O16" s="60"/>
    </row>
    <row r="17" spans="2:19" x14ac:dyDescent="0.2">
      <c r="B17" s="105"/>
      <c r="C17" s="105"/>
      <c r="E17" s="121"/>
      <c r="F17" s="122" t="s">
        <v>156</v>
      </c>
      <c r="G17" s="66" t="str">
        <f>IF(AND(K27&gt;=100,F2="tubing only",NOT(OR(E18="NO",F18="NO",G18="NO"))),"YES","NO")</f>
        <v>YES</v>
      </c>
      <c r="H17" s="109"/>
      <c r="I17" s="105"/>
      <c r="J17" s="109"/>
      <c r="O17" s="60"/>
    </row>
    <row r="18" spans="2:19" x14ac:dyDescent="0.2">
      <c r="B18" s="99" t="s">
        <v>24</v>
      </c>
      <c r="C18" s="105"/>
      <c r="E18" s="179" t="str">
        <f>IF(E14=0,"N/A",IF(AND(E5=$C$5,E15&gt;=25.4,E16&gt;=1.2),"YES","NO"))</f>
        <v>YES</v>
      </c>
      <c r="F18" s="180" t="str">
        <f>IF(F14=0,"N/A",IF(AND(F5=$C$5,F15&gt;=25.4,F16&gt;=1.2),"YES","NO"))</f>
        <v>N/A</v>
      </c>
      <c r="G18" s="181" t="str">
        <f>IF(G14=0,"N/A",IF(AND(G5=$C$5,G15&gt;=25.4,G16&gt;=1.2),"YES","NO"))</f>
        <v>N/A</v>
      </c>
      <c r="H18" s="109"/>
      <c r="I18" s="241">
        <f>I19+I20+I21</f>
        <v>26</v>
      </c>
      <c r="J18" s="109"/>
      <c r="O18" s="60"/>
    </row>
    <row r="19" spans="2:19" x14ac:dyDescent="0.2">
      <c r="B19" s="99" t="s">
        <v>25</v>
      </c>
      <c r="C19" s="105"/>
      <c r="E19" s="658"/>
      <c r="F19" s="659"/>
      <c r="G19" s="660"/>
      <c r="H19" s="109"/>
      <c r="I19" s="52">
        <v>20</v>
      </c>
      <c r="J19" s="109"/>
      <c r="O19" s="60"/>
    </row>
    <row r="20" spans="2:19" x14ac:dyDescent="0.2">
      <c r="B20" s="99" t="s">
        <v>287</v>
      </c>
      <c r="E20" s="658"/>
      <c r="F20" s="659"/>
      <c r="G20" s="660"/>
      <c r="H20" s="109"/>
      <c r="I20" s="52">
        <v>3</v>
      </c>
      <c r="J20" s="109"/>
      <c r="O20" s="60"/>
    </row>
    <row r="21" spans="2:19" x14ac:dyDescent="0.2">
      <c r="B21" s="264" t="s">
        <v>286</v>
      </c>
      <c r="E21" s="658"/>
      <c r="F21" s="659"/>
      <c r="G21" s="660"/>
      <c r="H21" s="109"/>
      <c r="I21" s="52">
        <v>3</v>
      </c>
      <c r="J21" s="109"/>
      <c r="O21" s="60"/>
    </row>
    <row r="22" spans="2:19" x14ac:dyDescent="0.2">
      <c r="B22" s="99" t="s">
        <v>26</v>
      </c>
      <c r="E22" s="658"/>
      <c r="F22" s="659"/>
      <c r="G22" s="660"/>
      <c r="H22" s="109"/>
      <c r="I22" s="52">
        <v>300</v>
      </c>
      <c r="J22" s="109"/>
      <c r="K22" s="186"/>
      <c r="O22" s="60"/>
    </row>
    <row r="23" spans="2:19" x14ac:dyDescent="0.2">
      <c r="B23" s="105"/>
      <c r="C23" s="105"/>
      <c r="E23" s="123"/>
      <c r="F23" s="124"/>
      <c r="G23" s="125"/>
      <c r="H23" s="109"/>
      <c r="I23" s="105"/>
      <c r="J23" s="109"/>
      <c r="O23" s="60"/>
    </row>
    <row r="24" spans="2:19" x14ac:dyDescent="0.2">
      <c r="B24" s="59" t="s">
        <v>4</v>
      </c>
      <c r="C24" s="44">
        <f>C15/1000</f>
        <v>2.5399999999999999E-2</v>
      </c>
      <c r="E24" s="44">
        <f>IF($F$2="composite only","No tubes",IF(E14=0,"No tubes",E15/1000))</f>
        <v>2.5399999999999999E-2</v>
      </c>
      <c r="F24" s="44" t="str">
        <f>IF($F$2="composite only","No tubes",IF(F14=0,"No tubes",F15/1000))</f>
        <v>No tubes</v>
      </c>
      <c r="G24" s="44" t="str">
        <f>IF($F$2="composite only","No tubes",IF(G14=0,"No tubes",G15/1000))</f>
        <v>No tubes</v>
      </c>
      <c r="H24" s="109"/>
      <c r="I24" s="105"/>
      <c r="J24" s="109"/>
      <c r="O24" s="60"/>
    </row>
    <row r="25" spans="2:19" x14ac:dyDescent="0.2">
      <c r="B25" s="59" t="s">
        <v>159</v>
      </c>
      <c r="C25" s="44">
        <f>C16/1000</f>
        <v>1.1999999999999999E-3</v>
      </c>
      <c r="E25" s="44">
        <f>IF(E24="no tubes","",IF(E14=0,"",E16/1000))</f>
        <v>1.1999999999999999E-3</v>
      </c>
      <c r="F25" s="44" t="str">
        <f>IF(F24="no tubes","",IF(F14=0,"",F16/1000))</f>
        <v/>
      </c>
      <c r="G25" s="44" t="str">
        <f>IF(G24="no tubes","",IF(G14=0,"",G16/1000))</f>
        <v/>
      </c>
      <c r="H25" s="113"/>
      <c r="I25" s="105"/>
      <c r="J25" s="113"/>
      <c r="O25" s="60"/>
      <c r="S25" s="61"/>
    </row>
    <row r="26" spans="2:19" x14ac:dyDescent="0.2">
      <c r="B26" s="59" t="s">
        <v>3</v>
      </c>
      <c r="C26" s="46">
        <f>IF(C6="Round",((C24)^4-((C24-2*C25))^4)*3.142/64,((C24)^4-((C24-2*C25))^4)/12)</f>
        <v>6.6959174567999997E-9</v>
      </c>
      <c r="E26" s="46">
        <f>IF(E24="no tubes","",IF(E14=0,"",IF(E6="Round",(((E24)^4-((E24-2*E25))^4)*3.142/64),IF(E6="Square",(((E24)^4-((E24-2*E25))^4)/12),""))))</f>
        <v>6.6959174567999997E-9</v>
      </c>
      <c r="F26" s="46" t="str">
        <f>IF(F24="no tubes","",IF(F14=0,"",IF(F6="Round",(((F24)^4-((F24-2*F25))^4)*3.142/64),IF(F6="Square",(((F24)^4-((F24-2*F25))^4)/12),""))))</f>
        <v/>
      </c>
      <c r="G26" s="46" t="str">
        <f>IF(G24="no tubes","",IF(G14=0,"",IF(G6="Round",(((G24)^4-((G24-2*G25))^4)*3.142/64),IF(G6="Square",(((G24)^4-((G24-2*G25))^4)/12),""))))</f>
        <v/>
      </c>
      <c r="H26" s="46">
        <f>IF(SUM(E26:G26)&gt;0,SUM(E26:G26),"")</f>
        <v>6.6959174567999997E-9</v>
      </c>
      <c r="I26" s="115" t="str">
        <f>IF($F$2="Tubing only","Tubing Only",O12)</f>
        <v>Tubing Only</v>
      </c>
      <c r="J26" s="46">
        <f t="shared" ref="J26:J35" si="0">IF($F$2="Tubing only",H26,IF($F$2="Composite only",I26,IF($F$2="Tubes + Composite",H26+I26,"No Type Selected")))</f>
        <v>6.6959174567999997E-9</v>
      </c>
      <c r="O26" s="60"/>
      <c r="R26" s="60"/>
      <c r="S26" s="61"/>
    </row>
    <row r="27" spans="2:19" x14ac:dyDescent="0.2">
      <c r="B27" s="59" t="s">
        <v>0</v>
      </c>
      <c r="C27" s="46">
        <f>C8*C26*C14</f>
        <v>4017.5504740799997</v>
      </c>
      <c r="D27" s="110"/>
      <c r="E27" s="46">
        <f>IF(E24="no tubes","",IF(E14=0,"",E8*E26*E14))</f>
        <v>4017.5504740799997</v>
      </c>
      <c r="F27" s="46" t="str">
        <f>IF(F24="no tubes","",IF(F14=0,"",F8*F26*F14))</f>
        <v/>
      </c>
      <c r="G27" s="46" t="str">
        <f>IF(G24="no tubes","",IF(G14=0,"",G8*G26*G14))</f>
        <v/>
      </c>
      <c r="H27" s="46">
        <f t="shared" ref="H27:H35" si="1">IF(SUM(E27:G27)&gt;0,SUM(E27:G27),"")</f>
        <v>4017.5504740799997</v>
      </c>
      <c r="I27" s="115" t="str">
        <f>IF(I26="Tubing Only","",I26*I8)</f>
        <v/>
      </c>
      <c r="J27" s="46">
        <f t="shared" si="0"/>
        <v>4017.5504740799997</v>
      </c>
      <c r="K27" s="54">
        <f>IF(AND(NOT($F$2="tubes + composite"),OR(AND($G$14&gt;0,G27&lt;(C27/3)),AND($F$14&gt;0,F27&lt;(C27/3)),AND($E$14&gt;0,E27&lt;(C27/3)))),0,100*J27/C27)</f>
        <v>100</v>
      </c>
      <c r="L27" s="56" t="str">
        <f>IF((99.9&gt;K27)*AND(K27&gt;33.3),"For Composites Only, Additional Proof Required","")</f>
        <v/>
      </c>
    </row>
    <row r="28" spans="2:19" x14ac:dyDescent="0.2">
      <c r="B28" s="59" t="s">
        <v>160</v>
      </c>
      <c r="C28" s="47">
        <f>IF(C24="no tubes","",IF(C14=0,"",IF(C6="Round",C14*((C15^2-(C15-2*C16)^2)*PI()/4),IF(C6="Square",C14*(C15^2-(C15-2*C16)^2),""))))</f>
        <v>273.69555198074272</v>
      </c>
      <c r="D28" s="126"/>
      <c r="E28" s="47">
        <f>IF(E24="no tubes","",IF(E14=0,"",IF(E6="Round",E14*((E15^2-(E15-2*E16)^2)*PI()/4),IF(E6="Square",E14*(E15^2-(E15-2*E16)^2),""))))</f>
        <v>273.69555198074272</v>
      </c>
      <c r="F28" s="47" t="str">
        <f>IF(F24="no tubes","",IF(F14=0,"",IF(F6="Round",F14*((F15^2-(F15-2*F16)^2)*PI()/4),IF(F6="Square",F14*(F15^2-(F15-2*F16)^2),""))))</f>
        <v/>
      </c>
      <c r="G28" s="47" t="str">
        <f>IF(G24="no tubes","",IF(G14=0,"",IF(G6="Round",G14*((G15^2-(G15-2*G16)^2)*PI()/4),IF(G6="Square",G14*(G15^2-(G15-2*G16)^2),""))))</f>
        <v/>
      </c>
      <c r="H28" s="47">
        <f t="shared" si="1"/>
        <v>273.69555198074272</v>
      </c>
      <c r="I28" s="47" t="str">
        <f>IF(I26="Tubing Only","",(I18-I19)*I22)</f>
        <v/>
      </c>
      <c r="J28" s="47">
        <f t="shared" si="0"/>
        <v>273.69555198074272</v>
      </c>
      <c r="K28" s="54">
        <f>IF(AND($F$2="tubing only",AND(E5="steel",F5="steel",G5="steel")),100*J28/C28,"NA")</f>
        <v>100</v>
      </c>
      <c r="L28" s="56" t="str">
        <f>IF(AND(95&lt;K28,K28&lt;100),"For tubes only, provided your actual tube measures &gt;= your nominal OD and wall this is OK","")</f>
        <v/>
      </c>
      <c r="R28" s="60"/>
    </row>
    <row r="29" spans="2:19" x14ac:dyDescent="0.2">
      <c r="B29" s="59" t="s">
        <v>161</v>
      </c>
      <c r="C29" s="46">
        <f>C$28*C9/1000000</f>
        <v>83477.143354126529</v>
      </c>
      <c r="D29" s="110"/>
      <c r="E29" s="46">
        <f>IF(E24="no tubes","",IF(E14=0,"",E$28*E9/1000000))</f>
        <v>83477.143354126529</v>
      </c>
      <c r="F29" s="46" t="str">
        <f>IF(F24="no tubes","",IF(F14=0,"",F$28*F9/1000000))</f>
        <v/>
      </c>
      <c r="G29" s="46" t="str">
        <f>IF(G24="no tubes","",IF(G14=0,"",G$28*G9/1000000))</f>
        <v/>
      </c>
      <c r="H29" s="46">
        <f t="shared" si="1"/>
        <v>83477.143354126529</v>
      </c>
      <c r="I29" s="46" t="str">
        <f>IF(I26="Tubing Only","",I28*I9/1000000)</f>
        <v/>
      </c>
      <c r="J29" s="46">
        <f t="shared" si="0"/>
        <v>83477.143354126529</v>
      </c>
      <c r="K29" s="54">
        <f>IF(AND($F$2="tubing only",OR($E$29&lt;(E14/$C$14)*$C$29,$F$29&lt;(F14/$C$14)*$C$29,$G$29&lt;(G14/$C$14)*$C$29)),0,100*J29/C29)</f>
        <v>100</v>
      </c>
      <c r="L29" s="56" t="str">
        <f>IF(AND(95&lt;K29,K29&lt;100),"For tubes only, provided your actual tube measures &gt;= your nominal OD and wall this is OK","")</f>
        <v/>
      </c>
    </row>
    <row r="30" spans="2:19" x14ac:dyDescent="0.2">
      <c r="B30" s="59" t="s">
        <v>5</v>
      </c>
      <c r="C30" s="46">
        <f>C$28*C10/1000000</f>
        <v>99898.876472971097</v>
      </c>
      <c r="D30" s="110"/>
      <c r="E30" s="46">
        <f>IF(E24="no tubes","",IF(E14=0,"",E$28*E10/1000000))</f>
        <v>99898.876472971097</v>
      </c>
      <c r="F30" s="46" t="str">
        <f>IF(F24="no tubes","",IF(F14=0,"",F$28*F10/1000000))</f>
        <v/>
      </c>
      <c r="G30" s="46" t="str">
        <f>IF(G24="no tubes","",IF(G14=0,"",G$28*G10/1000000))</f>
        <v/>
      </c>
      <c r="H30" s="46">
        <f t="shared" si="1"/>
        <v>99898.876472971097</v>
      </c>
      <c r="I30" s="46" t="str">
        <f>IF(I26="Tubing Only","",I28*I10/1000000)</f>
        <v/>
      </c>
      <c r="J30" s="46">
        <f t="shared" si="0"/>
        <v>99898.876472971097</v>
      </c>
      <c r="K30" s="54">
        <f>IF(AND($F$2="tubing only",OR($E$30&lt;(E14/$C$14)*$C$30,$F$30&lt;(F14/$C$14)*$C$30,$G$30&lt;(G14/$C$14)*$C$30)),0,100*J30/C30)</f>
        <v>100.00000000000001</v>
      </c>
      <c r="L30" s="56" t="str">
        <f>IF(AND(95&lt;K30,K30&lt;100),"For tubes only, provided your actual tube measures &gt;= your nominal OD and wall this is OK","")</f>
        <v/>
      </c>
      <c r="R30" s="60"/>
    </row>
    <row r="31" spans="2:19" x14ac:dyDescent="0.2">
      <c r="B31" s="59" t="s">
        <v>162</v>
      </c>
      <c r="C31" s="46">
        <f>C$28*C11/1000000</f>
        <v>49265.199356533689</v>
      </c>
      <c r="D31" s="110"/>
      <c r="E31" s="46">
        <f>IF(E24="no tubes","",IF(E14=0,"",E$28*E11/1000000))</f>
        <v>49265.199356533689</v>
      </c>
      <c r="F31" s="46" t="str">
        <f>IF(F24="no tubes","",IF(F14=0,"",F$28*F11/1000000))</f>
        <v/>
      </c>
      <c r="G31" s="46" t="str">
        <f>IF(G24="no tubes","",IF(G14=0,"",G$28*G11/1000000))</f>
        <v/>
      </c>
      <c r="H31" s="46">
        <f t="shared" si="1"/>
        <v>49265.199356533689</v>
      </c>
      <c r="I31" s="46" t="str">
        <f>IF(I26="Tubing Only","",I28*I9/1000000)</f>
        <v/>
      </c>
      <c r="J31" s="46">
        <f t="shared" si="0"/>
        <v>49265.199356533689</v>
      </c>
      <c r="K31" s="54">
        <f>IF(AND($F$2="tubing only",OR($E$31&lt;(E14/$C$14)*$C$31,$F$31&lt;(F14/$C$14)*$C$31,$G$31&lt;(G14/$C$14)*$C$31)),0,100*J31/C31)</f>
        <v>100</v>
      </c>
      <c r="L31" s="56" t="str">
        <f>IF(AND(95&lt;K31,K31&lt;100),"For tubes only, provided your actual tube measures &gt;= your nominal OD and wall this is OK","")</f>
        <v/>
      </c>
      <c r="R31" s="60"/>
    </row>
    <row r="32" spans="2:19" x14ac:dyDescent="0.2">
      <c r="B32" s="59" t="s">
        <v>6</v>
      </c>
      <c r="C32" s="46">
        <f>IF(C14=0,"",C$28*C12/1000000)</f>
        <v>82108.66559422281</v>
      </c>
      <c r="D32" s="110"/>
      <c r="E32" s="46">
        <f>IF(E24="no tubes","",IF(E14=0,"",E$28*E12/1000000))</f>
        <v>82108.66559422281</v>
      </c>
      <c r="F32" s="46" t="str">
        <f>IF(F24="no tubes","",IF(F14=0,"",F$28*F12/1000000))</f>
        <v/>
      </c>
      <c r="G32" s="46" t="str">
        <f>IF(G24="no tubes","",IF(G14=0,"",G$28*G12/1000000))</f>
        <v/>
      </c>
      <c r="H32" s="46">
        <f t="shared" si="1"/>
        <v>82108.66559422281</v>
      </c>
      <c r="I32" s="46" t="str">
        <f>IF(I26="tubing only","",I28*I10/1000000)</f>
        <v/>
      </c>
      <c r="J32" s="46">
        <f t="shared" si="0"/>
        <v>82108.66559422281</v>
      </c>
      <c r="K32" s="54">
        <f>IF(AND($F$2="tubing only",OR($E$32&lt;(E14/$C$14)*$C$32,$F$32&lt;(F14/$C$14)*$C$32,$G$32&lt;(G14/$C$14)*$C$32)),0,100*J32/C32)</f>
        <v>100</v>
      </c>
      <c r="L32" s="56" t="str">
        <f>IF(AND(95&lt;K32,K32&lt;100),"For tubes only, provided your actual tube measures &gt;= your nominal OD and wall this is OK","")</f>
        <v/>
      </c>
      <c r="R32" s="60"/>
    </row>
    <row r="33" spans="2:13" x14ac:dyDescent="0.2">
      <c r="B33" s="59" t="s">
        <v>163</v>
      </c>
      <c r="C33" s="46">
        <f>C14*4*C10*C26/(0.5*C24*1)</f>
        <v>2309.3006662034645</v>
      </c>
      <c r="E33" s="46">
        <f>IF(E24="no tubes","",IF(E14=0,"",E14*4*E10*E26/(0.5*E24*1)))</f>
        <v>2309.3006662034645</v>
      </c>
      <c r="F33" s="46" t="str">
        <f>IF(F24="no tubes","",IF(F14=0,"",F14*4*F10*F26/(0.5*F24*1)))</f>
        <v/>
      </c>
      <c r="G33" s="46" t="str">
        <f>IF(G24="no tubes","",IF(G14=0,"",G14*4*G10*G26/(0.5*G24*1)))</f>
        <v/>
      </c>
      <c r="H33" s="46">
        <f t="shared" si="1"/>
        <v>2309.3006662034645</v>
      </c>
      <c r="I33" s="46" t="str">
        <f>IF(I26="tubing only","",4*I10*(I26*2/(I18/1000))/1)</f>
        <v/>
      </c>
      <c r="J33" s="46">
        <f t="shared" si="0"/>
        <v>2309.3006662034645</v>
      </c>
      <c r="K33" s="54">
        <f>IF(AND($F$2="tubing only",OR($E$33&lt;(E14/$C$14)*$C$33,$F$33&lt;(F14/$C$14)*$C$33,$G$33&lt;(G14/$C$14)*$C$33)),0,100*J33/C33)</f>
        <v>100</v>
      </c>
      <c r="L33" s="56" t="str">
        <f>IF((99.9&gt;K33)*AND(K33&gt;33.3),"For Composites Only, Additional Proof Required","")</f>
        <v/>
      </c>
    </row>
    <row r="34" spans="2:13" x14ac:dyDescent="0.2">
      <c r="B34" s="59" t="s">
        <v>164</v>
      </c>
      <c r="C34" s="46">
        <f>IF(C14=0,"",C33*1^3/(48*C27))</f>
        <v>1.1975065616797899E-2</v>
      </c>
      <c r="E34" s="46">
        <f>IF(E24="no tubes","",IF(E14=0,"",($C$33*1^3/(48*E27))))</f>
        <v>1.1975065616797899E-2</v>
      </c>
      <c r="F34" s="46" t="str">
        <f>IF(F24="no tubes","",IF(F14=0,"",($C$33*1^3/(48*F27))))</f>
        <v/>
      </c>
      <c r="G34" s="46" t="str">
        <f>IF(G24="no tubes","",IF(G14=0,"",($C$33*1^3/(48*G27))))</f>
        <v/>
      </c>
      <c r="H34" s="46">
        <f>IF(F2="composite only","",$C$33*1^3/(48*H27))</f>
        <v>1.1975065616797899E-2</v>
      </c>
      <c r="I34" s="46" t="str">
        <f>IF(NOT($F$2="tubing only"),$C$33*1^3/(48*I27),"")</f>
        <v/>
      </c>
      <c r="J34" s="46">
        <f>IF($F$2="Tubing only",H34,IF($F$2="Composite only",I34,IF($F$2="Tubes + Composite",$C$33*1^3/(48*J27),"No Type Selected")))</f>
        <v>1.1975065616797899E-2</v>
      </c>
      <c r="K34" s="54">
        <f>IF(AND($F$2="tubing only",J34&gt;1.05*C34),101,100*J34/C34)</f>
        <v>100</v>
      </c>
      <c r="L34" s="56" t="str">
        <f>IF((100.1&lt;K34)*AND(K34&lt;300.1),"For Composites Only, Additional Proof Required","")</f>
        <v/>
      </c>
      <c r="M34" s="60"/>
    </row>
    <row r="35" spans="2:13" x14ac:dyDescent="0.2">
      <c r="B35" s="59" t="s">
        <v>165</v>
      </c>
      <c r="C35" s="46">
        <f>0.5*C33*(C33*1^3/(48*C27))</f>
        <v>13.827013503350795</v>
      </c>
      <c r="E35" s="46">
        <f>IF(E24="no tubes","",0.5*E33*(E33*1^3/(48*E27)))</f>
        <v>13.827013503350795</v>
      </c>
      <c r="F35" s="46" t="str">
        <f>IF(F24="no tubes","",0.5*F33*(F33*1^3/(48*F27)))</f>
        <v/>
      </c>
      <c r="G35" s="46" t="str">
        <f>IF(G24="no tubes","",0.5*G33*(G33*1^3/(48*G27)))</f>
        <v/>
      </c>
      <c r="H35" s="46">
        <f t="shared" si="1"/>
        <v>13.827013503350795</v>
      </c>
      <c r="I35" s="46" t="str">
        <f>IF(I26="tubing only","",0.5*I33*(I33*1^3/(48*I27)))</f>
        <v/>
      </c>
      <c r="J35" s="46">
        <f t="shared" si="0"/>
        <v>13.827013503350795</v>
      </c>
      <c r="K35" s="54">
        <f>IF(AND($F$2="tubing only",OR($E$36&lt;$C$36,$F$36&lt;$C$36,$G$36&lt;$C$36)),0,100*J35/C35)</f>
        <v>100</v>
      </c>
      <c r="L35" s="56" t="str">
        <f>IF((99.9&gt;K35)*AND(K35&gt;33.3),"For Composites Only, Additional Proof Required","")</f>
        <v/>
      </c>
    </row>
    <row r="36" spans="2:13" x14ac:dyDescent="0.2">
      <c r="C36" s="207">
        <f>0.99*C27/C14</f>
        <v>1325.7916564463999</v>
      </c>
      <c r="D36" s="208"/>
      <c r="E36" s="207">
        <f>IF(AND($F$2="tubing only",E14&gt;0),E27/E14,9E+99)</f>
        <v>1339.1834913599998</v>
      </c>
      <c r="F36" s="207">
        <f>IF(AND($F$2="tubing only",F14&gt;0),F27/F14,9E+99)</f>
        <v>8.9999999999999999E+99</v>
      </c>
      <c r="G36" s="207">
        <f>IF(AND($F$2="tubing only",G14&gt;0),G27/G14,9E+99)</f>
        <v>8.9999999999999999E+99</v>
      </c>
      <c r="H36" s="186"/>
    </row>
    <row r="37" spans="2:13" x14ac:dyDescent="0.2">
      <c r="B37" s="127" t="s">
        <v>281</v>
      </c>
      <c r="E37" s="60"/>
    </row>
    <row r="38" spans="2:13" x14ac:dyDescent="0.2">
      <c r="B38" s="24"/>
      <c r="C38" s="25"/>
      <c r="D38" s="25"/>
      <c r="E38" s="25"/>
      <c r="F38" s="25"/>
      <c r="G38" s="25"/>
      <c r="H38" s="25"/>
      <c r="I38" s="25"/>
      <c r="J38" s="25"/>
      <c r="K38" s="26"/>
    </row>
    <row r="39" spans="2:13" x14ac:dyDescent="0.2">
      <c r="B39" s="30"/>
      <c r="C39" s="31"/>
      <c r="D39" s="31"/>
      <c r="E39" s="31"/>
      <c r="F39" s="31"/>
      <c r="G39" s="31"/>
      <c r="H39" s="31"/>
      <c r="I39" s="31"/>
      <c r="J39" s="31"/>
      <c r="K39" s="32"/>
    </row>
    <row r="40" spans="2:13" x14ac:dyDescent="0.2">
      <c r="B40" s="30"/>
      <c r="C40" s="31"/>
      <c r="D40" s="31"/>
      <c r="E40" s="31"/>
      <c r="F40" s="31"/>
      <c r="G40" s="31"/>
      <c r="H40" s="31"/>
      <c r="I40" s="31"/>
      <c r="J40" s="31"/>
      <c r="K40" s="32"/>
    </row>
    <row r="41" spans="2:13" x14ac:dyDescent="0.2">
      <c r="B41" s="30"/>
      <c r="C41" s="31"/>
      <c r="D41" s="31"/>
      <c r="E41" s="31"/>
      <c r="F41" s="31"/>
      <c r="G41" s="31"/>
      <c r="H41" s="31"/>
      <c r="I41" s="31"/>
      <c r="J41" s="31"/>
      <c r="K41" s="32"/>
    </row>
    <row r="42" spans="2:13" x14ac:dyDescent="0.2">
      <c r="B42" s="30"/>
      <c r="C42" s="31"/>
      <c r="D42" s="31"/>
      <c r="E42" s="31"/>
      <c r="F42" s="31"/>
      <c r="G42" s="31"/>
      <c r="H42" s="31"/>
      <c r="I42" s="31"/>
      <c r="J42" s="31"/>
      <c r="K42" s="32"/>
    </row>
    <row r="43" spans="2:13" x14ac:dyDescent="0.2">
      <c r="B43" s="30"/>
      <c r="C43" s="31"/>
      <c r="D43" s="31"/>
      <c r="E43" s="31"/>
      <c r="F43" s="31"/>
      <c r="G43" s="31"/>
      <c r="H43" s="31"/>
      <c r="I43" s="31"/>
      <c r="J43" s="31"/>
      <c r="K43" s="32"/>
    </row>
    <row r="44" spans="2:13" x14ac:dyDescent="0.2">
      <c r="B44" s="30"/>
      <c r="C44" s="31"/>
      <c r="D44" s="31"/>
      <c r="E44" s="31"/>
      <c r="F44" s="31"/>
      <c r="G44" s="31"/>
      <c r="H44" s="31"/>
      <c r="I44" s="31"/>
      <c r="J44" s="31"/>
      <c r="K44" s="32"/>
    </row>
    <row r="45" spans="2:13" x14ac:dyDescent="0.2">
      <c r="B45" s="30"/>
      <c r="C45" s="31"/>
      <c r="D45" s="31"/>
      <c r="E45" s="31"/>
      <c r="F45" s="31"/>
      <c r="G45" s="31"/>
      <c r="H45" s="31"/>
      <c r="I45" s="31"/>
      <c r="J45" s="31"/>
      <c r="K45" s="32"/>
    </row>
    <row r="46" spans="2:13" x14ac:dyDescent="0.2">
      <c r="B46" s="30"/>
      <c r="C46" s="31"/>
      <c r="D46" s="31"/>
      <c r="E46" s="31"/>
      <c r="F46" s="31"/>
      <c r="G46" s="31"/>
      <c r="H46" s="31"/>
      <c r="I46" s="31"/>
      <c r="J46" s="31"/>
      <c r="K46" s="32"/>
    </row>
    <row r="47" spans="2:13" x14ac:dyDescent="0.2">
      <c r="B47" s="30"/>
      <c r="C47" s="31"/>
      <c r="D47" s="31"/>
      <c r="E47" s="31"/>
      <c r="F47" s="31"/>
      <c r="G47" s="31"/>
      <c r="H47" s="31"/>
      <c r="I47" s="31"/>
      <c r="J47" s="31"/>
      <c r="K47" s="32"/>
    </row>
    <row r="48" spans="2:13" x14ac:dyDescent="0.2">
      <c r="B48" s="30"/>
      <c r="C48" s="31"/>
      <c r="D48" s="31"/>
      <c r="E48" s="31"/>
      <c r="F48" s="31"/>
      <c r="G48" s="31"/>
      <c r="H48" s="31"/>
      <c r="I48" s="31"/>
      <c r="J48" s="31"/>
      <c r="K48" s="32"/>
    </row>
    <row r="49" spans="2:11" x14ac:dyDescent="0.2">
      <c r="B49" s="30"/>
      <c r="C49" s="31"/>
      <c r="D49" s="31"/>
      <c r="E49" s="31"/>
      <c r="F49" s="31"/>
      <c r="G49" s="31"/>
      <c r="H49" s="31"/>
      <c r="I49" s="31"/>
      <c r="J49" s="31"/>
      <c r="K49" s="32"/>
    </row>
    <row r="50" spans="2:11" x14ac:dyDescent="0.2">
      <c r="B50" s="30"/>
      <c r="C50" s="31"/>
      <c r="D50" s="31"/>
      <c r="E50" s="31"/>
      <c r="F50" s="31"/>
      <c r="G50" s="31"/>
      <c r="H50" s="31"/>
      <c r="I50" s="31"/>
      <c r="J50" s="31"/>
      <c r="K50" s="32"/>
    </row>
    <row r="51" spans="2:11" x14ac:dyDescent="0.2">
      <c r="B51" s="30"/>
      <c r="C51" s="31"/>
      <c r="D51" s="31"/>
      <c r="E51" s="31"/>
      <c r="F51" s="31"/>
      <c r="G51" s="31"/>
      <c r="H51" s="31"/>
      <c r="I51" s="31"/>
      <c r="J51" s="31"/>
      <c r="K51" s="32"/>
    </row>
    <row r="52" spans="2:11" x14ac:dyDescent="0.2">
      <c r="B52" s="30"/>
      <c r="C52" s="31"/>
      <c r="D52" s="31"/>
      <c r="E52" s="31"/>
      <c r="F52" s="31"/>
      <c r="G52" s="31"/>
      <c r="H52" s="31"/>
      <c r="I52" s="31"/>
      <c r="J52" s="31"/>
      <c r="K52" s="32"/>
    </row>
    <row r="53" spans="2:11" x14ac:dyDescent="0.2">
      <c r="B53" s="30"/>
      <c r="C53" s="31"/>
      <c r="D53" s="31"/>
      <c r="E53" s="31"/>
      <c r="F53" s="31"/>
      <c r="G53" s="31"/>
      <c r="H53" s="31"/>
      <c r="I53" s="31"/>
      <c r="J53" s="31"/>
      <c r="K53" s="32"/>
    </row>
    <row r="54" spans="2:11" x14ac:dyDescent="0.2">
      <c r="B54" s="30"/>
      <c r="C54" s="31"/>
      <c r="D54" s="31"/>
      <c r="E54" s="31"/>
      <c r="F54" s="31"/>
      <c r="G54" s="31"/>
      <c r="H54" s="31"/>
      <c r="I54" s="31"/>
      <c r="J54" s="31"/>
      <c r="K54" s="32"/>
    </row>
    <row r="55" spans="2:11" x14ac:dyDescent="0.2">
      <c r="B55" s="30"/>
      <c r="C55" s="31"/>
      <c r="D55" s="31"/>
      <c r="E55" s="31"/>
      <c r="F55" s="31"/>
      <c r="G55" s="31"/>
      <c r="H55" s="31"/>
      <c r="I55" s="31"/>
      <c r="J55" s="31"/>
      <c r="K55" s="32"/>
    </row>
    <row r="56" spans="2:11" x14ac:dyDescent="0.2">
      <c r="B56" s="38"/>
      <c r="C56" s="36"/>
      <c r="D56" s="36"/>
      <c r="E56" s="36"/>
      <c r="F56" s="36"/>
      <c r="G56" s="36"/>
      <c r="H56" s="36"/>
      <c r="I56" s="36"/>
      <c r="J56" s="36"/>
      <c r="K56" s="39"/>
    </row>
  </sheetData>
  <sheetProtection password="E10F" sheet="1"/>
  <mergeCells count="3">
    <mergeCell ref="C2:E2"/>
    <mergeCell ref="F2:G2"/>
    <mergeCell ref="E19:G22"/>
  </mergeCells>
  <phoneticPr fontId="0" type="noConversion"/>
  <conditionalFormatting sqref="G35">
    <cfRule type="cellIs" dxfId="26" priority="1" stopIfTrue="1" operator="lessThan">
      <formula>0.95*$C35*(G$14/$C$14)</formula>
    </cfRule>
  </conditionalFormatting>
  <conditionalFormatting sqref="K28:K32">
    <cfRule type="cellIs" dxfId="25" priority="13" stopIfTrue="1" operator="greaterThanOrEqual">
      <formula>100</formula>
    </cfRule>
    <cfRule type="cellIs" dxfId="24" priority="14" stopIfTrue="1" operator="lessThan">
      <formula>100</formula>
    </cfRule>
  </conditionalFormatting>
  <conditionalFormatting sqref="K34">
    <cfRule type="cellIs" dxfId="23" priority="5" stopIfTrue="1" operator="between">
      <formula>100.1</formula>
      <formula>300</formula>
    </cfRule>
    <cfRule type="cellIs" dxfId="22" priority="15" stopIfTrue="1" operator="greaterThan">
      <formula>300</formula>
    </cfRule>
    <cfRule type="cellIs" dxfId="21" priority="16" stopIfTrue="1" operator="lessThanOrEqual">
      <formula>100</formula>
    </cfRule>
  </conditionalFormatting>
  <conditionalFormatting sqref="K27">
    <cfRule type="cellIs" dxfId="20" priority="17" stopIfTrue="1" operator="greaterThanOrEqual">
      <formula>100</formula>
    </cfRule>
    <cfRule type="cellIs" dxfId="19" priority="18" stopIfTrue="1" operator="lessThan">
      <formula>33.3</formula>
    </cfRule>
    <cfRule type="cellIs" dxfId="18" priority="19" stopIfTrue="1" operator="between">
      <formula>33.3</formula>
      <formula>100</formula>
    </cfRule>
  </conditionalFormatting>
  <conditionalFormatting sqref="E27:E33 E35">
    <cfRule type="cellIs" dxfId="17" priority="12" stopIfTrue="1" operator="lessThan">
      <formula>0.95*$C27*(E$14/$C$14)</formula>
    </cfRule>
  </conditionalFormatting>
  <conditionalFormatting sqref="K33">
    <cfRule type="cellIs" dxfId="16" priority="9" stopIfTrue="1" operator="greaterThanOrEqual">
      <formula>100</formula>
    </cfRule>
    <cfRule type="cellIs" dxfId="15" priority="10" stopIfTrue="1" operator="lessThan">
      <formula>33.3</formula>
    </cfRule>
    <cfRule type="cellIs" dxfId="14" priority="11" stopIfTrue="1" operator="between">
      <formula>33.3</formula>
      <formula>100</formula>
    </cfRule>
  </conditionalFormatting>
  <conditionalFormatting sqref="K35">
    <cfRule type="cellIs" dxfId="13" priority="6" stopIfTrue="1" operator="greaterThanOrEqual">
      <formula>100</formula>
    </cfRule>
    <cfRule type="cellIs" dxfId="12" priority="7" stopIfTrue="1" operator="lessThan">
      <formula>33.3</formula>
    </cfRule>
    <cfRule type="cellIs" dxfId="11" priority="8" stopIfTrue="1" operator="between">
      <formula>33.3</formula>
      <formula>100</formula>
    </cfRule>
  </conditionalFormatting>
  <conditionalFormatting sqref="F27:F33">
    <cfRule type="cellIs" dxfId="10" priority="4" stopIfTrue="1" operator="lessThan">
      <formula>0.95*$C27*(F$14/$C$14)</formula>
    </cfRule>
  </conditionalFormatting>
  <conditionalFormatting sqref="G27:G33">
    <cfRule type="cellIs" dxfId="9" priority="3" stopIfTrue="1" operator="lessThan">
      <formula>0.95*$C27*(G$14/$C$14)</formula>
    </cfRule>
  </conditionalFormatting>
  <conditionalFormatting sqref="F35">
    <cfRule type="cellIs" dxfId="8" priority="2" stopIfTrue="1" operator="lessThan">
      <formula>0.95*$C35*(F$14/$C$14)</formula>
    </cfRule>
  </conditionalFormatting>
  <dataValidations count="5">
    <dataValidation type="list" allowBlank="1" showInputMessage="1" showErrorMessage="1" promptTitle="Select Material" sqref="E6:G6" xr:uid="{00000000-0002-0000-2200-000000000000}">
      <formula1>Tube_Type</formula1>
    </dataValidation>
    <dataValidation allowBlank="1" showInputMessage="1" showErrorMessage="1" promptTitle="Select Material" sqref="C6 I6" xr:uid="{00000000-0002-0000-2200-000001000000}"/>
    <dataValidation type="list" allowBlank="1" showInputMessage="1" showErrorMessage="1" promptTitle="Select Material" sqref="J13:J14 D6 C5:H5 H6" xr:uid="{00000000-0002-0000-2200-000002000000}">
      <formula1>Materials</formula1>
    </dataValidation>
    <dataValidation type="list" allowBlank="1" showInputMessage="1" showErrorMessage="1" sqref="F2" xr:uid="{00000000-0002-0000-2200-000003000000}">
      <formula1>ConstructionType</formula1>
    </dataValidation>
    <dataValidation type="list" allowBlank="1" showInputMessage="1" showErrorMessage="1" sqref="I5" xr:uid="{00000000-0002-0000-2200-000004000000}">
      <formula1>Material</formula1>
    </dataValidation>
  </dataValidations>
  <hyperlinks>
    <hyperlink ref="L2:N2" location="'Cover Sheet'!A1" display="BACK to COVER SHEET" xr:uid="{00000000-0004-0000-2200-000000000000}"/>
  </hyperlinks>
  <pageMargins left="0.75" right="0.75" top="1" bottom="1" header="0.5" footer="0.5"/>
  <pageSetup paperSize="9" orientation="portrait" horizontalDpi="4294967294" r:id="rId1"/>
  <headerFooter alignWithMargins="0"/>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2">
    <pageSetUpPr fitToPage="1"/>
  </sheetPr>
  <dimension ref="B1:O165"/>
  <sheetViews>
    <sheetView showGridLines="0" view="pageBreakPreview" zoomScaleNormal="100" zoomScaleSheetLayoutView="100" workbookViewId="0">
      <selection activeCell="B1" sqref="B1"/>
    </sheetView>
  </sheetViews>
  <sheetFormatPr baseColWidth="10" defaultColWidth="9.140625" defaultRowHeight="12.75" x14ac:dyDescent="0.2"/>
  <cols>
    <col min="1" max="1" width="5.140625" style="56" customWidth="1"/>
    <col min="2" max="2" width="46.85546875" style="56" customWidth="1"/>
    <col min="3" max="3" width="11.42578125" style="56" customWidth="1"/>
    <col min="4" max="4" width="10.5703125" style="56" customWidth="1"/>
    <col min="5" max="5" width="5.85546875" style="56" customWidth="1"/>
    <col min="6" max="6" width="8.7109375" style="56" customWidth="1"/>
    <col min="7" max="7" width="9.140625" style="97"/>
    <col min="8" max="8" width="12.42578125" style="97" bestFit="1" customWidth="1"/>
    <col min="9" max="9" width="9.140625" style="97"/>
    <col min="10" max="10" width="5.140625" style="97" customWidth="1"/>
    <col min="11" max="15" width="9.140625" style="97"/>
    <col min="16" max="16384" width="9.140625" style="56"/>
  </cols>
  <sheetData>
    <row r="1" spans="2:15" ht="15.75" x14ac:dyDescent="0.25">
      <c r="B1" s="55" t="s">
        <v>586</v>
      </c>
      <c r="G1" s="183"/>
      <c r="H1" s="183"/>
      <c r="I1" s="183"/>
      <c r="J1" s="183"/>
      <c r="K1" s="183"/>
      <c r="L1" s="183"/>
      <c r="M1" s="183"/>
      <c r="N1" s="183"/>
      <c r="O1" s="183"/>
    </row>
    <row r="2" spans="2:15" x14ac:dyDescent="0.2">
      <c r="B2" s="127" t="s">
        <v>207</v>
      </c>
      <c r="G2" s="183"/>
      <c r="H2" s="183"/>
      <c r="I2" s="183"/>
      <c r="J2" s="183"/>
      <c r="K2" s="183"/>
      <c r="L2" s="183"/>
      <c r="M2" s="183"/>
      <c r="N2" s="183"/>
      <c r="O2" s="183"/>
    </row>
    <row r="3" spans="2:15" s="72" customFormat="1" ht="25.5" x14ac:dyDescent="0.2">
      <c r="B3" s="71" t="s">
        <v>18</v>
      </c>
      <c r="C3" s="71" t="s">
        <v>2</v>
      </c>
      <c r="D3" s="71" t="s">
        <v>171</v>
      </c>
      <c r="G3" s="216"/>
      <c r="H3" s="216"/>
      <c r="I3" s="216"/>
      <c r="J3" s="216"/>
      <c r="K3" s="216"/>
      <c r="L3" s="216"/>
      <c r="M3" s="216"/>
      <c r="N3" s="216"/>
      <c r="O3" s="216"/>
    </row>
    <row r="4" spans="2:15" x14ac:dyDescent="0.2">
      <c r="B4" s="58" t="s">
        <v>30</v>
      </c>
      <c r="C4" s="22" t="s">
        <v>7</v>
      </c>
      <c r="D4" s="44" t="str">
        <f>C4</f>
        <v>Steel</v>
      </c>
      <c r="G4" s="183"/>
      <c r="H4" s="183"/>
      <c r="I4" s="183"/>
      <c r="J4" s="183"/>
      <c r="K4" s="183"/>
      <c r="L4" s="183"/>
      <c r="M4" s="183"/>
      <c r="N4" s="183"/>
      <c r="O4" s="183"/>
    </row>
    <row r="5" spans="2:15" x14ac:dyDescent="0.2">
      <c r="B5" s="58" t="s">
        <v>219</v>
      </c>
      <c r="C5" s="22" t="s">
        <v>44</v>
      </c>
      <c r="D5" s="45" t="s">
        <v>153</v>
      </c>
      <c r="G5" s="183"/>
      <c r="H5" s="183"/>
      <c r="I5" s="183"/>
      <c r="J5" s="183"/>
      <c r="K5" s="183"/>
      <c r="L5" s="183"/>
      <c r="M5" s="183"/>
      <c r="N5" s="183"/>
      <c r="O5" s="183"/>
    </row>
    <row r="6" spans="2:15" x14ac:dyDescent="0.2">
      <c r="B6" s="59" t="s">
        <v>19</v>
      </c>
      <c r="C6" s="46" t="str">
        <f>IF(C$4="Steel",MaterialData!C4,IF(C$4="Aluminium 1",MaterialData!D4,IF(C$4="Aluminium 2",MaterialData!E4,IF(C$4="Carbon",MaterialData!F4,IF(C$4="Other 1",MaterialData!G4,IF(C$4="Other 2",MaterialData!H4,IF(C$4="Other 3",MaterialData!I4,0)))))))</f>
        <v>Steel</v>
      </c>
      <c r="D6" s="46" t="str">
        <f>C6</f>
        <v>Steel</v>
      </c>
      <c r="G6" s="183"/>
      <c r="H6" s="183"/>
      <c r="I6" s="183"/>
      <c r="J6" s="183"/>
      <c r="K6" s="183"/>
      <c r="L6" s="183"/>
      <c r="M6" s="183"/>
      <c r="N6" s="183"/>
      <c r="O6" s="183"/>
    </row>
    <row r="7" spans="2:15" x14ac:dyDescent="0.2">
      <c r="B7" s="59" t="s">
        <v>20</v>
      </c>
      <c r="C7" s="46">
        <f>IF(C$4="Steel",MaterialData!C5,IF(C$4="Aluminium 1",MaterialData!D5,IF(C$4="Aluminium 2",MaterialData!E5,IF(C$4="Carbon",MaterialData!F5,IF(C$4="Other 1",MaterialData!G5,IF(C$4="Other 2",MaterialData!H5,IF(C$4="Other 3",MaterialData!I5,0)))))))</f>
        <v>200000000000</v>
      </c>
      <c r="D7" s="46">
        <f>IF(D$4="Steel",MaterialData!C5,IF(D$4="Aluminium 1",MaterialData!D5,IF(D$4="Aluminium 2",MaterialData!E5,IF(D$4="Carbon",MaterialData!F5,IF(D$4="Other 1",MaterialData!G5,IF(D$4="Other 2",MaterialData!H5,IF(D$4="Other 2",MaterialData!I5,0)))))))</f>
        <v>200000000000</v>
      </c>
      <c r="G7" s="183"/>
      <c r="H7" s="183"/>
      <c r="I7" s="184"/>
      <c r="J7" s="183"/>
      <c r="K7" s="183"/>
      <c r="L7" s="183"/>
      <c r="M7" s="183"/>
      <c r="N7" s="183"/>
      <c r="O7" s="183"/>
    </row>
    <row r="8" spans="2:15" x14ac:dyDescent="0.2">
      <c r="B8" s="59" t="s">
        <v>10</v>
      </c>
      <c r="C8" s="46">
        <f>IF(C$4="Steel",MaterialData!C6,IF(C$4="Aluminium 1",MaterialData!D6,IF(C$4="Aluminium 2",MaterialData!E6,IF(C$4="Carbon",MaterialData!F6,IF(C$4="Other 1",MaterialData!G6,IF(C$4="Other 2",MaterialData!H6,IF(C$4="Other 3",MaterialData!I6,0)))))))</f>
        <v>305000000</v>
      </c>
      <c r="D8" s="46">
        <f>IF(D$4="Steel",MaterialData!C6,IF(D$4="Aluminium 1",MaterialData!D6,IF(D$4="Aluminium 2",MaterialData!E6,IF(D$4="Carbon",MaterialData!F6,IF(D$4="Other 1",MaterialData!G6,IF(D$4="Other 2",MaterialData!H6,IF(D$4="Other 2",MaterialData!I6,0)))))))</f>
        <v>305000000</v>
      </c>
      <c r="G8" s="183"/>
      <c r="H8" s="183"/>
      <c r="I8" s="184"/>
      <c r="J8" s="183"/>
      <c r="K8" s="183"/>
      <c r="L8" s="183"/>
      <c r="M8" s="183"/>
      <c r="N8" s="183"/>
      <c r="O8" s="183"/>
    </row>
    <row r="9" spans="2:15" x14ac:dyDescent="0.2">
      <c r="B9" s="59" t="s">
        <v>11</v>
      </c>
      <c r="C9" s="46">
        <f>IF(C$4="Steel",MaterialData!C7,IF(C$4="Aluminium 1",MaterialData!D7,IF(C$4="Aluminium 2",MaterialData!E7,IF(C$4="Carbon",MaterialData!F7,IF(C$4="Other 1",MaterialData!G7,IF(C$4="Other 2",MaterialData!H7,IF(C$4="Other 3",MaterialData!I7,0)))))))</f>
        <v>365000000</v>
      </c>
      <c r="D9" s="46">
        <f>IF(D$4="Steel",MaterialData!C7,IF(D$4="Aluminium 1",MaterialData!D7,IF(D$4="Aluminium 2",MaterialData!E7,IF(D$4="Carbon",MaterialData!F7,IF(D$4="Other 1",MaterialData!G7,IF(D$4="Other 2",MaterialData!H7,IF(D$4="Other 2",MaterialData!I7,0)))))))</f>
        <v>365000000</v>
      </c>
      <c r="G9" s="183"/>
      <c r="H9" s="183"/>
      <c r="I9" s="184"/>
      <c r="J9" s="183"/>
      <c r="K9" s="183"/>
      <c r="L9" s="183"/>
      <c r="M9" s="183"/>
      <c r="N9" s="183"/>
      <c r="O9" s="183"/>
    </row>
    <row r="10" spans="2:15" x14ac:dyDescent="0.2">
      <c r="B10" s="59" t="s">
        <v>9</v>
      </c>
      <c r="C10" s="46" t="s">
        <v>153</v>
      </c>
      <c r="D10" s="46">
        <f>IF(D$4="Steel",MaterialData!C8,IF(D$4="Aluminium 1",MaterialData!D8,IF(D$4="Aluminium 2",MaterialData!E8,IF(D$4="Carbon",MaterialData!F8,IF(D$4="Other 1",MaterialData!G8,IF(D$4="Other 2",MaterialData!H8,IF(D$4="Other 2",MaterialData!I8,0)))))))</f>
        <v>180000000</v>
      </c>
      <c r="G10" s="183"/>
      <c r="H10" s="183"/>
      <c r="I10" s="184"/>
      <c r="J10" s="183"/>
      <c r="K10" s="183"/>
      <c r="L10" s="183"/>
      <c r="M10" s="183"/>
      <c r="N10" s="183"/>
      <c r="O10" s="183"/>
    </row>
    <row r="11" spans="2:15" x14ac:dyDescent="0.2">
      <c r="B11" s="59" t="s">
        <v>8</v>
      </c>
      <c r="C11" s="46" t="s">
        <v>153</v>
      </c>
      <c r="D11" s="46">
        <f>IF(D$4="Steel",MaterialData!C9,IF(D$4="Aluminium 1",MaterialData!D9,IF(D$4="Aluminium 2",MaterialData!E9,IF(D$4="Carbon",MaterialData!F9,IF(D$4="Other 1",MaterialData!G9,IF(D$4="Other 2",MaterialData!H9,IF(D$4="Other 2",MaterialData!I9,0)))))))</f>
        <v>300000000</v>
      </c>
      <c r="G11" s="183"/>
      <c r="H11" s="183"/>
      <c r="I11" s="184"/>
      <c r="J11" s="183"/>
      <c r="K11" s="183"/>
      <c r="L11" s="183"/>
      <c r="M11" s="183"/>
      <c r="N11" s="183"/>
      <c r="O11" s="183"/>
    </row>
    <row r="12" spans="2:15" x14ac:dyDescent="0.2">
      <c r="G12" s="183"/>
      <c r="H12" s="183"/>
      <c r="I12" s="184"/>
      <c r="J12" s="183"/>
      <c r="K12" s="183"/>
      <c r="L12" s="183"/>
      <c r="M12" s="183"/>
      <c r="N12" s="183"/>
      <c r="O12" s="183"/>
    </row>
    <row r="13" spans="2:15" x14ac:dyDescent="0.2">
      <c r="B13" s="59" t="s">
        <v>166</v>
      </c>
      <c r="C13" s="654">
        <v>25.4</v>
      </c>
      <c r="D13" s="656"/>
      <c r="G13" s="183"/>
      <c r="H13" s="183"/>
      <c r="I13" s="184"/>
      <c r="J13" s="183"/>
      <c r="K13" s="183"/>
      <c r="L13" s="183"/>
      <c r="M13" s="183"/>
      <c r="N13" s="183"/>
      <c r="O13" s="183"/>
    </row>
    <row r="14" spans="2:15" x14ac:dyDescent="0.2">
      <c r="B14" s="59" t="s">
        <v>167</v>
      </c>
      <c r="C14" s="654">
        <v>1.2</v>
      </c>
      <c r="D14" s="656"/>
      <c r="G14" s="183"/>
      <c r="H14" s="183"/>
      <c r="I14" s="184"/>
      <c r="J14" s="183"/>
      <c r="K14" s="183"/>
      <c r="L14" s="183"/>
      <c r="M14" s="183"/>
      <c r="N14" s="183"/>
      <c r="O14" s="183"/>
    </row>
    <row r="15" spans="2:15" x14ac:dyDescent="0.2">
      <c r="G15" s="183"/>
      <c r="H15" s="183"/>
      <c r="I15" s="184"/>
      <c r="J15" s="183"/>
      <c r="K15" s="183"/>
      <c r="L15" s="183"/>
      <c r="M15" s="183"/>
      <c r="N15" s="183"/>
      <c r="O15" s="183"/>
    </row>
    <row r="16" spans="2:15" s="72" customFormat="1" ht="25.5" x14ac:dyDescent="0.2">
      <c r="B16" s="74"/>
      <c r="C16" s="71" t="s">
        <v>2</v>
      </c>
      <c r="D16" s="71" t="s">
        <v>171</v>
      </c>
      <c r="G16" s="216"/>
      <c r="H16" s="216"/>
      <c r="I16" s="217"/>
      <c r="J16" s="216"/>
      <c r="K16" s="216"/>
      <c r="L16" s="216"/>
      <c r="M16" s="216"/>
      <c r="N16" s="216"/>
      <c r="O16" s="216"/>
    </row>
    <row r="17" spans="2:15" x14ac:dyDescent="0.2">
      <c r="B17" s="59" t="s">
        <v>4</v>
      </c>
      <c r="C17" s="782">
        <f>C13/1000</f>
        <v>2.5399999999999999E-2</v>
      </c>
      <c r="D17" s="783"/>
      <c r="G17" s="183"/>
      <c r="H17" s="183"/>
      <c r="I17" s="184"/>
      <c r="J17" s="183"/>
      <c r="K17" s="183"/>
      <c r="L17" s="183"/>
      <c r="M17" s="183"/>
      <c r="N17" s="183"/>
      <c r="O17" s="183"/>
    </row>
    <row r="18" spans="2:15" x14ac:dyDescent="0.2">
      <c r="B18" s="59" t="s">
        <v>159</v>
      </c>
      <c r="C18" s="782">
        <f>C14/1000</f>
        <v>1.1999999999999999E-3</v>
      </c>
      <c r="D18" s="783"/>
      <c r="G18" s="183"/>
      <c r="H18" s="183"/>
      <c r="I18" s="184"/>
      <c r="J18" s="183"/>
      <c r="K18" s="183"/>
      <c r="L18" s="183"/>
      <c r="M18" s="218"/>
      <c r="N18" s="183"/>
      <c r="O18" s="183"/>
    </row>
    <row r="19" spans="2:15" x14ac:dyDescent="0.2">
      <c r="B19" s="59" t="s">
        <v>3</v>
      </c>
      <c r="C19" s="44">
        <f>IF(C5="Round",((C17)^4-((C17-2*C18))^4)*3.142/64,((C17)^4-((C17-2*C18))^4)/12)</f>
        <v>6.6959174567999997E-9</v>
      </c>
      <c r="D19" s="23">
        <v>0</v>
      </c>
      <c r="G19" s="183"/>
      <c r="H19" s="183"/>
      <c r="I19" s="184"/>
      <c r="J19" s="183"/>
      <c r="K19" s="183"/>
      <c r="L19" s="184"/>
      <c r="M19" s="218"/>
      <c r="N19" s="183"/>
      <c r="O19" s="183"/>
    </row>
    <row r="20" spans="2:15" x14ac:dyDescent="0.2">
      <c r="B20" s="59" t="s">
        <v>0</v>
      </c>
      <c r="C20" s="46">
        <f>C7*C19</f>
        <v>1339.1834913599998</v>
      </c>
      <c r="D20" s="46">
        <f>D7*D19</f>
        <v>0</v>
      </c>
      <c r="E20" s="54">
        <f t="shared" ref="E20:E27" si="0">100*D20/C20</f>
        <v>0</v>
      </c>
      <c r="G20" s="183"/>
      <c r="H20" s="183"/>
      <c r="I20" s="183"/>
      <c r="J20" s="183"/>
      <c r="K20" s="183"/>
      <c r="L20" s="183"/>
      <c r="M20" s="183"/>
      <c r="N20" s="183"/>
      <c r="O20" s="183"/>
    </row>
    <row r="21" spans="2:15" x14ac:dyDescent="0.2">
      <c r="B21" s="59" t="s">
        <v>224</v>
      </c>
      <c r="C21" s="206">
        <f>IF(C5="Round",((C13^2-(C13-2*C14)^2)*PI()/4),IF(C5="Square",(C13^2-(C13-2*C14)^2)))</f>
        <v>91.231850660247574</v>
      </c>
      <c r="D21" s="76">
        <v>0</v>
      </c>
      <c r="E21" s="62" t="s">
        <v>23</v>
      </c>
      <c r="G21" s="183"/>
      <c r="H21" s="183"/>
      <c r="I21" s="183"/>
      <c r="J21" s="183"/>
      <c r="K21" s="183"/>
      <c r="L21" s="184"/>
      <c r="M21" s="183"/>
      <c r="N21" s="183"/>
      <c r="O21" s="183"/>
    </row>
    <row r="22" spans="2:15" x14ac:dyDescent="0.2">
      <c r="B22" s="59" t="s">
        <v>225</v>
      </c>
      <c r="C22" s="215" t="s">
        <v>23</v>
      </c>
      <c r="D22" s="76">
        <v>0</v>
      </c>
      <c r="E22" s="62" t="s">
        <v>23</v>
      </c>
      <c r="G22" s="183"/>
      <c r="H22" s="183"/>
      <c r="I22" s="183"/>
      <c r="J22" s="183"/>
      <c r="K22" s="183"/>
      <c r="L22" s="184"/>
      <c r="M22" s="183"/>
      <c r="N22" s="183"/>
      <c r="O22" s="183"/>
    </row>
    <row r="23" spans="2:15" x14ac:dyDescent="0.2">
      <c r="B23" s="59" t="s">
        <v>161</v>
      </c>
      <c r="C23" s="46">
        <f>C$21*C8/1000000</f>
        <v>27825.714451375512</v>
      </c>
      <c r="D23" s="46">
        <f>(D$21*D8+D10*$D$22)/1000000</f>
        <v>0</v>
      </c>
      <c r="E23" s="54">
        <f t="shared" si="0"/>
        <v>0</v>
      </c>
      <c r="G23" s="183"/>
      <c r="H23" s="183"/>
      <c r="I23" s="183"/>
      <c r="J23" s="183"/>
      <c r="K23" s="183"/>
      <c r="L23" s="184"/>
      <c r="M23" s="183"/>
      <c r="N23" s="183"/>
      <c r="O23" s="183"/>
    </row>
    <row r="24" spans="2:15" x14ac:dyDescent="0.2">
      <c r="B24" s="59" t="s">
        <v>5</v>
      </c>
      <c r="C24" s="46">
        <f>C21*C9/1000000</f>
        <v>33299.625490990366</v>
      </c>
      <c r="D24" s="46">
        <f>(D$21*D9+D11*$D$22)/1000000</f>
        <v>0</v>
      </c>
      <c r="E24" s="54">
        <f t="shared" si="0"/>
        <v>0</v>
      </c>
      <c r="G24" s="183"/>
      <c r="H24" s="183"/>
      <c r="I24" s="183"/>
      <c r="J24" s="183"/>
      <c r="K24" s="183"/>
      <c r="L24" s="184"/>
      <c r="M24" s="183"/>
      <c r="N24" s="183"/>
      <c r="O24" s="183"/>
    </row>
    <row r="25" spans="2:15" x14ac:dyDescent="0.2">
      <c r="B25" s="59" t="s">
        <v>163</v>
      </c>
      <c r="C25" s="46">
        <f>4*C9*(C19*2/(C17))/1</f>
        <v>769.76688873448825</v>
      </c>
      <c r="D25" s="46">
        <f>4*D9*(D19*2/(C17))/1</f>
        <v>0</v>
      </c>
      <c r="E25" s="54">
        <f t="shared" si="0"/>
        <v>0</v>
      </c>
      <c r="G25" s="183"/>
      <c r="H25" s="183"/>
      <c r="I25" s="183"/>
      <c r="J25" s="183"/>
      <c r="K25" s="183"/>
      <c r="L25" s="183"/>
      <c r="M25" s="183"/>
      <c r="N25" s="183"/>
      <c r="O25" s="183"/>
    </row>
    <row r="26" spans="2:15" x14ac:dyDescent="0.2">
      <c r="B26" s="59" t="s">
        <v>164</v>
      </c>
      <c r="C26" s="46">
        <f>C25*1^3/(48*C7*C19)</f>
        <v>1.1975065616797903E-2</v>
      </c>
      <c r="D26" s="46">
        <f>IF(D19&gt;0,C25*1^3/(48*D7*D19),0)</f>
        <v>0</v>
      </c>
      <c r="E26" s="54">
        <f>IF(D26=0,999,100*D26/C26)</f>
        <v>999</v>
      </c>
      <c r="G26" s="183"/>
      <c r="H26" s="183"/>
      <c r="I26" s="183"/>
      <c r="J26" s="183"/>
      <c r="K26" s="183"/>
      <c r="L26" s="183"/>
      <c r="M26" s="183"/>
      <c r="N26" s="183"/>
      <c r="O26" s="183"/>
    </row>
    <row r="27" spans="2:15" x14ac:dyDescent="0.2">
      <c r="B27" s="59" t="s">
        <v>165</v>
      </c>
      <c r="C27" s="46">
        <f>0.5*C25*(C25*1^3/(48*C7*C19))</f>
        <v>4.6090045011169334</v>
      </c>
      <c r="D27" s="46">
        <f>IF(D19&gt;0,0.5*D25*(D25*1^3/(48*D7*D19)),0)</f>
        <v>0</v>
      </c>
      <c r="E27" s="54">
        <f t="shared" si="0"/>
        <v>0</v>
      </c>
      <c r="G27" s="183"/>
      <c r="H27" s="183"/>
      <c r="I27" s="183"/>
      <c r="J27" s="183"/>
      <c r="K27" s="183"/>
      <c r="L27" s="183"/>
      <c r="M27" s="183"/>
      <c r="N27" s="183"/>
      <c r="O27" s="183"/>
    </row>
    <row r="28" spans="2:15" x14ac:dyDescent="0.2">
      <c r="B28" s="75" t="s">
        <v>172</v>
      </c>
      <c r="G28" s="183"/>
      <c r="H28" s="183"/>
      <c r="I28" s="183"/>
      <c r="J28" s="183"/>
      <c r="K28" s="183"/>
      <c r="L28" s="183"/>
      <c r="M28" s="183"/>
      <c r="N28" s="183"/>
      <c r="O28" s="183"/>
    </row>
    <row r="29" spans="2:15" x14ac:dyDescent="0.2">
      <c r="B29" s="75" t="s">
        <v>208</v>
      </c>
      <c r="D29" s="60"/>
      <c r="G29" s="183"/>
      <c r="H29" s="472" t="s">
        <v>565</v>
      </c>
      <c r="I29" s="472"/>
      <c r="J29" s="183"/>
      <c r="K29" s="183"/>
      <c r="L29" s="183"/>
      <c r="M29" s="183"/>
      <c r="N29" s="183"/>
      <c r="O29" s="183"/>
    </row>
    <row r="30" spans="2:15" x14ac:dyDescent="0.2">
      <c r="B30" s="185" t="s">
        <v>408</v>
      </c>
      <c r="C30" s="183"/>
      <c r="D30" s="184"/>
      <c r="E30" s="183"/>
      <c r="F30" s="183"/>
      <c r="G30" s="183"/>
      <c r="H30" s="183"/>
      <c r="I30" s="183"/>
      <c r="J30" s="183"/>
      <c r="K30" s="183"/>
      <c r="L30" s="183"/>
      <c r="M30" s="183"/>
      <c r="N30" s="183"/>
      <c r="O30" s="183"/>
    </row>
    <row r="31" spans="2:15" s="97" customFormat="1" x14ac:dyDescent="0.2">
      <c r="B31" s="24"/>
      <c r="C31" s="25"/>
      <c r="D31" s="25"/>
      <c r="E31" s="25"/>
      <c r="F31" s="25"/>
      <c r="G31" s="25"/>
      <c r="H31" s="25"/>
      <c r="I31" s="26"/>
      <c r="J31" s="183"/>
      <c r="K31" s="183"/>
      <c r="L31" s="183"/>
      <c r="M31" s="183"/>
      <c r="N31" s="183"/>
      <c r="O31" s="183"/>
    </row>
    <row r="32" spans="2:15" s="97" customFormat="1" x14ac:dyDescent="0.2">
      <c r="B32" s="30"/>
      <c r="C32" s="31"/>
      <c r="D32" s="31"/>
      <c r="E32" s="31"/>
      <c r="F32" s="31"/>
      <c r="G32" s="31"/>
      <c r="H32" s="31"/>
      <c r="I32" s="32"/>
      <c r="J32" s="183"/>
      <c r="K32" s="183"/>
      <c r="L32" s="183"/>
      <c r="M32" s="183"/>
      <c r="N32" s="183"/>
      <c r="O32" s="183"/>
    </row>
    <row r="33" spans="2:15" s="97" customFormat="1" x14ac:dyDescent="0.2">
      <c r="B33" s="30"/>
      <c r="C33" s="31"/>
      <c r="D33" s="31"/>
      <c r="E33" s="31"/>
      <c r="F33" s="31"/>
      <c r="G33" s="31"/>
      <c r="H33" s="31"/>
      <c r="I33" s="32"/>
      <c r="J33" s="183"/>
      <c r="K33" s="183"/>
      <c r="L33" s="183"/>
      <c r="M33" s="183"/>
      <c r="N33" s="183"/>
      <c r="O33" s="183"/>
    </row>
    <row r="34" spans="2:15" s="97" customFormat="1" x14ac:dyDescent="0.2">
      <c r="B34" s="30"/>
      <c r="C34" s="31"/>
      <c r="D34" s="31"/>
      <c r="E34" s="31"/>
      <c r="F34" s="31"/>
      <c r="G34" s="31"/>
      <c r="H34" s="31"/>
      <c r="I34" s="32"/>
      <c r="J34" s="183"/>
      <c r="K34" s="183"/>
      <c r="L34" s="183"/>
      <c r="M34" s="183"/>
      <c r="N34" s="183"/>
      <c r="O34" s="183"/>
    </row>
    <row r="35" spans="2:15" s="97" customFormat="1" x14ac:dyDescent="0.2">
      <c r="B35" s="30"/>
      <c r="C35" s="31"/>
      <c r="D35" s="31"/>
      <c r="E35" s="31"/>
      <c r="F35" s="31"/>
      <c r="G35" s="31"/>
      <c r="H35" s="31"/>
      <c r="I35" s="32"/>
      <c r="J35" s="183"/>
      <c r="K35" s="183"/>
      <c r="L35" s="183"/>
      <c r="M35" s="183"/>
      <c r="N35" s="183"/>
      <c r="O35" s="183"/>
    </row>
    <row r="36" spans="2:15" s="97" customFormat="1" x14ac:dyDescent="0.2">
      <c r="B36" s="30"/>
      <c r="C36" s="31"/>
      <c r="D36" s="31"/>
      <c r="E36" s="31"/>
      <c r="F36" s="31"/>
      <c r="G36" s="31"/>
      <c r="H36" s="31"/>
      <c r="I36" s="32"/>
      <c r="J36" s="183"/>
      <c r="K36" s="183"/>
      <c r="L36" s="183"/>
      <c r="M36" s="183"/>
      <c r="N36" s="183"/>
      <c r="O36" s="183"/>
    </row>
    <row r="37" spans="2:15" s="97" customFormat="1" x14ac:dyDescent="0.2">
      <c r="B37" s="30"/>
      <c r="C37" s="31"/>
      <c r="D37" s="31"/>
      <c r="E37" s="31"/>
      <c r="F37" s="31"/>
      <c r="G37" s="31"/>
      <c r="H37" s="31"/>
      <c r="I37" s="32"/>
      <c r="J37" s="183"/>
      <c r="K37" s="183"/>
      <c r="L37" s="183"/>
      <c r="M37" s="183"/>
      <c r="N37" s="183"/>
      <c r="O37" s="183"/>
    </row>
    <row r="38" spans="2:15" s="97" customFormat="1" x14ac:dyDescent="0.2">
      <c r="B38" s="30"/>
      <c r="C38" s="31"/>
      <c r="D38" s="31"/>
      <c r="E38" s="31"/>
      <c r="F38" s="31"/>
      <c r="G38" s="31"/>
      <c r="H38" s="31"/>
      <c r="I38" s="32"/>
      <c r="J38" s="183"/>
      <c r="K38" s="183"/>
      <c r="L38" s="183"/>
      <c r="M38" s="183"/>
      <c r="N38" s="183"/>
      <c r="O38" s="183"/>
    </row>
    <row r="39" spans="2:15" s="97" customFormat="1" x14ac:dyDescent="0.2">
      <c r="B39" s="30"/>
      <c r="C39" s="31"/>
      <c r="D39" s="31"/>
      <c r="E39" s="31"/>
      <c r="F39" s="31"/>
      <c r="G39" s="31"/>
      <c r="H39" s="31"/>
      <c r="I39" s="32"/>
      <c r="J39" s="183"/>
      <c r="K39" s="183"/>
      <c r="L39" s="183"/>
      <c r="M39" s="183"/>
      <c r="N39" s="183"/>
      <c r="O39" s="183"/>
    </row>
    <row r="40" spans="2:15" s="97" customFormat="1" x14ac:dyDescent="0.2">
      <c r="B40" s="30"/>
      <c r="C40" s="31"/>
      <c r="D40" s="31"/>
      <c r="E40" s="31"/>
      <c r="F40" s="31"/>
      <c r="G40" s="31"/>
      <c r="H40" s="31"/>
      <c r="I40" s="32"/>
      <c r="J40" s="183"/>
      <c r="K40" s="183"/>
      <c r="L40" s="183"/>
      <c r="M40" s="183"/>
      <c r="N40" s="183"/>
      <c r="O40" s="183"/>
    </row>
    <row r="41" spans="2:15" s="97" customFormat="1" x14ac:dyDescent="0.2">
      <c r="B41" s="30"/>
      <c r="C41" s="31"/>
      <c r="D41" s="31"/>
      <c r="E41" s="31"/>
      <c r="F41" s="31"/>
      <c r="G41" s="31"/>
      <c r="H41" s="31"/>
      <c r="I41" s="32"/>
      <c r="J41" s="183"/>
      <c r="K41" s="183"/>
      <c r="L41" s="183"/>
      <c r="M41" s="183"/>
      <c r="N41" s="183"/>
      <c r="O41" s="183"/>
    </row>
    <row r="42" spans="2:15" s="97" customFormat="1" x14ac:dyDescent="0.2">
      <c r="B42" s="30"/>
      <c r="C42" s="31"/>
      <c r="D42" s="31"/>
      <c r="E42" s="31"/>
      <c r="F42" s="31"/>
      <c r="G42" s="31"/>
      <c r="H42" s="31"/>
      <c r="I42" s="32"/>
      <c r="J42" s="183"/>
      <c r="K42" s="183"/>
      <c r="L42" s="183"/>
      <c r="M42" s="183"/>
      <c r="N42" s="183"/>
      <c r="O42" s="183"/>
    </row>
    <row r="43" spans="2:15" s="97" customFormat="1" x14ac:dyDescent="0.2">
      <c r="B43" s="30"/>
      <c r="C43" s="31"/>
      <c r="D43" s="31"/>
      <c r="E43" s="31"/>
      <c r="F43" s="31"/>
      <c r="G43" s="31"/>
      <c r="H43" s="31"/>
      <c r="I43" s="32"/>
      <c r="J43" s="183"/>
      <c r="K43" s="183"/>
      <c r="L43" s="183"/>
      <c r="M43" s="183"/>
      <c r="N43" s="183"/>
      <c r="O43" s="183"/>
    </row>
    <row r="44" spans="2:15" s="97" customFormat="1" x14ac:dyDescent="0.2">
      <c r="B44" s="30"/>
      <c r="C44" s="31"/>
      <c r="D44" s="31"/>
      <c r="E44" s="31"/>
      <c r="F44" s="31"/>
      <c r="G44" s="31"/>
      <c r="H44" s="31"/>
      <c r="I44" s="32"/>
      <c r="J44" s="183"/>
      <c r="K44" s="183"/>
      <c r="L44" s="183"/>
      <c r="M44" s="183"/>
      <c r="N44" s="183"/>
      <c r="O44" s="183"/>
    </row>
    <row r="45" spans="2:15" s="97" customFormat="1" x14ac:dyDescent="0.2">
      <c r="B45" s="30"/>
      <c r="C45" s="31"/>
      <c r="D45" s="31"/>
      <c r="E45" s="31"/>
      <c r="F45" s="31"/>
      <c r="G45" s="31"/>
      <c r="H45" s="31"/>
      <c r="I45" s="32"/>
      <c r="J45" s="183"/>
      <c r="K45" s="183"/>
      <c r="L45" s="183"/>
      <c r="M45" s="183"/>
      <c r="N45" s="183"/>
      <c r="O45" s="183"/>
    </row>
    <row r="46" spans="2:15" s="97" customFormat="1" x14ac:dyDescent="0.2">
      <c r="B46" s="30"/>
      <c r="C46" s="31"/>
      <c r="D46" s="31"/>
      <c r="E46" s="31"/>
      <c r="F46" s="31"/>
      <c r="G46" s="31"/>
      <c r="H46" s="31"/>
      <c r="I46" s="32"/>
      <c r="J46" s="183"/>
      <c r="K46" s="183"/>
      <c r="L46" s="183"/>
      <c r="M46" s="183"/>
      <c r="N46" s="183"/>
      <c r="O46" s="183"/>
    </row>
    <row r="47" spans="2:15" s="97" customFormat="1" x14ac:dyDescent="0.2">
      <c r="B47" s="30"/>
      <c r="C47" s="31"/>
      <c r="D47" s="31"/>
      <c r="E47" s="31"/>
      <c r="F47" s="31"/>
      <c r="G47" s="31"/>
      <c r="H47" s="31"/>
      <c r="I47" s="32"/>
      <c r="J47" s="183"/>
      <c r="K47" s="183"/>
      <c r="L47" s="183"/>
      <c r="M47" s="183"/>
      <c r="N47" s="183"/>
      <c r="O47" s="183"/>
    </row>
    <row r="48" spans="2:15" s="97" customFormat="1" x14ac:dyDescent="0.2">
      <c r="B48" s="30"/>
      <c r="C48" s="31"/>
      <c r="D48" s="31"/>
      <c r="E48" s="31"/>
      <c r="F48" s="31"/>
      <c r="G48" s="31"/>
      <c r="H48" s="31"/>
      <c r="I48" s="32"/>
      <c r="J48" s="183"/>
      <c r="K48" s="183"/>
      <c r="L48" s="183"/>
      <c r="M48" s="183"/>
      <c r="N48" s="183"/>
      <c r="O48" s="183"/>
    </row>
    <row r="49" spans="2:15" s="97" customFormat="1" x14ac:dyDescent="0.2">
      <c r="B49" s="30"/>
      <c r="C49" s="31"/>
      <c r="D49" s="31"/>
      <c r="E49" s="31"/>
      <c r="F49" s="31"/>
      <c r="G49" s="31"/>
      <c r="H49" s="31"/>
      <c r="I49" s="32"/>
      <c r="J49" s="183"/>
      <c r="K49" s="183"/>
      <c r="L49" s="183"/>
      <c r="M49" s="183"/>
      <c r="N49" s="183"/>
      <c r="O49" s="183"/>
    </row>
    <row r="50" spans="2:15" s="97" customFormat="1" x14ac:dyDescent="0.2">
      <c r="B50" s="30"/>
      <c r="C50" s="31"/>
      <c r="D50" s="31"/>
      <c r="E50" s="31"/>
      <c r="F50" s="31"/>
      <c r="G50" s="31"/>
      <c r="H50" s="31"/>
      <c r="I50" s="32"/>
      <c r="J50" s="183"/>
      <c r="K50" s="183"/>
      <c r="L50" s="183"/>
      <c r="M50" s="183"/>
      <c r="N50" s="183"/>
      <c r="O50" s="183"/>
    </row>
    <row r="51" spans="2:15" s="97" customFormat="1" x14ac:dyDescent="0.2">
      <c r="B51" s="30"/>
      <c r="C51" s="31"/>
      <c r="D51" s="31"/>
      <c r="E51" s="31"/>
      <c r="F51" s="31"/>
      <c r="G51" s="31"/>
      <c r="H51" s="31"/>
      <c r="I51" s="32"/>
      <c r="J51" s="183"/>
      <c r="K51" s="183"/>
      <c r="L51" s="183"/>
      <c r="M51" s="183"/>
      <c r="N51" s="183"/>
      <c r="O51" s="183"/>
    </row>
    <row r="52" spans="2:15" s="97" customFormat="1" x14ac:dyDescent="0.2">
      <c r="B52" s="30"/>
      <c r="C52" s="31"/>
      <c r="D52" s="31"/>
      <c r="E52" s="31"/>
      <c r="F52" s="31"/>
      <c r="G52" s="31"/>
      <c r="H52" s="31"/>
      <c r="I52" s="32"/>
      <c r="J52" s="183"/>
      <c r="K52" s="183"/>
      <c r="L52" s="183"/>
      <c r="M52" s="183"/>
      <c r="N52" s="183"/>
      <c r="O52" s="183"/>
    </row>
    <row r="53" spans="2:15" s="97" customFormat="1" x14ac:dyDescent="0.2">
      <c r="B53" s="30"/>
      <c r="C53" s="31"/>
      <c r="D53" s="31"/>
      <c r="E53" s="31"/>
      <c r="F53" s="31"/>
      <c r="G53" s="31"/>
      <c r="H53" s="31"/>
      <c r="I53" s="32"/>
      <c r="J53" s="183"/>
      <c r="K53" s="183"/>
      <c r="L53" s="183"/>
      <c r="M53" s="183"/>
      <c r="N53" s="183"/>
      <c r="O53" s="183"/>
    </row>
    <row r="54" spans="2:15" s="97" customFormat="1" x14ac:dyDescent="0.2">
      <c r="B54" s="30"/>
      <c r="C54" s="31"/>
      <c r="D54" s="31"/>
      <c r="E54" s="31"/>
      <c r="F54" s="31"/>
      <c r="G54" s="31"/>
      <c r="H54" s="31"/>
      <c r="I54" s="32"/>
      <c r="J54" s="183"/>
      <c r="K54" s="183"/>
      <c r="L54" s="183"/>
      <c r="M54" s="183"/>
      <c r="N54" s="183"/>
      <c r="O54" s="183"/>
    </row>
    <row r="55" spans="2:15" s="97" customFormat="1" x14ac:dyDescent="0.2">
      <c r="B55" s="30"/>
      <c r="C55" s="31"/>
      <c r="D55" s="31"/>
      <c r="E55" s="31"/>
      <c r="F55" s="31"/>
      <c r="G55" s="31"/>
      <c r="H55" s="31"/>
      <c r="I55" s="32"/>
      <c r="J55" s="183"/>
      <c r="K55" s="183"/>
      <c r="L55" s="183"/>
      <c r="M55" s="183"/>
      <c r="N55" s="183"/>
      <c r="O55" s="183"/>
    </row>
    <row r="56" spans="2:15" s="97" customFormat="1" x14ac:dyDescent="0.2">
      <c r="B56" s="30"/>
      <c r="C56" s="31"/>
      <c r="D56" s="31"/>
      <c r="E56" s="31"/>
      <c r="F56" s="31"/>
      <c r="G56" s="31"/>
      <c r="H56" s="31"/>
      <c r="I56" s="32"/>
      <c r="J56" s="183"/>
      <c r="K56" s="183"/>
      <c r="L56" s="183"/>
      <c r="M56" s="183"/>
      <c r="N56" s="183"/>
      <c r="O56" s="183"/>
    </row>
    <row r="57" spans="2:15" s="97" customFormat="1" x14ac:dyDescent="0.2">
      <c r="B57" s="30"/>
      <c r="C57" s="31"/>
      <c r="D57" s="31"/>
      <c r="E57" s="31"/>
      <c r="F57" s="31"/>
      <c r="G57" s="31"/>
      <c r="H57" s="31"/>
      <c r="I57" s="32"/>
      <c r="J57" s="183"/>
      <c r="K57" s="183"/>
      <c r="L57" s="183"/>
      <c r="M57" s="183"/>
      <c r="N57" s="183"/>
      <c r="O57" s="183"/>
    </row>
    <row r="58" spans="2:15" s="97" customFormat="1" x14ac:dyDescent="0.2">
      <c r="B58" s="30"/>
      <c r="C58" s="31"/>
      <c r="D58" s="31"/>
      <c r="E58" s="31"/>
      <c r="F58" s="31"/>
      <c r="G58" s="31"/>
      <c r="H58" s="31"/>
      <c r="I58" s="32"/>
      <c r="J58" s="183"/>
      <c r="K58" s="183"/>
      <c r="L58" s="183"/>
      <c r="M58" s="183"/>
      <c r="N58" s="183"/>
      <c r="O58" s="183"/>
    </row>
    <row r="59" spans="2:15" s="97" customFormat="1" x14ac:dyDescent="0.2">
      <c r="B59" s="30"/>
      <c r="C59" s="31"/>
      <c r="D59" s="31"/>
      <c r="E59" s="31"/>
      <c r="F59" s="31"/>
      <c r="G59" s="31"/>
      <c r="H59" s="31"/>
      <c r="I59" s="32"/>
      <c r="J59" s="183"/>
      <c r="K59" s="183"/>
      <c r="L59" s="183"/>
      <c r="M59" s="183"/>
      <c r="N59" s="183"/>
      <c r="O59" s="183"/>
    </row>
    <row r="60" spans="2:15" s="97" customFormat="1" x14ac:dyDescent="0.2">
      <c r="B60" s="30"/>
      <c r="C60" s="31"/>
      <c r="D60" s="31"/>
      <c r="E60" s="31"/>
      <c r="F60" s="31"/>
      <c r="G60" s="31"/>
      <c r="H60" s="31"/>
      <c r="I60" s="32"/>
      <c r="J60" s="183"/>
      <c r="K60" s="183"/>
      <c r="L60" s="183"/>
      <c r="M60" s="183"/>
      <c r="N60" s="183"/>
      <c r="O60" s="183"/>
    </row>
    <row r="61" spans="2:15" s="97" customFormat="1" x14ac:dyDescent="0.2">
      <c r="B61" s="30"/>
      <c r="C61" s="31"/>
      <c r="D61" s="31"/>
      <c r="E61" s="31"/>
      <c r="F61" s="31"/>
      <c r="G61" s="31"/>
      <c r="H61" s="31"/>
      <c r="I61" s="32"/>
      <c r="J61" s="183"/>
      <c r="K61" s="183"/>
      <c r="L61" s="183"/>
      <c r="M61" s="183"/>
      <c r="N61" s="183"/>
      <c r="O61" s="183"/>
    </row>
    <row r="62" spans="2:15" s="97" customFormat="1" x14ac:dyDescent="0.2">
      <c r="B62" s="30"/>
      <c r="C62" s="31"/>
      <c r="D62" s="31"/>
      <c r="E62" s="31"/>
      <c r="F62" s="31"/>
      <c r="G62" s="31"/>
      <c r="H62" s="31"/>
      <c r="I62" s="32"/>
      <c r="J62" s="183"/>
      <c r="K62" s="183"/>
      <c r="L62" s="183"/>
      <c r="M62" s="183"/>
      <c r="N62" s="183"/>
      <c r="O62" s="183"/>
    </row>
    <row r="63" spans="2:15" s="97" customFormat="1" x14ac:dyDescent="0.2">
      <c r="B63" s="30"/>
      <c r="C63" s="31"/>
      <c r="D63" s="31"/>
      <c r="E63" s="31"/>
      <c r="F63" s="31"/>
      <c r="G63" s="31"/>
      <c r="H63" s="31"/>
      <c r="I63" s="32"/>
      <c r="J63" s="183"/>
      <c r="K63" s="183"/>
      <c r="L63" s="183"/>
      <c r="M63" s="183"/>
      <c r="N63" s="183"/>
      <c r="O63" s="183"/>
    </row>
    <row r="64" spans="2:15" s="97" customFormat="1" x14ac:dyDescent="0.2">
      <c r="B64" s="30"/>
      <c r="C64" s="31"/>
      <c r="D64" s="31"/>
      <c r="E64" s="31"/>
      <c r="F64" s="31"/>
      <c r="G64" s="31"/>
      <c r="H64" s="31"/>
      <c r="I64" s="32"/>
      <c r="J64" s="183"/>
      <c r="K64" s="183"/>
      <c r="L64" s="183"/>
      <c r="M64" s="183"/>
      <c r="N64" s="183"/>
      <c r="O64" s="183"/>
    </row>
    <row r="65" spans="2:15" s="97" customFormat="1" x14ac:dyDescent="0.2">
      <c r="B65" s="30"/>
      <c r="C65" s="31"/>
      <c r="D65" s="31"/>
      <c r="E65" s="31"/>
      <c r="F65" s="31"/>
      <c r="G65" s="31"/>
      <c r="H65" s="31"/>
      <c r="I65" s="32"/>
      <c r="J65" s="183"/>
      <c r="K65" s="183"/>
      <c r="L65" s="183"/>
      <c r="M65" s="183"/>
      <c r="N65" s="183"/>
      <c r="O65" s="183"/>
    </row>
    <row r="66" spans="2:15" s="97" customFormat="1" x14ac:dyDescent="0.2">
      <c r="B66" s="30"/>
      <c r="C66" s="31"/>
      <c r="D66" s="31"/>
      <c r="E66" s="31"/>
      <c r="F66" s="31"/>
      <c r="G66" s="31"/>
      <c r="H66" s="31"/>
      <c r="I66" s="32"/>
      <c r="J66" s="183"/>
      <c r="K66" s="183"/>
      <c r="L66" s="183"/>
      <c r="M66" s="183"/>
      <c r="N66" s="183"/>
      <c r="O66" s="183"/>
    </row>
    <row r="67" spans="2:15" s="97" customFormat="1" x14ac:dyDescent="0.2">
      <c r="B67" s="30"/>
      <c r="C67" s="31"/>
      <c r="D67" s="31"/>
      <c r="E67" s="31"/>
      <c r="F67" s="31"/>
      <c r="G67" s="31"/>
      <c r="H67" s="31"/>
      <c r="I67" s="32"/>
      <c r="J67" s="183"/>
      <c r="K67" s="183"/>
      <c r="L67" s="183"/>
      <c r="M67" s="183"/>
      <c r="N67" s="183"/>
      <c r="O67" s="183"/>
    </row>
    <row r="68" spans="2:15" s="97" customFormat="1" x14ac:dyDescent="0.2">
      <c r="B68" s="30"/>
      <c r="C68" s="31"/>
      <c r="D68" s="31"/>
      <c r="E68" s="31"/>
      <c r="F68" s="31"/>
      <c r="G68" s="31"/>
      <c r="H68" s="31"/>
      <c r="I68" s="32"/>
      <c r="J68" s="183"/>
      <c r="K68" s="183"/>
      <c r="L68" s="183"/>
      <c r="M68" s="183"/>
      <c r="N68" s="183"/>
      <c r="O68" s="183"/>
    </row>
    <row r="69" spans="2:15" s="97" customFormat="1" x14ac:dyDescent="0.2">
      <c r="B69" s="30"/>
      <c r="C69" s="31"/>
      <c r="D69" s="31"/>
      <c r="E69" s="31"/>
      <c r="F69" s="31"/>
      <c r="G69" s="31"/>
      <c r="H69" s="31"/>
      <c r="I69" s="32"/>
      <c r="J69" s="183"/>
      <c r="K69" s="183"/>
      <c r="L69" s="183"/>
      <c r="M69" s="183"/>
      <c r="N69" s="183"/>
      <c r="O69" s="183"/>
    </row>
    <row r="70" spans="2:15" s="97" customFormat="1" x14ac:dyDescent="0.2">
      <c r="B70" s="30"/>
      <c r="C70" s="31"/>
      <c r="D70" s="31"/>
      <c r="E70" s="31"/>
      <c r="F70" s="31"/>
      <c r="G70" s="31"/>
      <c r="H70" s="31"/>
      <c r="I70" s="32"/>
      <c r="J70" s="183"/>
      <c r="K70" s="183"/>
      <c r="L70" s="183"/>
      <c r="M70" s="183"/>
      <c r="N70" s="183"/>
      <c r="O70" s="183"/>
    </row>
    <row r="71" spans="2:15" s="97" customFormat="1" x14ac:dyDescent="0.2">
      <c r="B71" s="30"/>
      <c r="C71" s="31"/>
      <c r="D71" s="31"/>
      <c r="E71" s="31"/>
      <c r="F71" s="31"/>
      <c r="G71" s="31"/>
      <c r="H71" s="31"/>
      <c r="I71" s="32"/>
      <c r="J71" s="183"/>
      <c r="K71" s="183"/>
      <c r="L71" s="183"/>
      <c r="M71" s="183"/>
      <c r="N71" s="183"/>
      <c r="O71" s="183"/>
    </row>
    <row r="72" spans="2:15" s="97" customFormat="1" x14ac:dyDescent="0.2">
      <c r="B72" s="30"/>
      <c r="C72" s="31"/>
      <c r="D72" s="31"/>
      <c r="E72" s="31"/>
      <c r="F72" s="31"/>
      <c r="G72" s="31"/>
      <c r="H72" s="31"/>
      <c r="I72" s="32"/>
      <c r="J72" s="183"/>
      <c r="K72" s="183"/>
      <c r="L72" s="183"/>
      <c r="M72" s="183"/>
      <c r="N72" s="183"/>
      <c r="O72" s="183"/>
    </row>
    <row r="73" spans="2:15" s="97" customFormat="1" x14ac:dyDescent="0.2">
      <c r="B73" s="30"/>
      <c r="C73" s="31"/>
      <c r="D73" s="31"/>
      <c r="E73" s="31"/>
      <c r="F73" s="31"/>
      <c r="G73" s="31"/>
      <c r="H73" s="31"/>
      <c r="I73" s="32"/>
      <c r="J73" s="183"/>
      <c r="K73" s="183"/>
      <c r="L73" s="183"/>
      <c r="M73" s="183"/>
      <c r="N73" s="183"/>
      <c r="O73" s="183"/>
    </row>
    <row r="74" spans="2:15" s="97" customFormat="1" x14ac:dyDescent="0.2">
      <c r="B74" s="30"/>
      <c r="C74" s="31"/>
      <c r="D74" s="31"/>
      <c r="E74" s="31"/>
      <c r="F74" s="31"/>
      <c r="G74" s="31"/>
      <c r="H74" s="31"/>
      <c r="I74" s="32"/>
      <c r="J74" s="183"/>
      <c r="K74" s="183"/>
      <c r="L74" s="183"/>
      <c r="M74" s="183"/>
      <c r="N74" s="183"/>
      <c r="O74" s="183"/>
    </row>
    <row r="75" spans="2:15" s="97" customFormat="1" x14ac:dyDescent="0.2">
      <c r="B75" s="30"/>
      <c r="C75" s="31"/>
      <c r="D75" s="31"/>
      <c r="E75" s="31"/>
      <c r="F75" s="31"/>
      <c r="G75" s="31"/>
      <c r="H75" s="31"/>
      <c r="I75" s="32"/>
      <c r="J75" s="183"/>
      <c r="K75" s="183"/>
      <c r="L75" s="183"/>
      <c r="M75" s="183"/>
      <c r="N75" s="183"/>
      <c r="O75" s="183"/>
    </row>
    <row r="76" spans="2:15" s="97" customFormat="1" x14ac:dyDescent="0.2">
      <c r="B76" s="30"/>
      <c r="C76" s="31"/>
      <c r="D76" s="31"/>
      <c r="E76" s="31"/>
      <c r="F76" s="31"/>
      <c r="G76" s="31"/>
      <c r="H76" s="31"/>
      <c r="I76" s="32"/>
      <c r="J76" s="183"/>
      <c r="K76" s="183"/>
      <c r="L76" s="183"/>
      <c r="M76" s="183"/>
      <c r="N76" s="183"/>
      <c r="O76" s="183"/>
    </row>
    <row r="77" spans="2:15" s="97" customFormat="1" x14ac:dyDescent="0.2">
      <c r="B77" s="30"/>
      <c r="C77" s="31"/>
      <c r="D77" s="31"/>
      <c r="E77" s="31"/>
      <c r="F77" s="31"/>
      <c r="G77" s="31"/>
      <c r="H77" s="31"/>
      <c r="I77" s="32"/>
      <c r="J77" s="183"/>
      <c r="K77" s="183"/>
      <c r="L77" s="183"/>
      <c r="M77" s="183"/>
      <c r="N77" s="183"/>
      <c r="O77" s="183"/>
    </row>
    <row r="78" spans="2:15" s="97" customFormat="1" x14ac:dyDescent="0.2">
      <c r="B78" s="30"/>
      <c r="C78" s="31"/>
      <c r="D78" s="31"/>
      <c r="E78" s="31"/>
      <c r="F78" s="31"/>
      <c r="G78" s="31"/>
      <c r="H78" s="31"/>
      <c r="I78" s="32"/>
      <c r="J78" s="183"/>
      <c r="K78" s="183"/>
      <c r="L78" s="183"/>
      <c r="M78" s="183"/>
      <c r="N78" s="183"/>
      <c r="O78" s="183"/>
    </row>
    <row r="79" spans="2:15" s="97" customFormat="1" x14ac:dyDescent="0.2">
      <c r="B79" s="30"/>
      <c r="C79" s="31"/>
      <c r="D79" s="31"/>
      <c r="E79" s="31"/>
      <c r="F79" s="31"/>
      <c r="G79" s="31"/>
      <c r="H79" s="31"/>
      <c r="I79" s="32"/>
      <c r="J79" s="183"/>
      <c r="K79" s="183"/>
      <c r="L79" s="183"/>
      <c r="M79" s="183"/>
      <c r="N79" s="183"/>
      <c r="O79" s="183"/>
    </row>
    <row r="80" spans="2:15" s="97" customFormat="1" x14ac:dyDescent="0.2">
      <c r="B80" s="30"/>
      <c r="C80" s="31"/>
      <c r="D80" s="31"/>
      <c r="E80" s="31"/>
      <c r="F80" s="31"/>
      <c r="G80" s="31"/>
      <c r="H80" s="31"/>
      <c r="I80" s="32"/>
      <c r="J80" s="183"/>
      <c r="K80" s="183"/>
      <c r="L80" s="183"/>
      <c r="M80" s="183"/>
      <c r="N80" s="183"/>
      <c r="O80" s="183"/>
    </row>
    <row r="81" spans="2:15" s="97" customFormat="1" x14ac:dyDescent="0.2">
      <c r="B81" s="30"/>
      <c r="C81" s="31"/>
      <c r="D81" s="31"/>
      <c r="E81" s="31"/>
      <c r="F81" s="31"/>
      <c r="G81" s="31"/>
      <c r="H81" s="31"/>
      <c r="I81" s="32"/>
      <c r="J81" s="183"/>
      <c r="K81" s="183"/>
      <c r="L81" s="183"/>
      <c r="M81" s="183"/>
      <c r="N81" s="183"/>
      <c r="O81" s="183"/>
    </row>
    <row r="82" spans="2:15" s="97" customFormat="1" x14ac:dyDescent="0.2">
      <c r="B82" s="30"/>
      <c r="C82" s="31"/>
      <c r="D82" s="31"/>
      <c r="E82" s="31"/>
      <c r="F82" s="31"/>
      <c r="G82" s="31"/>
      <c r="H82" s="31"/>
      <c r="I82" s="32"/>
      <c r="J82" s="183"/>
      <c r="K82" s="183"/>
      <c r="L82" s="183"/>
      <c r="M82" s="183"/>
      <c r="N82" s="183"/>
      <c r="O82" s="183"/>
    </row>
    <row r="83" spans="2:15" s="97" customFormat="1" x14ac:dyDescent="0.2">
      <c r="B83" s="30"/>
      <c r="C83" s="31"/>
      <c r="D83" s="31"/>
      <c r="E83" s="31"/>
      <c r="F83" s="31"/>
      <c r="G83" s="31"/>
      <c r="H83" s="31"/>
      <c r="I83" s="32"/>
      <c r="J83" s="183"/>
      <c r="K83" s="183"/>
      <c r="L83" s="183"/>
      <c r="M83" s="183"/>
      <c r="N83" s="183"/>
      <c r="O83" s="183"/>
    </row>
    <row r="84" spans="2:15" s="97" customFormat="1" x14ac:dyDescent="0.2">
      <c r="B84" s="30"/>
      <c r="C84" s="31"/>
      <c r="D84" s="31"/>
      <c r="E84" s="31"/>
      <c r="F84" s="31"/>
      <c r="G84" s="31"/>
      <c r="H84" s="31"/>
      <c r="I84" s="32"/>
      <c r="J84" s="183"/>
      <c r="K84" s="183"/>
      <c r="L84" s="183"/>
      <c r="M84" s="183"/>
      <c r="N84" s="183"/>
      <c r="O84" s="183"/>
    </row>
    <row r="85" spans="2:15" s="97" customFormat="1" x14ac:dyDescent="0.2">
      <c r="B85" s="30"/>
      <c r="C85" s="31"/>
      <c r="D85" s="31"/>
      <c r="E85" s="31"/>
      <c r="F85" s="31"/>
      <c r="G85" s="31"/>
      <c r="H85" s="31"/>
      <c r="I85" s="32"/>
      <c r="J85" s="183"/>
      <c r="K85" s="183"/>
      <c r="L85" s="183"/>
      <c r="M85" s="183"/>
      <c r="N85" s="183"/>
      <c r="O85" s="183"/>
    </row>
    <row r="86" spans="2:15" s="97" customFormat="1" x14ac:dyDescent="0.2">
      <c r="B86" s="30"/>
      <c r="C86" s="31"/>
      <c r="D86" s="31"/>
      <c r="E86" s="31"/>
      <c r="F86" s="31"/>
      <c r="G86" s="31"/>
      <c r="H86" s="31"/>
      <c r="I86" s="32"/>
      <c r="J86" s="183"/>
      <c r="K86" s="183"/>
      <c r="L86" s="183"/>
      <c r="M86" s="183"/>
      <c r="N86" s="183"/>
      <c r="O86" s="183"/>
    </row>
    <row r="87" spans="2:15" s="97" customFormat="1" x14ac:dyDescent="0.2">
      <c r="B87" s="30"/>
      <c r="C87" s="31"/>
      <c r="D87" s="31"/>
      <c r="E87" s="31"/>
      <c r="F87" s="31"/>
      <c r="G87" s="31"/>
      <c r="H87" s="31"/>
      <c r="I87" s="32"/>
      <c r="J87" s="183"/>
      <c r="K87" s="183"/>
      <c r="L87" s="183"/>
      <c r="M87" s="183"/>
      <c r="N87" s="183"/>
      <c r="O87" s="183"/>
    </row>
    <row r="88" spans="2:15" s="97" customFormat="1" x14ac:dyDescent="0.2">
      <c r="B88" s="30"/>
      <c r="C88" s="31"/>
      <c r="D88" s="31"/>
      <c r="E88" s="31"/>
      <c r="F88" s="31"/>
      <c r="G88" s="31"/>
      <c r="H88" s="31"/>
      <c r="I88" s="32"/>
      <c r="J88" s="183"/>
      <c r="K88" s="183"/>
      <c r="L88" s="183"/>
      <c r="M88" s="183"/>
      <c r="N88" s="183"/>
      <c r="O88" s="183"/>
    </row>
    <row r="89" spans="2:15" s="97" customFormat="1" x14ac:dyDescent="0.2">
      <c r="B89" s="30"/>
      <c r="C89" s="31"/>
      <c r="D89" s="31"/>
      <c r="E89" s="31"/>
      <c r="F89" s="31"/>
      <c r="G89" s="31"/>
      <c r="H89" s="31"/>
      <c r="I89" s="32"/>
      <c r="J89" s="183"/>
      <c r="K89" s="183"/>
      <c r="L89" s="183"/>
      <c r="M89" s="183"/>
      <c r="N89" s="183"/>
      <c r="O89" s="183"/>
    </row>
    <row r="90" spans="2:15" s="97" customFormat="1" x14ac:dyDescent="0.2">
      <c r="B90" s="30"/>
      <c r="C90" s="31"/>
      <c r="D90" s="31"/>
      <c r="E90" s="31"/>
      <c r="F90" s="31"/>
      <c r="G90" s="31"/>
      <c r="H90" s="31"/>
      <c r="I90" s="32"/>
      <c r="J90" s="183"/>
      <c r="K90" s="183"/>
      <c r="L90" s="183"/>
      <c r="M90" s="183"/>
      <c r="N90" s="183"/>
      <c r="O90" s="183"/>
    </row>
    <row r="91" spans="2:15" s="97" customFormat="1" x14ac:dyDescent="0.2">
      <c r="B91" s="30"/>
      <c r="C91" s="31"/>
      <c r="D91" s="31"/>
      <c r="E91" s="31"/>
      <c r="F91" s="31"/>
      <c r="G91" s="31"/>
      <c r="H91" s="31"/>
      <c r="I91" s="32"/>
      <c r="J91" s="183"/>
      <c r="K91" s="183"/>
      <c r="L91" s="183"/>
      <c r="M91" s="183"/>
      <c r="N91" s="183"/>
      <c r="O91" s="183"/>
    </row>
    <row r="92" spans="2:15" s="97" customFormat="1" x14ac:dyDescent="0.2">
      <c r="B92" s="30"/>
      <c r="C92" s="31"/>
      <c r="D92" s="31"/>
      <c r="E92" s="31"/>
      <c r="F92" s="31"/>
      <c r="G92" s="31"/>
      <c r="H92" s="31"/>
      <c r="I92" s="32"/>
      <c r="J92" s="183"/>
      <c r="K92" s="183"/>
      <c r="L92" s="183"/>
      <c r="M92" s="183"/>
      <c r="N92" s="183"/>
      <c r="O92" s="183"/>
    </row>
    <row r="93" spans="2:15" s="97" customFormat="1" x14ac:dyDescent="0.2">
      <c r="B93" s="30"/>
      <c r="C93" s="31"/>
      <c r="D93" s="31"/>
      <c r="E93" s="31"/>
      <c r="F93" s="31"/>
      <c r="G93" s="31"/>
      <c r="H93" s="31"/>
      <c r="I93" s="32"/>
      <c r="J93" s="183"/>
      <c r="K93" s="183"/>
      <c r="L93" s="183"/>
      <c r="M93" s="183"/>
      <c r="N93" s="183"/>
      <c r="O93" s="183"/>
    </row>
    <row r="94" spans="2:15" s="97" customFormat="1" x14ac:dyDescent="0.2">
      <c r="B94" s="30"/>
      <c r="C94" s="31"/>
      <c r="D94" s="31"/>
      <c r="E94" s="31"/>
      <c r="F94" s="31"/>
      <c r="G94" s="31"/>
      <c r="H94" s="31"/>
      <c r="I94" s="32"/>
      <c r="J94" s="183"/>
      <c r="K94" s="183"/>
      <c r="L94" s="183"/>
      <c r="M94" s="183"/>
      <c r="N94" s="183"/>
      <c r="O94" s="183"/>
    </row>
    <row r="95" spans="2:15" s="97" customFormat="1" x14ac:dyDescent="0.2">
      <c r="B95" s="30"/>
      <c r="C95" s="31"/>
      <c r="D95" s="31"/>
      <c r="E95" s="31"/>
      <c r="F95" s="31"/>
      <c r="G95" s="31"/>
      <c r="H95" s="31"/>
      <c r="I95" s="32"/>
      <c r="J95" s="183"/>
      <c r="K95" s="183"/>
      <c r="L95" s="183"/>
      <c r="M95" s="183"/>
      <c r="N95" s="183"/>
      <c r="O95" s="183"/>
    </row>
    <row r="96" spans="2:15" s="97" customFormat="1" x14ac:dyDescent="0.2">
      <c r="B96" s="30"/>
      <c r="C96" s="31"/>
      <c r="D96" s="31"/>
      <c r="E96" s="31"/>
      <c r="F96" s="31"/>
      <c r="G96" s="31"/>
      <c r="H96" s="31"/>
      <c r="I96" s="32"/>
      <c r="J96" s="183"/>
      <c r="K96" s="183"/>
      <c r="L96" s="183"/>
      <c r="M96" s="183"/>
      <c r="N96" s="183"/>
      <c r="O96" s="183"/>
    </row>
    <row r="97" spans="2:15" s="97" customFormat="1" x14ac:dyDescent="0.2">
      <c r="B97" s="30"/>
      <c r="C97" s="31"/>
      <c r="D97" s="31"/>
      <c r="E97" s="31"/>
      <c r="F97" s="31"/>
      <c r="G97" s="31"/>
      <c r="H97" s="31"/>
      <c r="I97" s="32"/>
      <c r="J97" s="183"/>
      <c r="K97" s="183"/>
      <c r="L97" s="183"/>
      <c r="M97" s="183"/>
      <c r="N97" s="183"/>
      <c r="O97" s="183"/>
    </row>
    <row r="98" spans="2:15" s="97" customFormat="1" x14ac:dyDescent="0.2">
      <c r="B98" s="30"/>
      <c r="C98" s="31"/>
      <c r="D98" s="31"/>
      <c r="E98" s="31"/>
      <c r="F98" s="31"/>
      <c r="G98" s="31"/>
      <c r="H98" s="31"/>
      <c r="I98" s="32"/>
      <c r="J98" s="183"/>
      <c r="K98" s="183"/>
      <c r="L98" s="183"/>
      <c r="M98" s="183"/>
      <c r="N98" s="183"/>
      <c r="O98" s="183"/>
    </row>
    <row r="99" spans="2:15" s="97" customFormat="1" x14ac:dyDescent="0.2">
      <c r="B99" s="30"/>
      <c r="C99" s="31"/>
      <c r="D99" s="31"/>
      <c r="E99" s="31"/>
      <c r="F99" s="31"/>
      <c r="G99" s="31"/>
      <c r="H99" s="31"/>
      <c r="I99" s="32"/>
      <c r="J99" s="183"/>
      <c r="K99" s="183"/>
      <c r="L99" s="183"/>
      <c r="M99" s="183"/>
      <c r="N99" s="183"/>
      <c r="O99" s="183"/>
    </row>
    <row r="100" spans="2:15" s="97" customFormat="1" x14ac:dyDescent="0.2">
      <c r="B100" s="30"/>
      <c r="C100" s="31"/>
      <c r="D100" s="31"/>
      <c r="E100" s="31"/>
      <c r="F100" s="31"/>
      <c r="G100" s="31"/>
      <c r="H100" s="31"/>
      <c r="I100" s="32"/>
      <c r="J100" s="183"/>
      <c r="K100" s="183"/>
      <c r="L100" s="183"/>
      <c r="M100" s="183"/>
      <c r="N100" s="183"/>
      <c r="O100" s="183"/>
    </row>
    <row r="101" spans="2:15" s="97" customFormat="1" x14ac:dyDescent="0.2">
      <c r="B101" s="30"/>
      <c r="C101" s="31"/>
      <c r="D101" s="31"/>
      <c r="E101" s="31"/>
      <c r="F101" s="31"/>
      <c r="G101" s="31"/>
      <c r="H101" s="31"/>
      <c r="I101" s="32"/>
      <c r="J101" s="183"/>
      <c r="K101" s="183"/>
      <c r="L101" s="183"/>
      <c r="M101" s="183"/>
      <c r="N101" s="183"/>
      <c r="O101" s="183"/>
    </row>
    <row r="102" spans="2:15" s="97" customFormat="1" x14ac:dyDescent="0.2">
      <c r="B102" s="30"/>
      <c r="C102" s="31"/>
      <c r="D102" s="31"/>
      <c r="E102" s="31"/>
      <c r="F102" s="31"/>
      <c r="G102" s="31"/>
      <c r="H102" s="31"/>
      <c r="I102" s="32"/>
      <c r="J102" s="183"/>
      <c r="K102" s="183"/>
      <c r="L102" s="183"/>
      <c r="M102" s="183"/>
      <c r="N102" s="183"/>
      <c r="O102" s="183"/>
    </row>
    <row r="103" spans="2:15" s="97" customFormat="1" x14ac:dyDescent="0.2">
      <c r="B103" s="30"/>
      <c r="C103" s="31"/>
      <c r="D103" s="31"/>
      <c r="E103" s="31"/>
      <c r="F103" s="31"/>
      <c r="G103" s="31"/>
      <c r="H103" s="31"/>
      <c r="I103" s="32"/>
      <c r="J103" s="183"/>
      <c r="K103" s="183"/>
      <c r="L103" s="183"/>
      <c r="M103" s="183"/>
      <c r="N103" s="183"/>
      <c r="O103" s="183"/>
    </row>
    <row r="104" spans="2:15" s="97" customFormat="1" x14ac:dyDescent="0.2">
      <c r="B104" s="30"/>
      <c r="C104" s="31"/>
      <c r="D104" s="31"/>
      <c r="E104" s="31"/>
      <c r="F104" s="31"/>
      <c r="G104" s="31"/>
      <c r="H104" s="31"/>
      <c r="I104" s="32"/>
      <c r="J104" s="183"/>
      <c r="K104" s="183"/>
      <c r="L104" s="183"/>
      <c r="M104" s="183"/>
      <c r="N104" s="183"/>
      <c r="O104" s="183"/>
    </row>
    <row r="105" spans="2:15" s="97" customFormat="1" x14ac:dyDescent="0.2">
      <c r="B105" s="30"/>
      <c r="C105" s="31"/>
      <c r="D105" s="31"/>
      <c r="E105" s="31"/>
      <c r="F105" s="31"/>
      <c r="G105" s="31"/>
      <c r="H105" s="31"/>
      <c r="I105" s="32"/>
      <c r="J105" s="183"/>
      <c r="K105" s="183"/>
      <c r="L105" s="183"/>
      <c r="M105" s="183"/>
      <c r="N105" s="183"/>
      <c r="O105" s="183"/>
    </row>
    <row r="106" spans="2:15" s="97" customFormat="1" x14ac:dyDescent="0.2">
      <c r="B106" s="30"/>
      <c r="C106" s="31"/>
      <c r="D106" s="31"/>
      <c r="E106" s="31"/>
      <c r="F106" s="31"/>
      <c r="G106" s="31"/>
      <c r="H106" s="31"/>
      <c r="I106" s="32"/>
      <c r="J106" s="183"/>
      <c r="K106" s="183"/>
      <c r="L106" s="183"/>
      <c r="M106" s="183"/>
      <c r="N106" s="183"/>
      <c r="O106" s="183"/>
    </row>
    <row r="107" spans="2:15" s="97" customFormat="1" x14ac:dyDescent="0.2">
      <c r="B107" s="30"/>
      <c r="C107" s="31"/>
      <c r="D107" s="31"/>
      <c r="E107" s="31"/>
      <c r="F107" s="31"/>
      <c r="G107" s="31"/>
      <c r="H107" s="31"/>
      <c r="I107" s="32"/>
      <c r="J107" s="183"/>
      <c r="K107" s="183"/>
      <c r="L107" s="183"/>
      <c r="M107" s="183"/>
      <c r="N107" s="183"/>
      <c r="O107" s="183"/>
    </row>
    <row r="108" spans="2:15" s="97" customFormat="1" x14ac:dyDescent="0.2">
      <c r="B108" s="30"/>
      <c r="C108" s="31"/>
      <c r="D108" s="31"/>
      <c r="E108" s="31"/>
      <c r="F108" s="31"/>
      <c r="G108" s="31"/>
      <c r="H108" s="31"/>
      <c r="I108" s="32"/>
      <c r="J108" s="183"/>
      <c r="K108" s="183"/>
      <c r="L108" s="183"/>
      <c r="M108" s="183"/>
      <c r="N108" s="183"/>
      <c r="O108" s="183"/>
    </row>
    <row r="109" spans="2:15" s="97" customFormat="1" x14ac:dyDescent="0.2">
      <c r="B109" s="30"/>
      <c r="C109" s="31"/>
      <c r="D109" s="31"/>
      <c r="E109" s="31"/>
      <c r="F109" s="31"/>
      <c r="G109" s="31"/>
      <c r="H109" s="31"/>
      <c r="I109" s="32"/>
      <c r="J109" s="183"/>
      <c r="K109" s="183"/>
      <c r="L109" s="183"/>
      <c r="M109" s="183"/>
      <c r="N109" s="183"/>
      <c r="O109" s="183"/>
    </row>
    <row r="110" spans="2:15" s="97" customFormat="1" x14ac:dyDescent="0.2">
      <c r="B110" s="30"/>
      <c r="C110" s="31"/>
      <c r="D110" s="31"/>
      <c r="E110" s="31"/>
      <c r="F110" s="31"/>
      <c r="G110" s="31"/>
      <c r="H110" s="31"/>
      <c r="I110" s="32"/>
      <c r="J110" s="183"/>
      <c r="K110" s="183"/>
      <c r="L110" s="183"/>
      <c r="M110" s="183"/>
      <c r="N110" s="183"/>
      <c r="O110" s="183"/>
    </row>
    <row r="111" spans="2:15" s="97" customFormat="1" x14ac:dyDescent="0.2">
      <c r="B111" s="30"/>
      <c r="C111" s="31"/>
      <c r="D111" s="31"/>
      <c r="E111" s="31"/>
      <c r="F111" s="31"/>
      <c r="G111" s="31"/>
      <c r="H111" s="31"/>
      <c r="I111" s="32"/>
      <c r="J111" s="183"/>
      <c r="K111" s="183"/>
      <c r="L111" s="183"/>
      <c r="M111" s="183"/>
      <c r="N111" s="183"/>
      <c r="O111" s="183"/>
    </row>
    <row r="112" spans="2:15" s="97" customFormat="1" x14ac:dyDescent="0.2">
      <c r="B112" s="30"/>
      <c r="C112" s="31"/>
      <c r="D112" s="31"/>
      <c r="E112" s="31"/>
      <c r="F112" s="31"/>
      <c r="G112" s="31"/>
      <c r="H112" s="31"/>
      <c r="I112" s="32"/>
      <c r="J112" s="183"/>
      <c r="K112" s="183"/>
      <c r="L112" s="183"/>
      <c r="M112" s="183"/>
      <c r="N112" s="183"/>
      <c r="O112" s="183"/>
    </row>
    <row r="113" spans="2:15" s="97" customFormat="1" x14ac:dyDescent="0.2">
      <c r="B113" s="30"/>
      <c r="C113" s="31"/>
      <c r="D113" s="31"/>
      <c r="E113" s="31"/>
      <c r="F113" s="31"/>
      <c r="G113" s="31"/>
      <c r="H113" s="31"/>
      <c r="I113" s="32"/>
      <c r="J113" s="183"/>
      <c r="K113" s="183"/>
      <c r="L113" s="183"/>
      <c r="M113" s="183"/>
      <c r="N113" s="183"/>
      <c r="O113" s="183"/>
    </row>
    <row r="114" spans="2:15" s="97" customFormat="1" x14ac:dyDescent="0.2">
      <c r="B114" s="30"/>
      <c r="C114" s="31"/>
      <c r="D114" s="31"/>
      <c r="E114" s="31"/>
      <c r="F114" s="31"/>
      <c r="G114" s="31"/>
      <c r="H114" s="31"/>
      <c r="I114" s="32"/>
      <c r="J114" s="183"/>
      <c r="K114" s="183"/>
      <c r="L114" s="183"/>
      <c r="M114" s="183"/>
      <c r="N114" s="183"/>
      <c r="O114" s="183"/>
    </row>
    <row r="115" spans="2:15" s="97" customFormat="1" x14ac:dyDescent="0.2">
      <c r="B115" s="30"/>
      <c r="C115" s="31"/>
      <c r="D115" s="31"/>
      <c r="E115" s="31"/>
      <c r="F115" s="31"/>
      <c r="G115" s="31"/>
      <c r="H115" s="31"/>
      <c r="I115" s="32"/>
      <c r="J115" s="183"/>
      <c r="K115" s="183"/>
      <c r="L115" s="183"/>
      <c r="M115" s="183"/>
      <c r="N115" s="183"/>
      <c r="O115" s="183"/>
    </row>
    <row r="116" spans="2:15" s="97" customFormat="1" x14ac:dyDescent="0.2">
      <c r="B116" s="30"/>
      <c r="C116" s="31"/>
      <c r="D116" s="31"/>
      <c r="E116" s="31"/>
      <c r="F116" s="31"/>
      <c r="G116" s="31"/>
      <c r="H116" s="31"/>
      <c r="I116" s="32"/>
      <c r="J116" s="183"/>
      <c r="K116" s="183"/>
      <c r="L116" s="183"/>
      <c r="M116" s="183"/>
      <c r="N116" s="183"/>
      <c r="O116" s="183"/>
    </row>
    <row r="117" spans="2:15" s="97" customFormat="1" x14ac:dyDescent="0.2">
      <c r="B117" s="30"/>
      <c r="C117" s="31"/>
      <c r="D117" s="31"/>
      <c r="E117" s="31"/>
      <c r="F117" s="31"/>
      <c r="G117" s="31"/>
      <c r="H117" s="31"/>
      <c r="I117" s="32"/>
      <c r="J117" s="183"/>
      <c r="K117" s="183"/>
      <c r="L117" s="183"/>
      <c r="M117" s="183"/>
      <c r="N117" s="183"/>
      <c r="O117" s="183"/>
    </row>
    <row r="118" spans="2:15" s="97" customFormat="1" x14ac:dyDescent="0.2">
      <c r="B118" s="30"/>
      <c r="C118" s="31"/>
      <c r="D118" s="31"/>
      <c r="E118" s="31"/>
      <c r="F118" s="31"/>
      <c r="G118" s="31"/>
      <c r="H118" s="31"/>
      <c r="I118" s="32"/>
      <c r="J118" s="183"/>
      <c r="K118" s="183"/>
      <c r="L118" s="183"/>
      <c r="M118" s="183"/>
      <c r="N118" s="183"/>
      <c r="O118" s="183"/>
    </row>
    <row r="119" spans="2:15" s="97" customFormat="1" x14ac:dyDescent="0.2">
      <c r="B119" s="30"/>
      <c r="C119" s="31"/>
      <c r="D119" s="31"/>
      <c r="E119" s="31"/>
      <c r="F119" s="31"/>
      <c r="G119" s="31"/>
      <c r="H119" s="31"/>
      <c r="I119" s="32"/>
      <c r="J119" s="183"/>
      <c r="K119" s="183"/>
      <c r="L119" s="183"/>
      <c r="M119" s="183"/>
      <c r="N119" s="183"/>
      <c r="O119" s="183"/>
    </row>
    <row r="120" spans="2:15" s="97" customFormat="1" x14ac:dyDescent="0.2">
      <c r="B120" s="30"/>
      <c r="C120" s="31"/>
      <c r="D120" s="31"/>
      <c r="E120" s="31"/>
      <c r="F120" s="31"/>
      <c r="G120" s="31"/>
      <c r="H120" s="31"/>
      <c r="I120" s="32"/>
      <c r="J120" s="183"/>
      <c r="K120" s="183"/>
      <c r="L120" s="183"/>
      <c r="M120" s="183"/>
      <c r="N120" s="183"/>
      <c r="O120" s="183"/>
    </row>
    <row r="121" spans="2:15" s="97" customFormat="1" x14ac:dyDescent="0.2">
      <c r="B121" s="30"/>
      <c r="C121" s="31"/>
      <c r="D121" s="31"/>
      <c r="E121" s="31"/>
      <c r="F121" s="31"/>
      <c r="G121" s="31"/>
      <c r="H121" s="31"/>
      <c r="I121" s="32"/>
      <c r="J121" s="183"/>
      <c r="K121" s="183"/>
      <c r="L121" s="183"/>
      <c r="M121" s="183"/>
      <c r="N121" s="183"/>
      <c r="O121" s="183"/>
    </row>
    <row r="122" spans="2:15" s="97" customFormat="1" x14ac:dyDescent="0.2">
      <c r="B122" s="30"/>
      <c r="C122" s="31"/>
      <c r="D122" s="31"/>
      <c r="E122" s="31"/>
      <c r="F122" s="31"/>
      <c r="G122" s="31"/>
      <c r="H122" s="31"/>
      <c r="I122" s="32"/>
      <c r="J122" s="183"/>
      <c r="K122" s="183"/>
      <c r="L122" s="183"/>
      <c r="M122" s="183"/>
      <c r="N122" s="183"/>
      <c r="O122" s="183"/>
    </row>
    <row r="123" spans="2:15" s="97" customFormat="1" x14ac:dyDescent="0.2">
      <c r="B123" s="30"/>
      <c r="C123" s="31"/>
      <c r="D123" s="31"/>
      <c r="E123" s="31"/>
      <c r="F123" s="31"/>
      <c r="G123" s="31"/>
      <c r="H123" s="31"/>
      <c r="I123" s="32"/>
      <c r="J123" s="183"/>
      <c r="K123" s="183"/>
      <c r="L123" s="183"/>
      <c r="M123" s="183"/>
      <c r="N123" s="183"/>
      <c r="O123" s="183"/>
    </row>
    <row r="124" spans="2:15" s="97" customFormat="1" x14ac:dyDescent="0.2">
      <c r="B124" s="30"/>
      <c r="C124" s="31"/>
      <c r="D124" s="31"/>
      <c r="E124" s="31"/>
      <c r="F124" s="31"/>
      <c r="G124" s="31"/>
      <c r="H124" s="31"/>
      <c r="I124" s="32"/>
      <c r="J124" s="183"/>
      <c r="K124" s="183"/>
      <c r="L124" s="183"/>
      <c r="M124" s="183"/>
      <c r="N124" s="183"/>
      <c r="O124" s="183"/>
    </row>
    <row r="125" spans="2:15" s="97" customFormat="1" x14ac:dyDescent="0.2">
      <c r="B125" s="30"/>
      <c r="C125" s="31"/>
      <c r="D125" s="31"/>
      <c r="E125" s="31"/>
      <c r="F125" s="31"/>
      <c r="G125" s="31"/>
      <c r="H125" s="31"/>
      <c r="I125" s="32"/>
      <c r="J125" s="183"/>
      <c r="K125" s="183"/>
      <c r="L125" s="183"/>
      <c r="M125" s="183"/>
      <c r="N125" s="183"/>
      <c r="O125" s="183"/>
    </row>
    <row r="126" spans="2:15" s="97" customFormat="1" x14ac:dyDescent="0.2">
      <c r="B126" s="30"/>
      <c r="C126" s="31"/>
      <c r="D126" s="31"/>
      <c r="E126" s="31"/>
      <c r="F126" s="31"/>
      <c r="G126" s="31"/>
      <c r="H126" s="31"/>
      <c r="I126" s="32"/>
      <c r="J126" s="183"/>
      <c r="K126" s="183"/>
      <c r="L126" s="183"/>
      <c r="M126" s="183"/>
      <c r="N126" s="183"/>
      <c r="O126" s="183"/>
    </row>
    <row r="127" spans="2:15" s="97" customFormat="1" x14ac:dyDescent="0.2">
      <c r="B127" s="30"/>
      <c r="C127" s="31"/>
      <c r="D127" s="31"/>
      <c r="E127" s="31"/>
      <c r="F127" s="31"/>
      <c r="G127" s="31"/>
      <c r="H127" s="31"/>
      <c r="I127" s="32"/>
      <c r="J127" s="183"/>
      <c r="K127" s="183"/>
      <c r="L127" s="183"/>
      <c r="M127" s="183"/>
      <c r="N127" s="183"/>
      <c r="O127" s="183"/>
    </row>
    <row r="128" spans="2:15" s="97" customFormat="1" x14ac:dyDescent="0.2">
      <c r="B128" s="30"/>
      <c r="C128" s="31"/>
      <c r="D128" s="31"/>
      <c r="E128" s="31"/>
      <c r="F128" s="31"/>
      <c r="G128" s="31"/>
      <c r="H128" s="31"/>
      <c r="I128" s="32"/>
      <c r="J128" s="183"/>
      <c r="K128" s="183"/>
      <c r="L128" s="183"/>
      <c r="M128" s="183"/>
      <c r="N128" s="183"/>
      <c r="O128" s="183"/>
    </row>
    <row r="129" spans="2:15" s="97" customFormat="1" x14ac:dyDescent="0.2">
      <c r="B129" s="30"/>
      <c r="C129" s="31"/>
      <c r="D129" s="31"/>
      <c r="E129" s="31"/>
      <c r="F129" s="31"/>
      <c r="G129" s="31"/>
      <c r="H129" s="31"/>
      <c r="I129" s="32"/>
      <c r="J129" s="183"/>
      <c r="K129" s="183"/>
      <c r="L129" s="183"/>
      <c r="M129" s="183"/>
      <c r="N129" s="183"/>
      <c r="O129" s="183"/>
    </row>
    <row r="130" spans="2:15" s="97" customFormat="1" x14ac:dyDescent="0.2">
      <c r="B130" s="30"/>
      <c r="C130" s="31"/>
      <c r="D130" s="31"/>
      <c r="E130" s="31"/>
      <c r="F130" s="31"/>
      <c r="G130" s="31"/>
      <c r="H130" s="31"/>
      <c r="I130" s="32"/>
      <c r="J130" s="183"/>
      <c r="K130" s="183"/>
      <c r="L130" s="183"/>
      <c r="M130" s="183"/>
      <c r="N130" s="183"/>
      <c r="O130" s="183"/>
    </row>
    <row r="131" spans="2:15" s="97" customFormat="1" x14ac:dyDescent="0.2">
      <c r="B131" s="30"/>
      <c r="C131" s="31"/>
      <c r="D131" s="31"/>
      <c r="E131" s="31"/>
      <c r="F131" s="31"/>
      <c r="G131" s="31"/>
      <c r="H131" s="31"/>
      <c r="I131" s="32"/>
      <c r="J131" s="183"/>
      <c r="K131" s="183"/>
      <c r="L131" s="183"/>
      <c r="M131" s="183"/>
      <c r="N131" s="183"/>
      <c r="O131" s="183"/>
    </row>
    <row r="132" spans="2:15" s="97" customFormat="1" x14ac:dyDescent="0.2">
      <c r="B132" s="30"/>
      <c r="C132" s="31"/>
      <c r="D132" s="31"/>
      <c r="E132" s="31"/>
      <c r="F132" s="31"/>
      <c r="G132" s="31"/>
      <c r="H132" s="31"/>
      <c r="I132" s="32"/>
      <c r="J132" s="183"/>
      <c r="K132" s="183"/>
      <c r="L132" s="183"/>
      <c r="M132" s="183"/>
      <c r="N132" s="183"/>
      <c r="O132" s="183"/>
    </row>
    <row r="133" spans="2:15" s="97" customFormat="1" x14ac:dyDescent="0.2">
      <c r="B133" s="30"/>
      <c r="C133" s="31"/>
      <c r="D133" s="31"/>
      <c r="E133" s="31"/>
      <c r="F133" s="31"/>
      <c r="G133" s="31"/>
      <c r="H133" s="31"/>
      <c r="I133" s="32"/>
      <c r="J133" s="183"/>
      <c r="K133" s="183"/>
      <c r="L133" s="183"/>
      <c r="M133" s="183"/>
      <c r="N133" s="183"/>
      <c r="O133" s="183"/>
    </row>
    <row r="134" spans="2:15" s="97" customFormat="1" x14ac:dyDescent="0.2">
      <c r="B134" s="30"/>
      <c r="C134" s="31"/>
      <c r="D134" s="31"/>
      <c r="E134" s="31"/>
      <c r="F134" s="31"/>
      <c r="G134" s="31"/>
      <c r="H134" s="31"/>
      <c r="I134" s="32"/>
      <c r="J134" s="183"/>
      <c r="K134" s="183"/>
      <c r="L134" s="183"/>
      <c r="M134" s="183"/>
      <c r="N134" s="183"/>
      <c r="O134" s="183"/>
    </row>
    <row r="135" spans="2:15" s="97" customFormat="1" x14ac:dyDescent="0.2">
      <c r="B135" s="30"/>
      <c r="C135" s="31"/>
      <c r="D135" s="31"/>
      <c r="E135" s="31"/>
      <c r="F135" s="31"/>
      <c r="G135" s="31"/>
      <c r="H135" s="31"/>
      <c r="I135" s="32"/>
      <c r="J135" s="183"/>
      <c r="K135" s="183"/>
      <c r="L135" s="183"/>
      <c r="M135" s="183"/>
      <c r="N135" s="183"/>
      <c r="O135" s="183"/>
    </row>
    <row r="136" spans="2:15" s="97" customFormat="1" x14ac:dyDescent="0.2">
      <c r="B136" s="30"/>
      <c r="C136" s="31"/>
      <c r="D136" s="31"/>
      <c r="E136" s="31"/>
      <c r="F136" s="31"/>
      <c r="G136" s="31"/>
      <c r="H136" s="31"/>
      <c r="I136" s="32"/>
      <c r="J136" s="183"/>
      <c r="K136" s="183"/>
      <c r="L136" s="183"/>
      <c r="M136" s="183"/>
      <c r="N136" s="183"/>
      <c r="O136" s="183"/>
    </row>
    <row r="137" spans="2:15" s="97" customFormat="1" x14ac:dyDescent="0.2">
      <c r="B137" s="30"/>
      <c r="C137" s="31"/>
      <c r="D137" s="31"/>
      <c r="E137" s="31"/>
      <c r="F137" s="31"/>
      <c r="G137" s="31"/>
      <c r="H137" s="31"/>
      <c r="I137" s="32"/>
      <c r="J137" s="183"/>
      <c r="K137" s="183"/>
      <c r="L137" s="183"/>
      <c r="M137" s="183"/>
      <c r="N137" s="183"/>
      <c r="O137" s="183"/>
    </row>
    <row r="138" spans="2:15" s="97" customFormat="1" x14ac:dyDescent="0.2">
      <c r="B138" s="30"/>
      <c r="C138" s="31"/>
      <c r="D138" s="31"/>
      <c r="E138" s="31"/>
      <c r="F138" s="31"/>
      <c r="G138" s="31"/>
      <c r="H138" s="31"/>
      <c r="I138" s="32"/>
      <c r="J138" s="183"/>
      <c r="K138" s="183"/>
      <c r="L138" s="183"/>
      <c r="M138" s="183"/>
      <c r="N138" s="183"/>
      <c r="O138" s="183"/>
    </row>
    <row r="139" spans="2:15" s="97" customFormat="1" x14ac:dyDescent="0.2">
      <c r="B139" s="30"/>
      <c r="C139" s="31"/>
      <c r="D139" s="31"/>
      <c r="E139" s="31"/>
      <c r="F139" s="31"/>
      <c r="G139" s="31"/>
      <c r="H139" s="31"/>
      <c r="I139" s="32"/>
      <c r="J139" s="183"/>
      <c r="K139" s="183"/>
      <c r="L139" s="183"/>
      <c r="M139" s="183"/>
      <c r="N139" s="183"/>
      <c r="O139" s="183"/>
    </row>
    <row r="140" spans="2:15" s="97" customFormat="1" x14ac:dyDescent="0.2">
      <c r="B140" s="30"/>
      <c r="C140" s="31"/>
      <c r="D140" s="31"/>
      <c r="E140" s="31"/>
      <c r="F140" s="31"/>
      <c r="G140" s="31"/>
      <c r="H140" s="31"/>
      <c r="I140" s="32"/>
      <c r="J140" s="183"/>
      <c r="K140" s="183"/>
      <c r="L140" s="183"/>
      <c r="M140" s="183"/>
      <c r="N140" s="183"/>
      <c r="O140" s="183"/>
    </row>
    <row r="141" spans="2:15" s="97" customFormat="1" x14ac:dyDescent="0.2">
      <c r="B141" s="30"/>
      <c r="C141" s="31"/>
      <c r="D141" s="31"/>
      <c r="E141" s="31"/>
      <c r="F141" s="31"/>
      <c r="G141" s="31"/>
      <c r="H141" s="31"/>
      <c r="I141" s="32"/>
      <c r="J141" s="183"/>
      <c r="K141" s="183"/>
      <c r="L141" s="183"/>
      <c r="M141" s="183"/>
      <c r="N141" s="183"/>
      <c r="O141" s="183"/>
    </row>
    <row r="142" spans="2:15" s="97" customFormat="1" x14ac:dyDescent="0.2">
      <c r="B142" s="30"/>
      <c r="C142" s="31"/>
      <c r="D142" s="31"/>
      <c r="E142" s="31"/>
      <c r="F142" s="31"/>
      <c r="G142" s="31"/>
      <c r="H142" s="31"/>
      <c r="I142" s="32"/>
      <c r="J142" s="183"/>
      <c r="K142" s="183"/>
      <c r="L142" s="183"/>
      <c r="M142" s="183"/>
      <c r="N142" s="183"/>
      <c r="O142" s="183"/>
    </row>
    <row r="143" spans="2:15" s="97" customFormat="1" x14ac:dyDescent="0.2">
      <c r="B143" s="30"/>
      <c r="C143" s="31"/>
      <c r="D143" s="31"/>
      <c r="E143" s="31"/>
      <c r="F143" s="31"/>
      <c r="G143" s="31"/>
      <c r="H143" s="31"/>
      <c r="I143" s="32"/>
      <c r="J143" s="183"/>
      <c r="K143" s="183"/>
      <c r="L143" s="183"/>
      <c r="M143" s="183"/>
      <c r="N143" s="183"/>
      <c r="O143" s="183"/>
    </row>
    <row r="144" spans="2:15" s="97" customFormat="1" x14ac:dyDescent="0.2">
      <c r="B144" s="30"/>
      <c r="C144" s="31"/>
      <c r="D144" s="31"/>
      <c r="E144" s="31"/>
      <c r="F144" s="31"/>
      <c r="G144" s="31"/>
      <c r="H144" s="31"/>
      <c r="I144" s="32"/>
      <c r="J144" s="183"/>
      <c r="K144" s="183"/>
      <c r="L144" s="183"/>
      <c r="M144" s="183"/>
      <c r="N144" s="183"/>
      <c r="O144" s="183"/>
    </row>
    <row r="145" spans="2:15" s="97" customFormat="1" x14ac:dyDescent="0.2">
      <c r="B145" s="30"/>
      <c r="C145" s="31"/>
      <c r="D145" s="31"/>
      <c r="E145" s="31"/>
      <c r="F145" s="31"/>
      <c r="G145" s="31"/>
      <c r="H145" s="31"/>
      <c r="I145" s="32"/>
      <c r="J145" s="183"/>
      <c r="K145" s="183"/>
      <c r="L145" s="183"/>
      <c r="M145" s="183"/>
      <c r="N145" s="183"/>
      <c r="O145" s="183"/>
    </row>
    <row r="146" spans="2:15" s="97" customFormat="1" x14ac:dyDescent="0.2">
      <c r="B146" s="30"/>
      <c r="C146" s="31"/>
      <c r="D146" s="31"/>
      <c r="E146" s="31"/>
      <c r="F146" s="31"/>
      <c r="G146" s="31"/>
      <c r="H146" s="31"/>
      <c r="I146" s="32"/>
      <c r="J146" s="183"/>
      <c r="K146" s="183"/>
      <c r="L146" s="183"/>
      <c r="M146" s="183"/>
      <c r="N146" s="183"/>
      <c r="O146" s="183"/>
    </row>
    <row r="147" spans="2:15" s="97" customFormat="1" x14ac:dyDescent="0.2">
      <c r="B147" s="30"/>
      <c r="C147" s="31"/>
      <c r="D147" s="31"/>
      <c r="E147" s="31"/>
      <c r="F147" s="31"/>
      <c r="G147" s="31"/>
      <c r="H147" s="31"/>
      <c r="I147" s="32"/>
      <c r="J147" s="183"/>
      <c r="K147" s="183"/>
      <c r="L147" s="183"/>
      <c r="M147" s="183"/>
      <c r="N147" s="183"/>
      <c r="O147" s="183"/>
    </row>
    <row r="148" spans="2:15" s="97" customFormat="1" x14ac:dyDescent="0.2">
      <c r="B148" s="30"/>
      <c r="C148" s="31"/>
      <c r="D148" s="31"/>
      <c r="E148" s="31"/>
      <c r="F148" s="31"/>
      <c r="G148" s="31"/>
      <c r="H148" s="31"/>
      <c r="I148" s="32"/>
      <c r="J148" s="183"/>
      <c r="K148" s="183"/>
      <c r="L148" s="183"/>
      <c r="M148" s="183"/>
      <c r="N148" s="183"/>
      <c r="O148" s="183"/>
    </row>
    <row r="149" spans="2:15" s="97" customFormat="1" x14ac:dyDescent="0.2">
      <c r="B149" s="30"/>
      <c r="C149" s="31"/>
      <c r="D149" s="31"/>
      <c r="E149" s="31"/>
      <c r="F149" s="31"/>
      <c r="G149" s="31"/>
      <c r="H149" s="31"/>
      <c r="I149" s="32"/>
      <c r="J149" s="183"/>
      <c r="K149" s="183"/>
      <c r="L149" s="183"/>
      <c r="M149" s="183"/>
      <c r="N149" s="183"/>
      <c r="O149" s="183"/>
    </row>
    <row r="150" spans="2:15" s="97" customFormat="1" x14ac:dyDescent="0.2">
      <c r="B150" s="30"/>
      <c r="C150" s="31"/>
      <c r="D150" s="31"/>
      <c r="E150" s="31"/>
      <c r="F150" s="31"/>
      <c r="G150" s="31"/>
      <c r="H150" s="31"/>
      <c r="I150" s="32"/>
      <c r="J150" s="183"/>
      <c r="K150" s="183"/>
      <c r="L150" s="183"/>
      <c r="M150" s="183"/>
      <c r="N150" s="183"/>
      <c r="O150" s="183"/>
    </row>
    <row r="151" spans="2:15" s="97" customFormat="1" x14ac:dyDescent="0.2">
      <c r="B151" s="30"/>
      <c r="C151" s="31"/>
      <c r="D151" s="31"/>
      <c r="E151" s="31"/>
      <c r="F151" s="31"/>
      <c r="G151" s="31"/>
      <c r="H151" s="31"/>
      <c r="I151" s="32"/>
      <c r="J151" s="183"/>
      <c r="K151" s="183"/>
      <c r="L151" s="183"/>
      <c r="M151" s="183"/>
      <c r="N151" s="183"/>
      <c r="O151" s="183"/>
    </row>
    <row r="152" spans="2:15" s="97" customFormat="1" x14ac:dyDescent="0.2">
      <c r="B152" s="30"/>
      <c r="C152" s="31"/>
      <c r="D152" s="31"/>
      <c r="E152" s="31"/>
      <c r="F152" s="31"/>
      <c r="G152" s="31"/>
      <c r="H152" s="31"/>
      <c r="I152" s="32"/>
      <c r="J152" s="183"/>
      <c r="K152" s="183"/>
      <c r="L152" s="183"/>
      <c r="M152" s="183"/>
      <c r="N152" s="183"/>
      <c r="O152" s="183"/>
    </row>
    <row r="153" spans="2:15" s="97" customFormat="1" x14ac:dyDescent="0.2">
      <c r="B153" s="30"/>
      <c r="C153" s="31"/>
      <c r="D153" s="31"/>
      <c r="E153" s="31"/>
      <c r="F153" s="31"/>
      <c r="G153" s="31"/>
      <c r="H153" s="31"/>
      <c r="I153" s="32"/>
      <c r="J153" s="183"/>
      <c r="K153" s="183"/>
      <c r="L153" s="183"/>
      <c r="M153" s="183"/>
      <c r="N153" s="183"/>
      <c r="O153" s="183"/>
    </row>
    <row r="154" spans="2:15" s="97" customFormat="1" x14ac:dyDescent="0.2">
      <c r="B154" s="30"/>
      <c r="C154" s="31"/>
      <c r="D154" s="31"/>
      <c r="E154" s="31"/>
      <c r="F154" s="31"/>
      <c r="G154" s="31"/>
      <c r="H154" s="31"/>
      <c r="I154" s="32"/>
      <c r="J154" s="183"/>
      <c r="K154" s="183"/>
      <c r="L154" s="183"/>
      <c r="M154" s="183"/>
      <c r="N154" s="183"/>
      <c r="O154" s="183"/>
    </row>
    <row r="155" spans="2:15" s="97" customFormat="1" x14ac:dyDescent="0.2">
      <c r="B155" s="30"/>
      <c r="C155" s="31"/>
      <c r="D155" s="31"/>
      <c r="E155" s="31"/>
      <c r="F155" s="31"/>
      <c r="G155" s="31"/>
      <c r="H155" s="31"/>
      <c r="I155" s="32"/>
      <c r="J155" s="183"/>
      <c r="K155" s="183"/>
      <c r="L155" s="183"/>
      <c r="M155" s="183"/>
      <c r="N155" s="183"/>
      <c r="O155" s="183"/>
    </row>
    <row r="156" spans="2:15" s="97" customFormat="1" x14ac:dyDescent="0.2">
      <c r="B156" s="30"/>
      <c r="C156" s="31"/>
      <c r="D156" s="31"/>
      <c r="E156" s="31"/>
      <c r="F156" s="31"/>
      <c r="G156" s="31"/>
      <c r="H156" s="31"/>
      <c r="I156" s="32"/>
      <c r="J156" s="183"/>
      <c r="K156" s="183"/>
      <c r="L156" s="183"/>
      <c r="M156" s="183"/>
      <c r="N156" s="183"/>
      <c r="O156" s="183"/>
    </row>
    <row r="157" spans="2:15" s="97" customFormat="1" x14ac:dyDescent="0.2">
      <c r="B157" s="30"/>
      <c r="C157" s="31"/>
      <c r="D157" s="31"/>
      <c r="E157" s="31"/>
      <c r="F157" s="31"/>
      <c r="G157" s="31"/>
      <c r="H157" s="31"/>
      <c r="I157" s="32"/>
      <c r="J157" s="183"/>
      <c r="K157" s="183"/>
      <c r="L157" s="183"/>
      <c r="M157" s="183"/>
      <c r="N157" s="183"/>
      <c r="O157" s="183"/>
    </row>
    <row r="158" spans="2:15" s="97" customFormat="1" x14ac:dyDescent="0.2">
      <c r="B158" s="30"/>
      <c r="C158" s="31"/>
      <c r="D158" s="31"/>
      <c r="E158" s="31"/>
      <c r="F158" s="31"/>
      <c r="G158" s="31"/>
      <c r="H158" s="31"/>
      <c r="I158" s="32"/>
      <c r="J158" s="183"/>
      <c r="K158" s="183"/>
      <c r="L158" s="183"/>
      <c r="M158" s="183"/>
      <c r="N158" s="183"/>
      <c r="O158" s="183"/>
    </row>
    <row r="159" spans="2:15" s="97" customFormat="1" x14ac:dyDescent="0.2">
      <c r="B159" s="30"/>
      <c r="C159" s="31"/>
      <c r="D159" s="31"/>
      <c r="E159" s="31"/>
      <c r="F159" s="31"/>
      <c r="G159" s="31"/>
      <c r="H159" s="31"/>
      <c r="I159" s="32"/>
      <c r="J159" s="183"/>
      <c r="K159" s="183"/>
      <c r="L159" s="183"/>
      <c r="M159" s="183"/>
      <c r="N159" s="183"/>
      <c r="O159" s="183"/>
    </row>
    <row r="160" spans="2:15" s="97" customFormat="1" x14ac:dyDescent="0.2">
      <c r="B160" s="30"/>
      <c r="C160" s="31"/>
      <c r="D160" s="31"/>
      <c r="E160" s="31"/>
      <c r="F160" s="31"/>
      <c r="G160" s="31"/>
      <c r="H160" s="31"/>
      <c r="I160" s="32"/>
      <c r="J160" s="183"/>
      <c r="K160" s="183"/>
      <c r="L160" s="183"/>
      <c r="M160" s="183"/>
      <c r="N160" s="183"/>
      <c r="O160" s="183"/>
    </row>
    <row r="161" spans="2:15" s="97" customFormat="1" x14ac:dyDescent="0.2">
      <c r="B161" s="30"/>
      <c r="C161" s="31"/>
      <c r="D161" s="31"/>
      <c r="E161" s="31"/>
      <c r="F161" s="31"/>
      <c r="G161" s="31"/>
      <c r="H161" s="31"/>
      <c r="I161" s="32"/>
      <c r="J161" s="183"/>
      <c r="K161" s="183"/>
      <c r="L161" s="183"/>
      <c r="M161" s="183"/>
      <c r="N161" s="183"/>
      <c r="O161" s="183"/>
    </row>
    <row r="162" spans="2:15" s="97" customFormat="1" x14ac:dyDescent="0.2">
      <c r="B162" s="38"/>
      <c r="C162" s="36"/>
      <c r="D162" s="36"/>
      <c r="E162" s="36"/>
      <c r="F162" s="36"/>
      <c r="G162" s="36"/>
      <c r="H162" s="36"/>
      <c r="I162" s="39"/>
      <c r="J162" s="183"/>
      <c r="K162" s="183"/>
      <c r="L162" s="183"/>
      <c r="M162" s="183"/>
      <c r="N162" s="183"/>
      <c r="O162" s="183"/>
    </row>
    <row r="163" spans="2:15" s="97" customFormat="1" x14ac:dyDescent="0.2">
      <c r="B163" s="183"/>
      <c r="C163" s="183"/>
      <c r="D163" s="183"/>
      <c r="E163" s="183"/>
      <c r="F163" s="183"/>
      <c r="G163" s="183"/>
      <c r="H163" s="183"/>
      <c r="I163" s="183"/>
      <c r="J163" s="183"/>
      <c r="K163" s="183"/>
      <c r="L163" s="183"/>
      <c r="M163" s="183"/>
      <c r="N163" s="183"/>
      <c r="O163" s="183"/>
    </row>
    <row r="164" spans="2:15" s="97" customFormat="1" x14ac:dyDescent="0.2">
      <c r="B164" s="183"/>
      <c r="C164" s="183"/>
      <c r="D164" s="183"/>
      <c r="E164" s="183"/>
      <c r="F164" s="183"/>
      <c r="G164" s="183"/>
      <c r="H164" s="183"/>
      <c r="I164" s="183"/>
      <c r="J164" s="183"/>
      <c r="K164" s="183"/>
      <c r="L164" s="183"/>
      <c r="M164" s="183"/>
      <c r="N164" s="183"/>
      <c r="O164" s="183"/>
    </row>
    <row r="165" spans="2:15" s="97" customFormat="1" x14ac:dyDescent="0.2">
      <c r="B165" s="183"/>
      <c r="C165" s="183"/>
      <c r="D165" s="183"/>
      <c r="E165" s="183"/>
      <c r="F165" s="183"/>
      <c r="G165" s="183"/>
      <c r="H165" s="183"/>
      <c r="I165" s="183"/>
      <c r="J165" s="183"/>
      <c r="K165" s="183"/>
      <c r="L165" s="183"/>
      <c r="M165" s="183"/>
      <c r="N165" s="183"/>
      <c r="O165" s="183"/>
    </row>
  </sheetData>
  <sheetProtection password="E10F" sheet="1"/>
  <mergeCells count="4">
    <mergeCell ref="C13:D13"/>
    <mergeCell ref="C14:D14"/>
    <mergeCell ref="C17:D17"/>
    <mergeCell ref="C18:D18"/>
  </mergeCells>
  <phoneticPr fontId="2" type="noConversion"/>
  <conditionalFormatting sqref="E27 E20:E25">
    <cfRule type="cellIs" dxfId="7" priority="1" stopIfTrue="1" operator="greaterThanOrEqual">
      <formula>100</formula>
    </cfRule>
    <cfRule type="cellIs" dxfId="6" priority="2" stopIfTrue="1" operator="lessThan">
      <formula>100</formula>
    </cfRule>
  </conditionalFormatting>
  <conditionalFormatting sqref="E26">
    <cfRule type="cellIs" dxfId="5" priority="3" stopIfTrue="1" operator="greaterThanOrEqual">
      <formula>100.01</formula>
    </cfRule>
    <cfRule type="cellIs" dxfId="4" priority="4" stopIfTrue="1" operator="lessThan">
      <formula>100.01</formula>
    </cfRule>
  </conditionalFormatting>
  <dataValidations count="4">
    <dataValidation type="list" allowBlank="1" showInputMessage="1" showErrorMessage="1" promptTitle="Select Material" sqref="C12:D12" xr:uid="{00000000-0002-0000-2300-000000000000}">
      <formula1>Materials</formula1>
    </dataValidation>
    <dataValidation allowBlank="1" showInputMessage="1" showErrorMessage="1" promptTitle="Select Material" sqref="D4:D5" xr:uid="{00000000-0002-0000-2300-000001000000}"/>
    <dataValidation type="list" allowBlank="1" showInputMessage="1" showErrorMessage="1" promptTitle="Select Material" sqref="C4" xr:uid="{00000000-0002-0000-2300-000002000000}">
      <formula1>"Steel, Aluminium 1, Aluminium 2"</formula1>
    </dataValidation>
    <dataValidation type="list" allowBlank="1" showInputMessage="1" showErrorMessage="1" promptTitle="Select Material" sqref="C5" xr:uid="{00000000-0002-0000-2300-000003000000}">
      <formula1>Tube_Type</formula1>
    </dataValidation>
  </dataValidations>
  <hyperlinks>
    <hyperlink ref="H29:I29" location="'Cover Sheet'!A1" display="BACK to COVER SHEET" xr:uid="{00000000-0004-0000-2300-000000000000}"/>
  </hyperlinks>
  <pageMargins left="0.75" right="0.75" top="1" bottom="1" header="0.5" footer="0.5"/>
  <pageSetup paperSize="9" scale="67" fitToHeight="2" orientation="portrait" horizontalDpi="4294967294" r:id="rId1"/>
  <headerFooter alignWithMargins="0"/>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0">
    <pageSetUpPr fitToPage="1"/>
  </sheetPr>
  <dimension ref="B1:O164"/>
  <sheetViews>
    <sheetView showGridLines="0" view="pageBreakPreview" zoomScaleNormal="100" zoomScaleSheetLayoutView="100" workbookViewId="0">
      <selection activeCell="B1" sqref="B1"/>
    </sheetView>
  </sheetViews>
  <sheetFormatPr baseColWidth="10" defaultColWidth="9.140625" defaultRowHeight="12.75" x14ac:dyDescent="0.2"/>
  <cols>
    <col min="1" max="1" width="5.140625" style="56" customWidth="1"/>
    <col min="2" max="2" width="46.140625" style="56" customWidth="1"/>
    <col min="3" max="3" width="11.42578125" style="56" customWidth="1"/>
    <col min="4" max="4" width="10.5703125" style="56" customWidth="1"/>
    <col min="5" max="5" width="5.85546875" style="56" customWidth="1"/>
    <col min="6" max="6" width="10" style="56" customWidth="1"/>
    <col min="7" max="8" width="12.42578125" style="97" bestFit="1" customWidth="1"/>
    <col min="9" max="9" width="9.140625" style="97"/>
    <col min="10" max="10" width="5.140625" style="97" customWidth="1"/>
    <col min="11" max="15" width="9.140625" style="97"/>
    <col min="16" max="16384" width="9.140625" style="56"/>
  </cols>
  <sheetData>
    <row r="1" spans="2:15" ht="15.75" x14ac:dyDescent="0.25">
      <c r="B1" s="55" t="s">
        <v>505</v>
      </c>
      <c r="G1" s="183"/>
      <c r="H1" s="183"/>
      <c r="I1" s="183"/>
      <c r="J1" s="183"/>
      <c r="K1" s="183"/>
      <c r="L1" s="183"/>
      <c r="M1" s="183"/>
      <c r="N1" s="183"/>
      <c r="O1" s="183"/>
    </row>
    <row r="2" spans="2:15" x14ac:dyDescent="0.2">
      <c r="B2" s="127"/>
      <c r="G2" s="183"/>
      <c r="H2" s="183"/>
      <c r="I2" s="183"/>
      <c r="J2" s="183"/>
      <c r="K2" s="183"/>
      <c r="L2" s="183"/>
      <c r="M2" s="183"/>
      <c r="N2" s="183"/>
      <c r="O2" s="183"/>
    </row>
    <row r="3" spans="2:15" s="72" customFormat="1" ht="25.5" x14ac:dyDescent="0.2">
      <c r="B3" s="71" t="s">
        <v>18</v>
      </c>
      <c r="C3" s="71" t="s">
        <v>2</v>
      </c>
      <c r="D3" s="71" t="s">
        <v>506</v>
      </c>
      <c r="G3" s="216"/>
      <c r="H3" s="216"/>
      <c r="I3" s="216"/>
      <c r="J3" s="216"/>
      <c r="K3" s="216"/>
      <c r="L3" s="216"/>
      <c r="M3" s="216"/>
      <c r="N3" s="216"/>
      <c r="O3" s="216"/>
    </row>
    <row r="4" spans="2:15" x14ac:dyDescent="0.2">
      <c r="B4" s="58" t="s">
        <v>30</v>
      </c>
      <c r="C4" s="22" t="s">
        <v>7</v>
      </c>
      <c r="D4" s="44" t="str">
        <f>C4</f>
        <v>Steel</v>
      </c>
      <c r="G4" s="183"/>
      <c r="H4" s="183"/>
      <c r="I4" s="183"/>
      <c r="J4" s="183"/>
      <c r="K4" s="183"/>
      <c r="L4" s="183"/>
      <c r="M4" s="183"/>
      <c r="N4" s="183"/>
      <c r="O4" s="183"/>
    </row>
    <row r="5" spans="2:15" x14ac:dyDescent="0.2">
      <c r="B5" s="58" t="s">
        <v>219</v>
      </c>
      <c r="C5" s="22" t="s">
        <v>44</v>
      </c>
      <c r="D5" s="45" t="s">
        <v>153</v>
      </c>
      <c r="G5" s="183"/>
      <c r="H5" s="183"/>
      <c r="I5" s="183"/>
      <c r="J5" s="183"/>
      <c r="K5" s="183"/>
      <c r="L5" s="183"/>
      <c r="M5" s="183"/>
      <c r="N5" s="183"/>
      <c r="O5" s="183"/>
    </row>
    <row r="6" spans="2:15" x14ac:dyDescent="0.2">
      <c r="B6" s="59" t="s">
        <v>19</v>
      </c>
      <c r="C6" s="46" t="str">
        <f>IF(C$4="Steel",MaterialData!C4,IF(C$4="Aluminium 1",MaterialData!D4,IF(C$4="Aluminium 2",MaterialData!E4,IF(C$4="Carbon",MaterialData!F4,IF(C$4="Other 1",MaterialData!G4,IF(C$4="Other 2",MaterialData!H4,IF(C$4="Other 3",MaterialData!I4,0)))))))</f>
        <v>Steel</v>
      </c>
      <c r="D6" s="46" t="str">
        <f>C6</f>
        <v>Steel</v>
      </c>
      <c r="G6" s="183"/>
      <c r="H6" s="183"/>
      <c r="I6" s="183"/>
      <c r="J6" s="183"/>
      <c r="K6" s="183"/>
      <c r="L6" s="183"/>
      <c r="M6" s="183"/>
      <c r="N6" s="183"/>
      <c r="O6" s="183"/>
    </row>
    <row r="7" spans="2:15" x14ac:dyDescent="0.2">
      <c r="B7" s="59" t="s">
        <v>20</v>
      </c>
      <c r="C7" s="46">
        <f>IF(C$4="Steel",MaterialData!C5,IF(C$4="Aluminium 1",MaterialData!D5,IF(C$4="Aluminium 2",MaterialData!E5,IF(C$4="Carbon",MaterialData!F5,IF(C$4="Other 1",MaterialData!G5,IF(C$4="Other 2",MaterialData!H5,IF(C$4="Other 3",MaterialData!I5,0)))))))</f>
        <v>200000000000</v>
      </c>
      <c r="D7" s="46">
        <f>IF(D$4="Steel",MaterialData!C5,IF(D$4="Aluminium 1",MaterialData!D5,IF(D$4="Aluminium 2",MaterialData!E5,IF(D$4="Carbon",MaterialData!F5,IF(D$4="Other 1",MaterialData!G5,IF(D$4="Other 2",MaterialData!H5,IF(D$4="Other 2",MaterialData!I5,0)))))))</f>
        <v>200000000000</v>
      </c>
      <c r="G7" s="183"/>
      <c r="H7" s="183"/>
      <c r="I7" s="184"/>
      <c r="J7" s="183"/>
      <c r="K7" s="183"/>
      <c r="L7" s="183"/>
      <c r="M7" s="183"/>
      <c r="N7" s="183"/>
      <c r="O7" s="183"/>
    </row>
    <row r="8" spans="2:15" x14ac:dyDescent="0.2">
      <c r="B8" s="59" t="s">
        <v>10</v>
      </c>
      <c r="C8" s="46">
        <f>IF(C$4="Steel",MaterialData!C6,IF(C$4="Aluminium 1",MaterialData!D6,IF(C$4="Aluminium 2",MaterialData!E6,IF(C$4="Carbon",MaterialData!F6,IF(C$4="Other 1",MaterialData!G6,IF(C$4="Other 2",MaterialData!H6,IF(C$4="Other 3",MaterialData!I6,0)))))))</f>
        <v>305000000</v>
      </c>
      <c r="D8" s="46">
        <f>IF(D$4="Steel",MaterialData!C6,IF(D$4="Aluminium 1",MaterialData!D6,IF(D$4="Aluminium 2",MaterialData!E6,IF(D$4="Carbon",MaterialData!F6,IF(D$4="Other 1",MaterialData!G6,IF(D$4="Other 2",MaterialData!H6,IF(D$4="Other 2",MaterialData!I6,0)))))))</f>
        <v>305000000</v>
      </c>
      <c r="G8" s="183"/>
      <c r="H8" s="183"/>
      <c r="I8" s="184"/>
      <c r="J8" s="183"/>
      <c r="K8" s="183"/>
      <c r="L8" s="183"/>
      <c r="M8" s="183"/>
      <c r="N8" s="183"/>
      <c r="O8" s="183"/>
    </row>
    <row r="9" spans="2:15" x14ac:dyDescent="0.2">
      <c r="B9" s="59" t="s">
        <v>11</v>
      </c>
      <c r="C9" s="46">
        <f>IF(C$4="Steel",MaterialData!C7,IF(C$4="Aluminium 1",MaterialData!D7,IF(C$4="Aluminium 2",MaterialData!E7,IF(C$4="Carbon",MaterialData!F7,IF(C$4="Other 1",MaterialData!G7,IF(C$4="Other 2",MaterialData!H7,IF(C$4="Other 3",MaterialData!I7,0)))))))</f>
        <v>365000000</v>
      </c>
      <c r="D9" s="46">
        <f>IF(D$4="Steel",MaterialData!C7,IF(D$4="Aluminium 1",MaterialData!D7,IF(D$4="Aluminium 2",MaterialData!E7,IF(D$4="Carbon",MaterialData!F7,IF(D$4="Other 1",MaterialData!G7,IF(D$4="Other 2",MaterialData!H7,IF(D$4="Other 2",MaterialData!I7,0)))))))</f>
        <v>365000000</v>
      </c>
      <c r="G9" s="183"/>
      <c r="H9" s="183"/>
      <c r="I9" s="184"/>
      <c r="J9" s="183"/>
      <c r="K9" s="183"/>
      <c r="L9" s="183"/>
      <c r="M9" s="183"/>
      <c r="N9" s="183"/>
      <c r="O9" s="183"/>
    </row>
    <row r="10" spans="2:15" x14ac:dyDescent="0.2">
      <c r="B10" s="59" t="s">
        <v>9</v>
      </c>
      <c r="C10" s="46">
        <f>IF(C$4="Steel",MaterialData!C8,IF(C$4="Aluminium 1",MaterialData!D8,IF(C$4="Aluminium 2",MaterialData!E8,IF(C$4="Carbon",MaterialData!F8,IF(C$4="Other 1",MaterialData!G8,IF(C$4="Other 2",MaterialData!H8,IF(C$4="Other 3",MaterialData!I8,0)))))))</f>
        <v>180000000</v>
      </c>
      <c r="D10" s="46">
        <f>IF(D$4="Steel",MaterialData!C8,IF(D$4="Aluminium 1",MaterialData!D8,IF(D$4="Aluminium 2",MaterialData!E8,IF(D$4="Carbon",MaterialData!F8,IF(D$4="Other 1",MaterialData!G8,IF(D$4="Other 2",MaterialData!H8,IF(D$4="Other 2",MaterialData!I8,0)))))))</f>
        <v>180000000</v>
      </c>
      <c r="G10" s="183"/>
      <c r="H10" s="183"/>
      <c r="I10" s="184"/>
      <c r="J10" s="183"/>
      <c r="K10" s="183"/>
      <c r="L10" s="183"/>
      <c r="M10" s="183"/>
      <c r="N10" s="183"/>
      <c r="O10" s="183"/>
    </row>
    <row r="11" spans="2:15" x14ac:dyDescent="0.2">
      <c r="B11" s="59" t="s">
        <v>8</v>
      </c>
      <c r="C11" s="46">
        <f>IF(C$4="Steel",MaterialData!C9,IF(C$4="Aluminium 1",MaterialData!D9,IF(C$4="Aluminium 2",MaterialData!E9,IF(C$4="Carbon",MaterialData!F9,IF(C$4="Other 1",MaterialData!G9,IF(C$4="Other 2",MaterialData!H9,IF(C$4="Other 3",MaterialData!I9,0)))))))</f>
        <v>300000000</v>
      </c>
      <c r="D11" s="46">
        <f>IF(D$4="Steel",MaterialData!C9,IF(D$4="Aluminium 1",MaterialData!D9,IF(D$4="Aluminium 2",MaterialData!E9,IF(D$4="Carbon",MaterialData!F9,IF(D$4="Other 1",MaterialData!G9,IF(D$4="Other 2",MaterialData!H9,IF(D$4="Other 2",MaterialData!I9,0)))))))</f>
        <v>300000000</v>
      </c>
      <c r="G11" s="183"/>
      <c r="H11" s="183"/>
      <c r="I11" s="184"/>
      <c r="J11" s="183"/>
      <c r="K11" s="183"/>
      <c r="L11" s="183"/>
      <c r="M11" s="183"/>
      <c r="N11" s="183"/>
      <c r="O11" s="183"/>
    </row>
    <row r="12" spans="2:15" x14ac:dyDescent="0.2">
      <c r="G12" s="183"/>
      <c r="H12" s="183"/>
      <c r="I12" s="184"/>
      <c r="J12" s="183"/>
      <c r="K12" s="183"/>
      <c r="L12" s="183"/>
      <c r="M12" s="183"/>
      <c r="N12" s="183"/>
      <c r="O12" s="183"/>
    </row>
    <row r="13" spans="2:15" x14ac:dyDescent="0.2">
      <c r="B13" s="58" t="s">
        <v>501</v>
      </c>
      <c r="C13" s="654">
        <v>25.4</v>
      </c>
      <c r="D13" s="656"/>
      <c r="G13" s="183"/>
      <c r="H13" s="183"/>
      <c r="I13" s="184"/>
      <c r="J13" s="183"/>
      <c r="K13" s="183"/>
      <c r="L13" s="183"/>
      <c r="M13" s="183"/>
      <c r="N13" s="183"/>
      <c r="O13" s="183"/>
    </row>
    <row r="14" spans="2:15" x14ac:dyDescent="0.2">
      <c r="B14" s="58" t="s">
        <v>502</v>
      </c>
      <c r="C14" s="654">
        <v>1.2</v>
      </c>
      <c r="D14" s="656"/>
      <c r="G14" s="183"/>
      <c r="H14" s="183"/>
      <c r="I14" s="184"/>
      <c r="J14" s="183"/>
      <c r="K14" s="183"/>
      <c r="L14" s="183"/>
      <c r="M14" s="183"/>
      <c r="N14" s="183"/>
      <c r="O14" s="183"/>
    </row>
    <row r="15" spans="2:15" x14ac:dyDescent="0.2">
      <c r="B15" s="264" t="s">
        <v>503</v>
      </c>
      <c r="C15" s="784">
        <v>35</v>
      </c>
      <c r="D15" s="784"/>
      <c r="G15" s="183"/>
      <c r="H15" s="183"/>
      <c r="I15" s="184"/>
      <c r="J15" s="183"/>
      <c r="K15" s="183"/>
      <c r="L15" s="183"/>
      <c r="M15" s="183"/>
      <c r="N15" s="183"/>
      <c r="O15" s="183"/>
    </row>
    <row r="16" spans="2:15" x14ac:dyDescent="0.2">
      <c r="B16" s="264" t="s">
        <v>504</v>
      </c>
      <c r="C16" s="784">
        <v>5</v>
      </c>
      <c r="D16" s="784"/>
      <c r="G16" s="183"/>
      <c r="H16" s="183"/>
      <c r="I16" s="184"/>
      <c r="J16" s="183"/>
      <c r="K16" s="183"/>
      <c r="L16" s="183"/>
      <c r="M16" s="183"/>
      <c r="N16" s="183"/>
      <c r="O16" s="183"/>
    </row>
    <row r="17" spans="2:15" x14ac:dyDescent="0.2">
      <c r="G17" s="183"/>
      <c r="H17" s="183"/>
      <c r="I17" s="184"/>
      <c r="J17" s="183"/>
      <c r="K17" s="183"/>
      <c r="L17" s="183"/>
      <c r="M17" s="183"/>
      <c r="N17" s="183"/>
      <c r="O17" s="183"/>
    </row>
    <row r="18" spans="2:15" s="72" customFormat="1" ht="25.5" x14ac:dyDescent="0.2">
      <c r="B18" s="74"/>
      <c r="C18" s="71" t="s">
        <v>2</v>
      </c>
      <c r="D18" s="71" t="s">
        <v>506</v>
      </c>
      <c r="G18" s="216"/>
      <c r="H18" s="216"/>
      <c r="I18" s="217"/>
      <c r="J18" s="216"/>
      <c r="K18" s="216"/>
      <c r="L18" s="216"/>
      <c r="M18" s="216"/>
      <c r="N18" s="216"/>
      <c r="O18" s="216"/>
    </row>
    <row r="19" spans="2:15" x14ac:dyDescent="0.2">
      <c r="B19" s="59" t="s">
        <v>508</v>
      </c>
      <c r="C19" s="411">
        <f>C13/2000</f>
        <v>1.2699999999999999E-2</v>
      </c>
      <c r="D19" s="412">
        <f>C15/2000</f>
        <v>1.7500000000000002E-2</v>
      </c>
      <c r="G19" s="183"/>
      <c r="H19" s="183"/>
      <c r="I19" s="184"/>
      <c r="J19" s="183"/>
      <c r="K19" s="183"/>
      <c r="L19" s="183"/>
      <c r="M19" s="183"/>
      <c r="N19" s="183"/>
      <c r="O19" s="183"/>
    </row>
    <row r="20" spans="2:15" x14ac:dyDescent="0.2">
      <c r="B20" s="59" t="s">
        <v>509</v>
      </c>
      <c r="C20" s="411">
        <f>C19-C14/1000</f>
        <v>1.15E-2</v>
      </c>
      <c r="D20" s="412">
        <f>D19-C16/1000</f>
        <v>1.2500000000000001E-2</v>
      </c>
      <c r="G20" s="183"/>
      <c r="H20" s="183"/>
      <c r="I20" s="184"/>
      <c r="J20" s="183"/>
      <c r="K20" s="183"/>
      <c r="L20" s="183"/>
      <c r="M20" s="218"/>
      <c r="N20" s="183"/>
      <c r="O20" s="183"/>
    </row>
    <row r="21" spans="2:15" x14ac:dyDescent="0.2">
      <c r="B21" s="59" t="s">
        <v>511</v>
      </c>
      <c r="C21" s="417">
        <f>PI()*(C19^2-C20^2)</f>
        <v>9.1231850660247613E-5</v>
      </c>
      <c r="D21" s="418">
        <f>0.5*PI()*(D19^2-D20^2)</f>
        <v>2.3561944901923451E-4</v>
      </c>
      <c r="G21" s="183"/>
      <c r="H21" s="183"/>
      <c r="I21" s="184"/>
      <c r="J21" s="183"/>
      <c r="K21" s="183"/>
      <c r="L21" s="183"/>
      <c r="M21" s="218"/>
      <c r="N21" s="183"/>
      <c r="O21" s="183"/>
    </row>
    <row r="22" spans="2:15" x14ac:dyDescent="0.2">
      <c r="B22" s="58" t="s">
        <v>510</v>
      </c>
      <c r="C22" s="332" t="s">
        <v>153</v>
      </c>
      <c r="D22" s="419">
        <f>(4*(D19^3-D20^3))/(3*PI()*(D19^2-D20^2))</f>
        <v>9.6377159983425525E-3</v>
      </c>
      <c r="E22" s="321"/>
      <c r="F22" s="415"/>
      <c r="G22" s="416"/>
      <c r="H22" s="184"/>
      <c r="I22" s="183"/>
      <c r="J22" s="183"/>
      <c r="K22" s="183"/>
      <c r="L22" s="183"/>
      <c r="M22" s="183"/>
      <c r="N22" s="183"/>
      <c r="O22" s="183"/>
    </row>
    <row r="23" spans="2:15" x14ac:dyDescent="0.2">
      <c r="B23" s="59" t="s">
        <v>3</v>
      </c>
      <c r="C23" s="413">
        <f>IF(C5="Round",(C19^4-C20^4)*PI()/4,((2*C19)^4-(2*C20)^4)/12)</f>
        <v>6.6950493607022693E-9</v>
      </c>
      <c r="D23" s="397">
        <f>PI()/8*(D19^4-D20^4)-(D21*D22^2)</f>
        <v>5.3578520466127722E-9</v>
      </c>
      <c r="E23" s="60"/>
      <c r="F23" s="415"/>
      <c r="G23" s="416"/>
      <c r="H23" s="414"/>
      <c r="I23" s="184"/>
      <c r="J23" s="183"/>
      <c r="K23" s="183"/>
      <c r="L23" s="184"/>
      <c r="M23" s="218"/>
      <c r="N23" s="183"/>
      <c r="O23" s="183"/>
    </row>
    <row r="24" spans="2:15" x14ac:dyDescent="0.2">
      <c r="B24" s="59" t="s">
        <v>0</v>
      </c>
      <c r="C24" s="46">
        <f>C7*C23</f>
        <v>1339.0098721404538</v>
      </c>
      <c r="D24" s="331" t="s">
        <v>153</v>
      </c>
      <c r="E24" s="321"/>
      <c r="F24" s="415"/>
      <c r="G24" s="416"/>
      <c r="H24" s="414"/>
      <c r="I24" s="184"/>
      <c r="J24" s="183"/>
      <c r="K24" s="183"/>
      <c r="L24" s="183"/>
      <c r="M24" s="183"/>
      <c r="N24" s="183"/>
      <c r="O24" s="183"/>
    </row>
    <row r="25" spans="2:15" x14ac:dyDescent="0.2">
      <c r="B25" s="58" t="s">
        <v>513</v>
      </c>
      <c r="C25" s="46">
        <f>120000/6</f>
        <v>20000</v>
      </c>
      <c r="D25" s="331" t="s">
        <v>153</v>
      </c>
      <c r="E25" s="321"/>
      <c r="G25" s="218"/>
      <c r="H25" s="183"/>
      <c r="I25" s="183"/>
      <c r="J25" s="183"/>
      <c r="K25" s="183"/>
      <c r="L25" s="183"/>
      <c r="M25" s="183"/>
      <c r="N25" s="183"/>
      <c r="O25" s="183"/>
    </row>
    <row r="26" spans="2:15" x14ac:dyDescent="0.2">
      <c r="B26" s="58" t="s">
        <v>507</v>
      </c>
      <c r="C26" s="46">
        <f>C11</f>
        <v>300000000</v>
      </c>
      <c r="D26" s="331">
        <f>(C25*0.5*D19*(D19-D22))/D23</f>
        <v>256800614.93297413</v>
      </c>
      <c r="E26" s="54">
        <f>100*C26/D26</f>
        <v>116.82215016436042</v>
      </c>
      <c r="G26" s="184"/>
      <c r="H26" s="414"/>
      <c r="I26" s="184"/>
      <c r="J26" s="183"/>
      <c r="K26" s="183"/>
      <c r="L26" s="183"/>
      <c r="M26" s="183"/>
      <c r="N26" s="183"/>
      <c r="O26" s="183"/>
    </row>
    <row r="27" spans="2:15" x14ac:dyDescent="0.2">
      <c r="B27" s="75" t="s">
        <v>172</v>
      </c>
      <c r="G27" s="183"/>
      <c r="H27" s="472" t="s">
        <v>565</v>
      </c>
      <c r="I27" s="472"/>
      <c r="J27" s="183"/>
      <c r="K27" s="183"/>
      <c r="L27" s="183"/>
      <c r="M27" s="183"/>
      <c r="N27" s="183"/>
      <c r="O27" s="183"/>
    </row>
    <row r="28" spans="2:15" x14ac:dyDescent="0.2">
      <c r="B28" s="75" t="s">
        <v>512</v>
      </c>
      <c r="D28" s="60"/>
      <c r="G28" s="183"/>
      <c r="H28" s="183"/>
      <c r="I28" s="183"/>
      <c r="J28" s="183"/>
      <c r="K28" s="183"/>
      <c r="L28" s="183"/>
      <c r="M28" s="183"/>
      <c r="N28" s="183"/>
      <c r="O28" s="183"/>
    </row>
    <row r="29" spans="2:15" x14ac:dyDescent="0.2">
      <c r="B29" s="185"/>
      <c r="C29" s="183"/>
      <c r="D29" s="184"/>
      <c r="E29" s="183"/>
      <c r="F29" s="183"/>
      <c r="G29" s="183"/>
      <c r="H29" s="183"/>
      <c r="I29" s="183"/>
      <c r="J29" s="183"/>
      <c r="K29" s="183"/>
      <c r="L29" s="183"/>
      <c r="M29" s="183"/>
      <c r="N29" s="183"/>
      <c r="O29" s="183"/>
    </row>
    <row r="30" spans="2:15" s="97" customFormat="1" x14ac:dyDescent="0.2">
      <c r="B30" s="24"/>
      <c r="C30" s="25"/>
      <c r="D30" s="25"/>
      <c r="E30" s="25"/>
      <c r="F30" s="25"/>
      <c r="G30" s="25"/>
      <c r="H30" s="25"/>
      <c r="I30" s="26"/>
      <c r="J30" s="183"/>
      <c r="K30" s="183"/>
      <c r="L30" s="183"/>
      <c r="M30" s="183"/>
      <c r="N30" s="183"/>
      <c r="O30" s="183"/>
    </row>
    <row r="31" spans="2:15" s="97" customFormat="1" x14ac:dyDescent="0.2">
      <c r="B31" s="30"/>
      <c r="C31" s="31"/>
      <c r="D31" s="31"/>
      <c r="E31" s="31"/>
      <c r="F31" s="31"/>
      <c r="G31" s="31"/>
      <c r="H31" s="31"/>
      <c r="I31" s="32"/>
      <c r="J31" s="183"/>
      <c r="K31" s="183"/>
      <c r="L31" s="183"/>
      <c r="M31" s="183"/>
      <c r="N31" s="183"/>
      <c r="O31" s="183"/>
    </row>
    <row r="32" spans="2:15" s="97" customFormat="1" x14ac:dyDescent="0.2">
      <c r="B32" s="30"/>
      <c r="C32" s="31"/>
      <c r="D32" s="31"/>
      <c r="E32" s="31"/>
      <c r="F32" s="31"/>
      <c r="G32" s="31"/>
      <c r="H32" s="31"/>
      <c r="I32" s="32"/>
      <c r="J32" s="183"/>
      <c r="K32" s="183"/>
      <c r="L32" s="183"/>
      <c r="M32" s="183"/>
      <c r="N32" s="183"/>
      <c r="O32" s="183"/>
    </row>
    <row r="33" spans="2:15" s="97" customFormat="1" x14ac:dyDescent="0.2">
      <c r="B33" s="30"/>
      <c r="C33" s="31"/>
      <c r="D33" s="31"/>
      <c r="E33" s="31"/>
      <c r="F33" s="31"/>
      <c r="G33" s="31"/>
      <c r="H33" s="31"/>
      <c r="I33" s="32"/>
      <c r="J33" s="183"/>
      <c r="K33" s="183"/>
      <c r="L33" s="183"/>
      <c r="M33" s="183"/>
      <c r="N33" s="183"/>
      <c r="O33" s="183"/>
    </row>
    <row r="34" spans="2:15" s="97" customFormat="1" x14ac:dyDescent="0.2">
      <c r="B34" s="30"/>
      <c r="C34" s="31"/>
      <c r="D34" s="31"/>
      <c r="E34" s="31"/>
      <c r="F34" s="31"/>
      <c r="G34" s="31"/>
      <c r="H34" s="31"/>
      <c r="I34" s="32"/>
      <c r="J34" s="183"/>
      <c r="K34" s="183"/>
      <c r="L34" s="183"/>
      <c r="M34" s="183"/>
      <c r="N34" s="183"/>
      <c r="O34" s="183"/>
    </row>
    <row r="35" spans="2:15" s="97" customFormat="1" x14ac:dyDescent="0.2">
      <c r="B35" s="30"/>
      <c r="C35" s="31"/>
      <c r="D35" s="31"/>
      <c r="E35" s="31"/>
      <c r="F35" s="31"/>
      <c r="G35" s="31"/>
      <c r="H35" s="31"/>
      <c r="I35" s="32"/>
      <c r="J35" s="183"/>
      <c r="K35" s="183"/>
      <c r="L35" s="183"/>
      <c r="M35" s="183"/>
      <c r="N35" s="183"/>
      <c r="O35" s="183"/>
    </row>
    <row r="36" spans="2:15" s="97" customFormat="1" x14ac:dyDescent="0.2">
      <c r="B36" s="30"/>
      <c r="C36" s="31"/>
      <c r="D36" s="31"/>
      <c r="E36" s="31"/>
      <c r="F36" s="31"/>
      <c r="G36" s="31"/>
      <c r="H36" s="31"/>
      <c r="I36" s="32"/>
      <c r="J36" s="183"/>
      <c r="K36" s="183"/>
      <c r="L36" s="183"/>
      <c r="M36" s="183"/>
      <c r="N36" s="183"/>
      <c r="O36" s="183"/>
    </row>
    <row r="37" spans="2:15" s="97" customFormat="1" x14ac:dyDescent="0.2">
      <c r="B37" s="30"/>
      <c r="C37" s="31"/>
      <c r="D37" s="31"/>
      <c r="E37" s="31"/>
      <c r="F37" s="31"/>
      <c r="G37" s="31"/>
      <c r="H37" s="31"/>
      <c r="I37" s="32"/>
      <c r="J37" s="183"/>
      <c r="K37" s="183"/>
      <c r="L37" s="183"/>
      <c r="M37" s="183"/>
      <c r="N37" s="183"/>
      <c r="O37" s="183"/>
    </row>
    <row r="38" spans="2:15" s="97" customFormat="1" x14ac:dyDescent="0.2">
      <c r="B38" s="30"/>
      <c r="C38" s="31"/>
      <c r="D38" s="31"/>
      <c r="E38" s="31"/>
      <c r="F38" s="31"/>
      <c r="G38" s="31"/>
      <c r="H38" s="31"/>
      <c r="I38" s="32"/>
      <c r="J38" s="183"/>
      <c r="K38" s="183"/>
      <c r="L38" s="183"/>
      <c r="M38" s="183"/>
      <c r="N38" s="183"/>
      <c r="O38" s="183"/>
    </row>
    <row r="39" spans="2:15" s="97" customFormat="1" x14ac:dyDescent="0.2">
      <c r="B39" s="30"/>
      <c r="C39" s="31"/>
      <c r="D39" s="31"/>
      <c r="E39" s="31"/>
      <c r="F39" s="31"/>
      <c r="G39" s="31"/>
      <c r="H39" s="31"/>
      <c r="I39" s="32"/>
      <c r="J39" s="183"/>
      <c r="K39" s="183"/>
      <c r="L39" s="183"/>
      <c r="M39" s="183"/>
      <c r="N39" s="183"/>
      <c r="O39" s="183"/>
    </row>
    <row r="40" spans="2:15" s="97" customFormat="1" x14ac:dyDescent="0.2">
      <c r="B40" s="30"/>
      <c r="C40" s="31"/>
      <c r="D40" s="31"/>
      <c r="E40" s="31"/>
      <c r="F40" s="31"/>
      <c r="G40" s="31"/>
      <c r="H40" s="31"/>
      <c r="I40" s="32"/>
      <c r="J40" s="183"/>
      <c r="K40" s="183"/>
      <c r="L40" s="183"/>
      <c r="M40" s="183"/>
      <c r="N40" s="183"/>
      <c r="O40" s="183"/>
    </row>
    <row r="41" spans="2:15" s="97" customFormat="1" x14ac:dyDescent="0.2">
      <c r="B41" s="30"/>
      <c r="C41" s="31"/>
      <c r="D41" s="31"/>
      <c r="E41" s="31"/>
      <c r="F41" s="31"/>
      <c r="G41" s="31"/>
      <c r="H41" s="31"/>
      <c r="I41" s="32"/>
      <c r="J41" s="183"/>
      <c r="K41" s="183"/>
      <c r="L41" s="183"/>
      <c r="M41" s="183"/>
      <c r="N41" s="183"/>
      <c r="O41" s="183"/>
    </row>
    <row r="42" spans="2:15" s="97" customFormat="1" x14ac:dyDescent="0.2">
      <c r="B42" s="30"/>
      <c r="C42" s="31"/>
      <c r="D42" s="31"/>
      <c r="E42" s="31"/>
      <c r="F42" s="31"/>
      <c r="G42" s="31"/>
      <c r="H42" s="31"/>
      <c r="I42" s="32"/>
      <c r="J42" s="183"/>
      <c r="K42" s="183"/>
      <c r="L42" s="183"/>
      <c r="M42" s="183"/>
      <c r="N42" s="183"/>
      <c r="O42" s="183"/>
    </row>
    <row r="43" spans="2:15" s="97" customFormat="1" x14ac:dyDescent="0.2">
      <c r="B43" s="30"/>
      <c r="C43" s="31"/>
      <c r="D43" s="31"/>
      <c r="E43" s="31"/>
      <c r="F43" s="31"/>
      <c r="G43" s="31"/>
      <c r="H43" s="31"/>
      <c r="I43" s="32"/>
      <c r="J43" s="183"/>
      <c r="K43" s="183"/>
      <c r="L43" s="183"/>
      <c r="M43" s="183"/>
      <c r="N43" s="183"/>
      <c r="O43" s="183"/>
    </row>
    <row r="44" spans="2:15" s="97" customFormat="1" x14ac:dyDescent="0.2">
      <c r="B44" s="30"/>
      <c r="C44" s="31"/>
      <c r="D44" s="31"/>
      <c r="E44" s="31"/>
      <c r="F44" s="31"/>
      <c r="G44" s="31"/>
      <c r="H44" s="31"/>
      <c r="I44" s="32"/>
      <c r="J44" s="183"/>
      <c r="K44" s="183"/>
      <c r="L44" s="183"/>
      <c r="M44" s="183"/>
      <c r="N44" s="183"/>
      <c r="O44" s="183"/>
    </row>
    <row r="45" spans="2:15" s="97" customFormat="1" x14ac:dyDescent="0.2">
      <c r="B45" s="30"/>
      <c r="C45" s="31"/>
      <c r="D45" s="31"/>
      <c r="E45" s="31"/>
      <c r="F45" s="31"/>
      <c r="G45" s="31"/>
      <c r="H45" s="31"/>
      <c r="I45" s="32"/>
      <c r="J45" s="183"/>
      <c r="K45" s="183"/>
      <c r="L45" s="183"/>
      <c r="M45" s="183"/>
      <c r="N45" s="183"/>
      <c r="O45" s="183"/>
    </row>
    <row r="46" spans="2:15" s="97" customFormat="1" x14ac:dyDescent="0.2">
      <c r="B46" s="30"/>
      <c r="C46" s="31"/>
      <c r="D46" s="31"/>
      <c r="E46" s="31"/>
      <c r="F46" s="31"/>
      <c r="G46" s="31"/>
      <c r="H46" s="31"/>
      <c r="I46" s="32"/>
      <c r="J46" s="183"/>
      <c r="K46" s="183"/>
      <c r="L46" s="183"/>
      <c r="M46" s="183"/>
      <c r="N46" s="183"/>
      <c r="O46" s="183"/>
    </row>
    <row r="47" spans="2:15" s="97" customFormat="1" x14ac:dyDescent="0.2">
      <c r="B47" s="30"/>
      <c r="C47" s="31"/>
      <c r="D47" s="31"/>
      <c r="E47" s="31"/>
      <c r="F47" s="31"/>
      <c r="G47" s="31"/>
      <c r="H47" s="31"/>
      <c r="I47" s="32"/>
      <c r="J47" s="183"/>
      <c r="K47" s="183"/>
      <c r="L47" s="183"/>
      <c r="M47" s="183"/>
      <c r="N47" s="183"/>
      <c r="O47" s="183"/>
    </row>
    <row r="48" spans="2:15" s="97" customFormat="1" x14ac:dyDescent="0.2">
      <c r="B48" s="30"/>
      <c r="C48" s="31"/>
      <c r="D48" s="31"/>
      <c r="E48" s="31"/>
      <c r="F48" s="31"/>
      <c r="G48" s="31"/>
      <c r="H48" s="31"/>
      <c r="I48" s="32"/>
      <c r="J48" s="183"/>
      <c r="K48" s="183"/>
      <c r="L48" s="183"/>
      <c r="M48" s="183"/>
      <c r="N48" s="183"/>
      <c r="O48" s="183"/>
    </row>
    <row r="49" spans="2:15" s="97" customFormat="1" x14ac:dyDescent="0.2">
      <c r="B49" s="30"/>
      <c r="C49" s="31"/>
      <c r="D49" s="31"/>
      <c r="E49" s="31"/>
      <c r="F49" s="31"/>
      <c r="G49" s="31"/>
      <c r="H49" s="31"/>
      <c r="I49" s="32"/>
      <c r="J49" s="183"/>
      <c r="K49" s="183"/>
      <c r="L49" s="183"/>
      <c r="M49" s="183"/>
      <c r="N49" s="183"/>
      <c r="O49" s="183"/>
    </row>
    <row r="50" spans="2:15" s="97" customFormat="1" x14ac:dyDescent="0.2">
      <c r="B50" s="30"/>
      <c r="C50" s="31"/>
      <c r="D50" s="31"/>
      <c r="E50" s="31"/>
      <c r="F50" s="31"/>
      <c r="G50" s="31"/>
      <c r="H50" s="31"/>
      <c r="I50" s="32"/>
      <c r="J50" s="183"/>
      <c r="K50" s="183"/>
      <c r="L50" s="183"/>
      <c r="M50" s="183"/>
      <c r="N50" s="183"/>
      <c r="O50" s="183"/>
    </row>
    <row r="51" spans="2:15" s="97" customFormat="1" x14ac:dyDescent="0.2">
      <c r="B51" s="30"/>
      <c r="C51" s="31"/>
      <c r="D51" s="31"/>
      <c r="E51" s="31"/>
      <c r="F51" s="31"/>
      <c r="G51" s="31"/>
      <c r="H51" s="31"/>
      <c r="I51" s="32"/>
      <c r="J51" s="183"/>
      <c r="K51" s="183"/>
      <c r="L51" s="183"/>
      <c r="M51" s="183"/>
      <c r="N51" s="183"/>
      <c r="O51" s="183"/>
    </row>
    <row r="52" spans="2:15" s="97" customFormat="1" x14ac:dyDescent="0.2">
      <c r="B52" s="30"/>
      <c r="C52" s="31"/>
      <c r="D52" s="31"/>
      <c r="E52" s="31"/>
      <c r="F52" s="31"/>
      <c r="G52" s="31"/>
      <c r="H52" s="31"/>
      <c r="I52" s="32"/>
      <c r="J52" s="183"/>
      <c r="K52" s="183"/>
      <c r="L52" s="183"/>
      <c r="M52" s="183"/>
      <c r="N52" s="183"/>
      <c r="O52" s="183"/>
    </row>
    <row r="53" spans="2:15" s="97" customFormat="1" x14ac:dyDescent="0.2">
      <c r="B53" s="30"/>
      <c r="C53" s="31"/>
      <c r="D53" s="31"/>
      <c r="E53" s="31"/>
      <c r="F53" s="31"/>
      <c r="G53" s="31"/>
      <c r="H53" s="31"/>
      <c r="I53" s="32"/>
      <c r="J53" s="183"/>
      <c r="K53" s="183"/>
      <c r="L53" s="183"/>
      <c r="M53" s="183"/>
      <c r="N53" s="183"/>
      <c r="O53" s="183"/>
    </row>
    <row r="54" spans="2:15" s="97" customFormat="1" x14ac:dyDescent="0.2">
      <c r="B54" s="30"/>
      <c r="C54" s="31"/>
      <c r="D54" s="31"/>
      <c r="E54" s="31"/>
      <c r="F54" s="31"/>
      <c r="G54" s="31"/>
      <c r="H54" s="31"/>
      <c r="I54" s="32"/>
      <c r="J54" s="183"/>
      <c r="K54" s="183"/>
      <c r="L54" s="183"/>
      <c r="M54" s="183"/>
      <c r="N54" s="183"/>
      <c r="O54" s="183"/>
    </row>
    <row r="55" spans="2:15" s="97" customFormat="1" x14ac:dyDescent="0.2">
      <c r="B55" s="30"/>
      <c r="C55" s="31"/>
      <c r="D55" s="31"/>
      <c r="E55" s="31"/>
      <c r="F55" s="31"/>
      <c r="G55" s="31"/>
      <c r="H55" s="31"/>
      <c r="I55" s="32"/>
      <c r="J55" s="183"/>
      <c r="K55" s="183"/>
      <c r="L55" s="183"/>
      <c r="M55" s="183"/>
      <c r="N55" s="183"/>
      <c r="O55" s="183"/>
    </row>
    <row r="56" spans="2:15" s="97" customFormat="1" x14ac:dyDescent="0.2">
      <c r="B56" s="30"/>
      <c r="C56" s="31"/>
      <c r="D56" s="31"/>
      <c r="E56" s="31"/>
      <c r="F56" s="31"/>
      <c r="G56" s="31"/>
      <c r="H56" s="31"/>
      <c r="I56" s="32"/>
      <c r="J56" s="183"/>
      <c r="K56" s="183"/>
      <c r="L56" s="183"/>
      <c r="M56" s="183"/>
      <c r="N56" s="183"/>
      <c r="O56" s="183"/>
    </row>
    <row r="57" spans="2:15" s="97" customFormat="1" x14ac:dyDescent="0.2">
      <c r="B57" s="30"/>
      <c r="C57" s="31"/>
      <c r="D57" s="31"/>
      <c r="E57" s="31"/>
      <c r="F57" s="31"/>
      <c r="G57" s="31"/>
      <c r="H57" s="31"/>
      <c r="I57" s="32"/>
      <c r="J57" s="183"/>
      <c r="K57" s="183"/>
      <c r="L57" s="183"/>
      <c r="M57" s="183"/>
      <c r="N57" s="183"/>
      <c r="O57" s="183"/>
    </row>
    <row r="58" spans="2:15" s="97" customFormat="1" x14ac:dyDescent="0.2">
      <c r="B58" s="30"/>
      <c r="C58" s="31"/>
      <c r="D58" s="31"/>
      <c r="E58" s="31"/>
      <c r="F58" s="31"/>
      <c r="G58" s="31"/>
      <c r="H58" s="31"/>
      <c r="I58" s="32"/>
      <c r="J58" s="183"/>
      <c r="K58" s="183"/>
      <c r="L58" s="183"/>
      <c r="M58" s="183"/>
      <c r="N58" s="183"/>
      <c r="O58" s="183"/>
    </row>
    <row r="59" spans="2:15" s="97" customFormat="1" x14ac:dyDescent="0.2">
      <c r="B59" s="30"/>
      <c r="C59" s="31"/>
      <c r="D59" s="31"/>
      <c r="E59" s="31"/>
      <c r="F59" s="31"/>
      <c r="G59" s="31"/>
      <c r="H59" s="31"/>
      <c r="I59" s="32"/>
      <c r="J59" s="183"/>
      <c r="K59" s="183"/>
      <c r="L59" s="183"/>
      <c r="M59" s="183"/>
      <c r="N59" s="183"/>
      <c r="O59" s="183"/>
    </row>
    <row r="60" spans="2:15" s="97" customFormat="1" x14ac:dyDescent="0.2">
      <c r="B60" s="30"/>
      <c r="C60" s="31"/>
      <c r="D60" s="31"/>
      <c r="E60" s="31"/>
      <c r="F60" s="31"/>
      <c r="G60" s="31"/>
      <c r="H60" s="31"/>
      <c r="I60" s="32"/>
      <c r="J60" s="183"/>
      <c r="K60" s="183"/>
      <c r="L60" s="183"/>
      <c r="M60" s="183"/>
      <c r="N60" s="183"/>
      <c r="O60" s="183"/>
    </row>
    <row r="61" spans="2:15" s="97" customFormat="1" x14ac:dyDescent="0.2">
      <c r="B61" s="30"/>
      <c r="C61" s="31"/>
      <c r="D61" s="31"/>
      <c r="E61" s="31"/>
      <c r="F61" s="31"/>
      <c r="G61" s="31"/>
      <c r="H61" s="31"/>
      <c r="I61" s="32"/>
      <c r="J61" s="183"/>
      <c r="K61" s="183"/>
      <c r="L61" s="183"/>
      <c r="M61" s="183"/>
      <c r="N61" s="183"/>
      <c r="O61" s="183"/>
    </row>
    <row r="62" spans="2:15" s="97" customFormat="1" x14ac:dyDescent="0.2">
      <c r="B62" s="30"/>
      <c r="C62" s="31"/>
      <c r="D62" s="31"/>
      <c r="E62" s="31"/>
      <c r="F62" s="31"/>
      <c r="G62" s="31"/>
      <c r="H62" s="31"/>
      <c r="I62" s="32"/>
      <c r="J62" s="183"/>
      <c r="K62" s="183"/>
      <c r="L62" s="183"/>
      <c r="M62" s="183"/>
      <c r="N62" s="183"/>
      <c r="O62" s="183"/>
    </row>
    <row r="63" spans="2:15" s="97" customFormat="1" x14ac:dyDescent="0.2">
      <c r="B63" s="30"/>
      <c r="C63" s="31"/>
      <c r="D63" s="31"/>
      <c r="E63" s="31"/>
      <c r="F63" s="31"/>
      <c r="G63" s="31"/>
      <c r="H63" s="31"/>
      <c r="I63" s="32"/>
      <c r="J63" s="183"/>
      <c r="K63" s="183"/>
      <c r="L63" s="183"/>
      <c r="M63" s="183"/>
      <c r="N63" s="183"/>
      <c r="O63" s="183"/>
    </row>
    <row r="64" spans="2:15" s="97" customFormat="1" x14ac:dyDescent="0.2">
      <c r="B64" s="30"/>
      <c r="C64" s="31"/>
      <c r="D64" s="31"/>
      <c r="E64" s="31"/>
      <c r="F64" s="31"/>
      <c r="G64" s="31"/>
      <c r="H64" s="31"/>
      <c r="I64" s="32"/>
      <c r="J64" s="183"/>
      <c r="K64" s="183"/>
      <c r="L64" s="183"/>
      <c r="M64" s="183"/>
      <c r="N64" s="183"/>
      <c r="O64" s="183"/>
    </row>
    <row r="65" spans="2:15" s="97" customFormat="1" x14ac:dyDescent="0.2">
      <c r="B65" s="30"/>
      <c r="C65" s="31"/>
      <c r="D65" s="31"/>
      <c r="E65" s="31"/>
      <c r="F65" s="31"/>
      <c r="G65" s="31"/>
      <c r="H65" s="31"/>
      <c r="I65" s="32"/>
      <c r="J65" s="183"/>
      <c r="K65" s="183"/>
      <c r="L65" s="183"/>
      <c r="M65" s="183"/>
      <c r="N65" s="183"/>
      <c r="O65" s="183"/>
    </row>
    <row r="66" spans="2:15" s="97" customFormat="1" x14ac:dyDescent="0.2">
      <c r="B66" s="30"/>
      <c r="C66" s="31"/>
      <c r="D66" s="31"/>
      <c r="E66" s="31"/>
      <c r="F66" s="31"/>
      <c r="G66" s="31"/>
      <c r="H66" s="31"/>
      <c r="I66" s="32"/>
      <c r="J66" s="183"/>
      <c r="K66" s="183"/>
      <c r="L66" s="183"/>
      <c r="M66" s="183"/>
      <c r="N66" s="183"/>
      <c r="O66" s="183"/>
    </row>
    <row r="67" spans="2:15" s="97" customFormat="1" x14ac:dyDescent="0.2">
      <c r="B67" s="30"/>
      <c r="C67" s="31"/>
      <c r="D67" s="31"/>
      <c r="E67" s="31"/>
      <c r="F67" s="31"/>
      <c r="G67" s="31"/>
      <c r="H67" s="31"/>
      <c r="I67" s="32"/>
      <c r="J67" s="183"/>
      <c r="K67" s="183"/>
      <c r="L67" s="183"/>
      <c r="M67" s="183"/>
      <c r="N67" s="183"/>
      <c r="O67" s="183"/>
    </row>
    <row r="68" spans="2:15" s="97" customFormat="1" x14ac:dyDescent="0.2">
      <c r="B68" s="30"/>
      <c r="C68" s="31"/>
      <c r="D68" s="31"/>
      <c r="E68" s="31"/>
      <c r="F68" s="31"/>
      <c r="G68" s="31"/>
      <c r="H68" s="31"/>
      <c r="I68" s="32"/>
      <c r="J68" s="183"/>
      <c r="K68" s="183"/>
      <c r="L68" s="183"/>
      <c r="M68" s="183"/>
      <c r="N68" s="183"/>
      <c r="O68" s="183"/>
    </row>
    <row r="69" spans="2:15" s="97" customFormat="1" x14ac:dyDescent="0.2">
      <c r="B69" s="30"/>
      <c r="C69" s="31"/>
      <c r="D69" s="31"/>
      <c r="E69" s="31"/>
      <c r="F69" s="31"/>
      <c r="G69" s="31"/>
      <c r="H69" s="31"/>
      <c r="I69" s="32"/>
      <c r="J69" s="183"/>
      <c r="K69" s="183"/>
      <c r="L69" s="183"/>
      <c r="M69" s="183"/>
      <c r="N69" s="183"/>
      <c r="O69" s="183"/>
    </row>
    <row r="70" spans="2:15" s="97" customFormat="1" x14ac:dyDescent="0.2">
      <c r="B70" s="30"/>
      <c r="C70" s="31"/>
      <c r="D70" s="31"/>
      <c r="E70" s="31"/>
      <c r="F70" s="31"/>
      <c r="G70" s="31"/>
      <c r="H70" s="31"/>
      <c r="I70" s="32"/>
      <c r="J70" s="183"/>
      <c r="K70" s="183"/>
      <c r="L70" s="183"/>
      <c r="M70" s="183"/>
      <c r="N70" s="183"/>
      <c r="O70" s="183"/>
    </row>
    <row r="71" spans="2:15" s="97" customFormat="1" x14ac:dyDescent="0.2">
      <c r="B71" s="30"/>
      <c r="C71" s="31"/>
      <c r="D71" s="31"/>
      <c r="E71" s="31"/>
      <c r="F71" s="31"/>
      <c r="G71" s="31"/>
      <c r="H71" s="31"/>
      <c r="I71" s="32"/>
      <c r="J71" s="183"/>
      <c r="K71" s="183"/>
      <c r="L71" s="183"/>
      <c r="M71" s="183"/>
      <c r="N71" s="183"/>
      <c r="O71" s="183"/>
    </row>
    <row r="72" spans="2:15" s="97" customFormat="1" x14ac:dyDescent="0.2">
      <c r="B72" s="30"/>
      <c r="C72" s="31"/>
      <c r="D72" s="31"/>
      <c r="E72" s="31"/>
      <c r="F72" s="31"/>
      <c r="G72" s="31"/>
      <c r="H72" s="31"/>
      <c r="I72" s="32"/>
      <c r="J72" s="183"/>
      <c r="K72" s="183"/>
      <c r="L72" s="183"/>
      <c r="M72" s="183"/>
      <c r="N72" s="183"/>
      <c r="O72" s="183"/>
    </row>
    <row r="73" spans="2:15" s="97" customFormat="1" x14ac:dyDescent="0.2">
      <c r="B73" s="30"/>
      <c r="C73" s="31"/>
      <c r="D73" s="31"/>
      <c r="E73" s="31"/>
      <c r="F73" s="31"/>
      <c r="G73" s="31"/>
      <c r="H73" s="31"/>
      <c r="I73" s="32"/>
      <c r="J73" s="183"/>
      <c r="K73" s="183"/>
      <c r="L73" s="183"/>
      <c r="M73" s="183"/>
      <c r="N73" s="183"/>
      <c r="O73" s="183"/>
    </row>
    <row r="74" spans="2:15" s="97" customFormat="1" x14ac:dyDescent="0.2">
      <c r="B74" s="30"/>
      <c r="C74" s="31"/>
      <c r="D74" s="31"/>
      <c r="E74" s="31"/>
      <c r="F74" s="31"/>
      <c r="G74" s="31"/>
      <c r="H74" s="31"/>
      <c r="I74" s="32"/>
      <c r="J74" s="183"/>
      <c r="K74" s="183"/>
      <c r="L74" s="183"/>
      <c r="M74" s="183"/>
      <c r="N74" s="183"/>
      <c r="O74" s="183"/>
    </row>
    <row r="75" spans="2:15" s="97" customFormat="1" x14ac:dyDescent="0.2">
      <c r="B75" s="30"/>
      <c r="C75" s="31"/>
      <c r="D75" s="31"/>
      <c r="E75" s="31"/>
      <c r="F75" s="31"/>
      <c r="G75" s="31"/>
      <c r="H75" s="31"/>
      <c r="I75" s="32"/>
      <c r="J75" s="183"/>
      <c r="K75" s="183"/>
      <c r="L75" s="183"/>
      <c r="M75" s="183"/>
      <c r="N75" s="183"/>
      <c r="O75" s="183"/>
    </row>
    <row r="76" spans="2:15" s="97" customFormat="1" x14ac:dyDescent="0.2">
      <c r="B76" s="30"/>
      <c r="C76" s="31"/>
      <c r="D76" s="31"/>
      <c r="E76" s="31"/>
      <c r="F76" s="31"/>
      <c r="G76" s="31"/>
      <c r="H76" s="31"/>
      <c r="I76" s="32"/>
      <c r="J76" s="183"/>
      <c r="K76" s="183"/>
      <c r="L76" s="183"/>
      <c r="M76" s="183"/>
      <c r="N76" s="183"/>
      <c r="O76" s="183"/>
    </row>
    <row r="77" spans="2:15" s="97" customFormat="1" x14ac:dyDescent="0.2">
      <c r="B77" s="30"/>
      <c r="C77" s="31"/>
      <c r="D77" s="31"/>
      <c r="E77" s="31"/>
      <c r="F77" s="31"/>
      <c r="G77" s="31"/>
      <c r="H77" s="31"/>
      <c r="I77" s="32"/>
      <c r="J77" s="183"/>
      <c r="K77" s="183"/>
      <c r="L77" s="183"/>
      <c r="M77" s="183"/>
      <c r="N77" s="183"/>
      <c r="O77" s="183"/>
    </row>
    <row r="78" spans="2:15" s="97" customFormat="1" x14ac:dyDescent="0.2">
      <c r="B78" s="30"/>
      <c r="C78" s="31"/>
      <c r="D78" s="31"/>
      <c r="E78" s="31"/>
      <c r="F78" s="31"/>
      <c r="G78" s="31"/>
      <c r="H78" s="31"/>
      <c r="I78" s="32"/>
      <c r="J78" s="183"/>
      <c r="K78" s="183"/>
      <c r="L78" s="183"/>
      <c r="M78" s="183"/>
      <c r="N78" s="183"/>
      <c r="O78" s="183"/>
    </row>
    <row r="79" spans="2:15" s="97" customFormat="1" x14ac:dyDescent="0.2">
      <c r="B79" s="30"/>
      <c r="C79" s="31"/>
      <c r="D79" s="31"/>
      <c r="E79" s="31"/>
      <c r="F79" s="31"/>
      <c r="G79" s="31"/>
      <c r="H79" s="31"/>
      <c r="I79" s="32"/>
      <c r="J79" s="183"/>
      <c r="K79" s="183"/>
      <c r="L79" s="183"/>
      <c r="M79" s="183"/>
      <c r="N79" s="183"/>
      <c r="O79" s="183"/>
    </row>
    <row r="80" spans="2:15" s="97" customFormat="1" x14ac:dyDescent="0.2">
      <c r="B80" s="30"/>
      <c r="C80" s="31"/>
      <c r="D80" s="31"/>
      <c r="E80" s="31"/>
      <c r="F80" s="31"/>
      <c r="G80" s="31"/>
      <c r="H80" s="31"/>
      <c r="I80" s="32"/>
      <c r="J80" s="183"/>
      <c r="K80" s="183"/>
      <c r="L80" s="183"/>
      <c r="M80" s="183"/>
      <c r="N80" s="183"/>
      <c r="O80" s="183"/>
    </row>
    <row r="81" spans="2:15" s="97" customFormat="1" x14ac:dyDescent="0.2">
      <c r="B81" s="30"/>
      <c r="C81" s="31"/>
      <c r="D81" s="31"/>
      <c r="E81" s="31"/>
      <c r="F81" s="31"/>
      <c r="G81" s="31"/>
      <c r="H81" s="31"/>
      <c r="I81" s="32"/>
      <c r="J81" s="183"/>
      <c r="K81" s="183"/>
      <c r="L81" s="183"/>
      <c r="M81" s="183"/>
      <c r="N81" s="183"/>
      <c r="O81" s="183"/>
    </row>
    <row r="82" spans="2:15" s="97" customFormat="1" x14ac:dyDescent="0.2">
      <c r="B82" s="30"/>
      <c r="C82" s="31"/>
      <c r="D82" s="31"/>
      <c r="E82" s="31"/>
      <c r="F82" s="31"/>
      <c r="G82" s="31"/>
      <c r="H82" s="31"/>
      <c r="I82" s="32"/>
      <c r="J82" s="183"/>
      <c r="K82" s="183"/>
      <c r="L82" s="183"/>
      <c r="M82" s="183"/>
      <c r="N82" s="183"/>
      <c r="O82" s="183"/>
    </row>
    <row r="83" spans="2:15" s="97" customFormat="1" x14ac:dyDescent="0.2">
      <c r="B83" s="30"/>
      <c r="C83" s="31"/>
      <c r="D83" s="31"/>
      <c r="E83" s="31"/>
      <c r="F83" s="31"/>
      <c r="G83" s="31"/>
      <c r="H83" s="31"/>
      <c r="I83" s="32"/>
      <c r="J83" s="183"/>
      <c r="K83" s="183"/>
      <c r="L83" s="183"/>
      <c r="M83" s="183"/>
      <c r="N83" s="183"/>
      <c r="O83" s="183"/>
    </row>
    <row r="84" spans="2:15" s="97" customFormat="1" x14ac:dyDescent="0.2">
      <c r="B84" s="30"/>
      <c r="C84" s="31"/>
      <c r="D84" s="31"/>
      <c r="E84" s="31"/>
      <c r="F84" s="31"/>
      <c r="G84" s="31"/>
      <c r="H84" s="31"/>
      <c r="I84" s="32"/>
      <c r="J84" s="183"/>
      <c r="K84" s="183"/>
      <c r="L84" s="183"/>
      <c r="M84" s="183"/>
      <c r="N84" s="183"/>
      <c r="O84" s="183"/>
    </row>
    <row r="85" spans="2:15" s="97" customFormat="1" x14ac:dyDescent="0.2">
      <c r="B85" s="30"/>
      <c r="C85" s="31"/>
      <c r="D85" s="31"/>
      <c r="E85" s="31"/>
      <c r="F85" s="31"/>
      <c r="G85" s="31"/>
      <c r="H85" s="31"/>
      <c r="I85" s="32"/>
      <c r="J85" s="183"/>
      <c r="K85" s="183"/>
      <c r="L85" s="183"/>
      <c r="M85" s="183"/>
      <c r="N85" s="183"/>
      <c r="O85" s="183"/>
    </row>
    <row r="86" spans="2:15" s="97" customFormat="1" x14ac:dyDescent="0.2">
      <c r="B86" s="30"/>
      <c r="C86" s="31"/>
      <c r="D86" s="31"/>
      <c r="E86" s="31"/>
      <c r="F86" s="31"/>
      <c r="G86" s="31"/>
      <c r="H86" s="31"/>
      <c r="I86" s="32"/>
      <c r="J86" s="183"/>
      <c r="K86" s="183"/>
      <c r="L86" s="183"/>
      <c r="M86" s="183"/>
      <c r="N86" s="183"/>
      <c r="O86" s="183"/>
    </row>
    <row r="87" spans="2:15" s="97" customFormat="1" x14ac:dyDescent="0.2">
      <c r="B87" s="30"/>
      <c r="C87" s="31"/>
      <c r="D87" s="31"/>
      <c r="E87" s="31"/>
      <c r="F87" s="31"/>
      <c r="G87" s="31"/>
      <c r="H87" s="31"/>
      <c r="I87" s="32"/>
      <c r="J87" s="183"/>
      <c r="K87" s="183"/>
      <c r="L87" s="183"/>
      <c r="M87" s="183"/>
      <c r="N87" s="183"/>
      <c r="O87" s="183"/>
    </row>
    <row r="88" spans="2:15" s="97" customFormat="1" x14ac:dyDescent="0.2">
      <c r="B88" s="30"/>
      <c r="C88" s="31"/>
      <c r="D88" s="31"/>
      <c r="E88" s="31"/>
      <c r="F88" s="31"/>
      <c r="G88" s="31"/>
      <c r="H88" s="31"/>
      <c r="I88" s="32"/>
      <c r="J88" s="183"/>
      <c r="K88" s="183"/>
      <c r="L88" s="183"/>
      <c r="M88" s="183"/>
      <c r="N88" s="183"/>
      <c r="O88" s="183"/>
    </row>
    <row r="89" spans="2:15" s="97" customFormat="1" x14ac:dyDescent="0.2">
      <c r="B89" s="30"/>
      <c r="C89" s="31"/>
      <c r="D89" s="31"/>
      <c r="E89" s="31"/>
      <c r="F89" s="31"/>
      <c r="G89" s="31"/>
      <c r="H89" s="31"/>
      <c r="I89" s="32"/>
      <c r="J89" s="183"/>
      <c r="K89" s="183"/>
      <c r="L89" s="183"/>
      <c r="M89" s="183"/>
      <c r="N89" s="183"/>
      <c r="O89" s="183"/>
    </row>
    <row r="90" spans="2:15" s="97" customFormat="1" x14ac:dyDescent="0.2">
      <c r="B90" s="30"/>
      <c r="C90" s="31"/>
      <c r="D90" s="31"/>
      <c r="E90" s="31"/>
      <c r="F90" s="31"/>
      <c r="G90" s="31"/>
      <c r="H90" s="31"/>
      <c r="I90" s="32"/>
      <c r="J90" s="183"/>
      <c r="K90" s="183"/>
      <c r="L90" s="183"/>
      <c r="M90" s="183"/>
      <c r="N90" s="183"/>
      <c r="O90" s="183"/>
    </row>
    <row r="91" spans="2:15" s="97" customFormat="1" x14ac:dyDescent="0.2">
      <c r="B91" s="30"/>
      <c r="C91" s="31"/>
      <c r="D91" s="31"/>
      <c r="E91" s="31"/>
      <c r="F91" s="31"/>
      <c r="G91" s="31"/>
      <c r="H91" s="31"/>
      <c r="I91" s="32"/>
      <c r="J91" s="183"/>
      <c r="K91" s="183"/>
      <c r="L91" s="183"/>
      <c r="M91" s="183"/>
      <c r="N91" s="183"/>
      <c r="O91" s="183"/>
    </row>
    <row r="92" spans="2:15" s="97" customFormat="1" x14ac:dyDescent="0.2">
      <c r="B92" s="30"/>
      <c r="C92" s="31"/>
      <c r="D92" s="31"/>
      <c r="E92" s="31"/>
      <c r="F92" s="31"/>
      <c r="G92" s="31"/>
      <c r="H92" s="31"/>
      <c r="I92" s="32"/>
      <c r="J92" s="183"/>
      <c r="K92" s="183"/>
      <c r="L92" s="183"/>
      <c r="M92" s="183"/>
      <c r="N92" s="183"/>
      <c r="O92" s="183"/>
    </row>
    <row r="93" spans="2:15" s="97" customFormat="1" x14ac:dyDescent="0.2">
      <c r="B93" s="30"/>
      <c r="C93" s="31"/>
      <c r="D93" s="31"/>
      <c r="E93" s="31"/>
      <c r="F93" s="31"/>
      <c r="G93" s="31"/>
      <c r="H93" s="31"/>
      <c r="I93" s="32"/>
      <c r="J93" s="183"/>
      <c r="K93" s="183"/>
      <c r="L93" s="183"/>
      <c r="M93" s="183"/>
      <c r="N93" s="183"/>
      <c r="O93" s="183"/>
    </row>
    <row r="94" spans="2:15" s="97" customFormat="1" x14ac:dyDescent="0.2">
      <c r="B94" s="30"/>
      <c r="C94" s="31"/>
      <c r="D94" s="31"/>
      <c r="E94" s="31"/>
      <c r="F94" s="31"/>
      <c r="G94" s="31"/>
      <c r="H94" s="31"/>
      <c r="I94" s="32"/>
      <c r="J94" s="183"/>
      <c r="K94" s="183"/>
      <c r="L94" s="183"/>
      <c r="M94" s="183"/>
      <c r="N94" s="183"/>
      <c r="O94" s="183"/>
    </row>
    <row r="95" spans="2:15" s="97" customFormat="1" x14ac:dyDescent="0.2">
      <c r="B95" s="30"/>
      <c r="C95" s="31"/>
      <c r="D95" s="31"/>
      <c r="E95" s="31"/>
      <c r="F95" s="31"/>
      <c r="G95" s="31"/>
      <c r="H95" s="31"/>
      <c r="I95" s="32"/>
      <c r="J95" s="183"/>
      <c r="K95" s="183"/>
      <c r="L95" s="183"/>
      <c r="M95" s="183"/>
      <c r="N95" s="183"/>
      <c r="O95" s="183"/>
    </row>
    <row r="96" spans="2:15" s="97" customFormat="1" x14ac:dyDescent="0.2">
      <c r="B96" s="30"/>
      <c r="C96" s="31"/>
      <c r="D96" s="31"/>
      <c r="E96" s="31"/>
      <c r="F96" s="31"/>
      <c r="G96" s="31"/>
      <c r="H96" s="31"/>
      <c r="I96" s="32"/>
      <c r="J96" s="183"/>
      <c r="K96" s="183"/>
      <c r="L96" s="183"/>
      <c r="M96" s="183"/>
      <c r="N96" s="183"/>
      <c r="O96" s="183"/>
    </row>
    <row r="97" spans="2:15" s="97" customFormat="1" x14ac:dyDescent="0.2">
      <c r="B97" s="30"/>
      <c r="C97" s="31"/>
      <c r="D97" s="31"/>
      <c r="E97" s="31"/>
      <c r="F97" s="31"/>
      <c r="G97" s="31"/>
      <c r="H97" s="31"/>
      <c r="I97" s="32"/>
      <c r="J97" s="183"/>
      <c r="K97" s="183"/>
      <c r="L97" s="183"/>
      <c r="M97" s="183"/>
      <c r="N97" s="183"/>
      <c r="O97" s="183"/>
    </row>
    <row r="98" spans="2:15" s="97" customFormat="1" x14ac:dyDescent="0.2">
      <c r="B98" s="30"/>
      <c r="C98" s="31"/>
      <c r="D98" s="31"/>
      <c r="E98" s="31"/>
      <c r="F98" s="31"/>
      <c r="G98" s="31"/>
      <c r="H98" s="31"/>
      <c r="I98" s="32"/>
      <c r="J98" s="183"/>
      <c r="K98" s="183"/>
      <c r="L98" s="183"/>
      <c r="M98" s="183"/>
      <c r="N98" s="183"/>
      <c r="O98" s="183"/>
    </row>
    <row r="99" spans="2:15" s="97" customFormat="1" x14ac:dyDescent="0.2">
      <c r="B99" s="30"/>
      <c r="C99" s="31"/>
      <c r="D99" s="31"/>
      <c r="E99" s="31"/>
      <c r="F99" s="31"/>
      <c r="G99" s="31"/>
      <c r="H99" s="31"/>
      <c r="I99" s="32"/>
      <c r="J99" s="183"/>
      <c r="K99" s="183"/>
      <c r="L99" s="183"/>
      <c r="M99" s="183"/>
      <c r="N99" s="183"/>
      <c r="O99" s="183"/>
    </row>
    <row r="100" spans="2:15" s="97" customFormat="1" x14ac:dyDescent="0.2">
      <c r="B100" s="30"/>
      <c r="C100" s="31"/>
      <c r="D100" s="31"/>
      <c r="E100" s="31"/>
      <c r="F100" s="31"/>
      <c r="G100" s="31"/>
      <c r="H100" s="31"/>
      <c r="I100" s="32"/>
      <c r="J100" s="183"/>
      <c r="K100" s="183"/>
      <c r="L100" s="183"/>
      <c r="M100" s="183"/>
      <c r="N100" s="183"/>
      <c r="O100" s="183"/>
    </row>
    <row r="101" spans="2:15" s="97" customFormat="1" x14ac:dyDescent="0.2">
      <c r="B101" s="30"/>
      <c r="C101" s="31"/>
      <c r="D101" s="31"/>
      <c r="E101" s="31"/>
      <c r="F101" s="31"/>
      <c r="G101" s="31"/>
      <c r="H101" s="31"/>
      <c r="I101" s="32"/>
      <c r="J101" s="183"/>
      <c r="K101" s="183"/>
      <c r="L101" s="183"/>
      <c r="M101" s="183"/>
      <c r="N101" s="183"/>
      <c r="O101" s="183"/>
    </row>
    <row r="102" spans="2:15" s="97" customFormat="1" x14ac:dyDescent="0.2">
      <c r="B102" s="30"/>
      <c r="C102" s="31"/>
      <c r="D102" s="31"/>
      <c r="E102" s="31"/>
      <c r="F102" s="31"/>
      <c r="G102" s="31"/>
      <c r="H102" s="31"/>
      <c r="I102" s="32"/>
      <c r="J102" s="183"/>
      <c r="K102" s="183"/>
      <c r="L102" s="183"/>
      <c r="M102" s="183"/>
      <c r="N102" s="183"/>
      <c r="O102" s="183"/>
    </row>
    <row r="103" spans="2:15" s="97" customFormat="1" x14ac:dyDescent="0.2">
      <c r="B103" s="30"/>
      <c r="C103" s="31"/>
      <c r="D103" s="31"/>
      <c r="E103" s="31"/>
      <c r="F103" s="31"/>
      <c r="G103" s="31"/>
      <c r="H103" s="31"/>
      <c r="I103" s="32"/>
      <c r="J103" s="183"/>
      <c r="K103" s="183"/>
      <c r="L103" s="183"/>
      <c r="M103" s="183"/>
      <c r="N103" s="183"/>
      <c r="O103" s="183"/>
    </row>
    <row r="104" spans="2:15" s="97" customFormat="1" x14ac:dyDescent="0.2">
      <c r="B104" s="30"/>
      <c r="C104" s="31"/>
      <c r="D104" s="31"/>
      <c r="E104" s="31"/>
      <c r="F104" s="31"/>
      <c r="G104" s="31"/>
      <c r="H104" s="31"/>
      <c r="I104" s="32"/>
      <c r="J104" s="183"/>
      <c r="K104" s="183"/>
      <c r="L104" s="183"/>
      <c r="M104" s="183"/>
      <c r="N104" s="183"/>
      <c r="O104" s="183"/>
    </row>
    <row r="105" spans="2:15" s="97" customFormat="1" x14ac:dyDescent="0.2">
      <c r="B105" s="30"/>
      <c r="C105" s="31"/>
      <c r="D105" s="31"/>
      <c r="E105" s="31"/>
      <c r="F105" s="31"/>
      <c r="G105" s="31"/>
      <c r="H105" s="31"/>
      <c r="I105" s="32"/>
      <c r="J105" s="183"/>
      <c r="K105" s="183"/>
      <c r="L105" s="183"/>
      <c r="M105" s="183"/>
      <c r="N105" s="183"/>
      <c r="O105" s="183"/>
    </row>
    <row r="106" spans="2:15" s="97" customFormat="1" x14ac:dyDescent="0.2">
      <c r="B106" s="30"/>
      <c r="C106" s="31"/>
      <c r="D106" s="31"/>
      <c r="E106" s="31"/>
      <c r="F106" s="31"/>
      <c r="G106" s="31"/>
      <c r="H106" s="31"/>
      <c r="I106" s="32"/>
      <c r="J106" s="183"/>
      <c r="K106" s="183"/>
      <c r="L106" s="183"/>
      <c r="M106" s="183"/>
      <c r="N106" s="183"/>
      <c r="O106" s="183"/>
    </row>
    <row r="107" spans="2:15" s="97" customFormat="1" x14ac:dyDescent="0.2">
      <c r="B107" s="30"/>
      <c r="C107" s="31"/>
      <c r="D107" s="31"/>
      <c r="E107" s="31"/>
      <c r="F107" s="31"/>
      <c r="G107" s="31"/>
      <c r="H107" s="31"/>
      <c r="I107" s="32"/>
      <c r="J107" s="183"/>
      <c r="K107" s="183"/>
      <c r="L107" s="183"/>
      <c r="M107" s="183"/>
      <c r="N107" s="183"/>
      <c r="O107" s="183"/>
    </row>
    <row r="108" spans="2:15" s="97" customFormat="1" x14ac:dyDescent="0.2">
      <c r="B108" s="30"/>
      <c r="C108" s="31"/>
      <c r="D108" s="31"/>
      <c r="E108" s="31"/>
      <c r="F108" s="31"/>
      <c r="G108" s="31"/>
      <c r="H108" s="31"/>
      <c r="I108" s="32"/>
      <c r="J108" s="183"/>
      <c r="K108" s="183"/>
      <c r="L108" s="183"/>
      <c r="M108" s="183"/>
      <c r="N108" s="183"/>
      <c r="O108" s="183"/>
    </row>
    <row r="109" spans="2:15" s="97" customFormat="1" x14ac:dyDescent="0.2">
      <c r="B109" s="30"/>
      <c r="C109" s="31"/>
      <c r="D109" s="31"/>
      <c r="E109" s="31"/>
      <c r="F109" s="31"/>
      <c r="G109" s="31"/>
      <c r="H109" s="31"/>
      <c r="I109" s="32"/>
      <c r="J109" s="183"/>
      <c r="K109" s="183"/>
      <c r="L109" s="183"/>
      <c r="M109" s="183"/>
      <c r="N109" s="183"/>
      <c r="O109" s="183"/>
    </row>
    <row r="110" spans="2:15" s="97" customFormat="1" x14ac:dyDescent="0.2">
      <c r="B110" s="30"/>
      <c r="C110" s="31"/>
      <c r="D110" s="31"/>
      <c r="E110" s="31"/>
      <c r="F110" s="31"/>
      <c r="G110" s="31"/>
      <c r="H110" s="31"/>
      <c r="I110" s="32"/>
      <c r="J110" s="183"/>
      <c r="K110" s="183"/>
      <c r="L110" s="183"/>
      <c r="M110" s="183"/>
      <c r="N110" s="183"/>
      <c r="O110" s="183"/>
    </row>
    <row r="111" spans="2:15" s="97" customFormat="1" x14ac:dyDescent="0.2">
      <c r="B111" s="30"/>
      <c r="C111" s="31"/>
      <c r="D111" s="31"/>
      <c r="E111" s="31"/>
      <c r="F111" s="31"/>
      <c r="G111" s="31"/>
      <c r="H111" s="31"/>
      <c r="I111" s="32"/>
      <c r="J111" s="183"/>
      <c r="K111" s="183"/>
      <c r="L111" s="183"/>
      <c r="M111" s="183"/>
      <c r="N111" s="183"/>
      <c r="O111" s="183"/>
    </row>
    <row r="112" spans="2:15" s="97" customFormat="1" x14ac:dyDescent="0.2">
      <c r="B112" s="30"/>
      <c r="C112" s="31"/>
      <c r="D112" s="31"/>
      <c r="E112" s="31"/>
      <c r="F112" s="31"/>
      <c r="G112" s="31"/>
      <c r="H112" s="31"/>
      <c r="I112" s="32"/>
      <c r="J112" s="183"/>
      <c r="K112" s="183"/>
      <c r="L112" s="183"/>
      <c r="M112" s="183"/>
      <c r="N112" s="183"/>
      <c r="O112" s="183"/>
    </row>
    <row r="113" spans="2:15" s="97" customFormat="1" x14ac:dyDescent="0.2">
      <c r="B113" s="30"/>
      <c r="C113" s="31"/>
      <c r="D113" s="31"/>
      <c r="E113" s="31"/>
      <c r="F113" s="31"/>
      <c r="G113" s="31"/>
      <c r="H113" s="31"/>
      <c r="I113" s="32"/>
      <c r="J113" s="183"/>
      <c r="K113" s="183"/>
      <c r="L113" s="183"/>
      <c r="M113" s="183"/>
      <c r="N113" s="183"/>
      <c r="O113" s="183"/>
    </row>
    <row r="114" spans="2:15" s="97" customFormat="1" x14ac:dyDescent="0.2">
      <c r="B114" s="30"/>
      <c r="C114" s="31"/>
      <c r="D114" s="31"/>
      <c r="E114" s="31"/>
      <c r="F114" s="31"/>
      <c r="G114" s="31"/>
      <c r="H114" s="31"/>
      <c r="I114" s="32"/>
      <c r="J114" s="183"/>
      <c r="K114" s="183"/>
      <c r="L114" s="183"/>
      <c r="M114" s="183"/>
      <c r="N114" s="183"/>
      <c r="O114" s="183"/>
    </row>
    <row r="115" spans="2:15" s="97" customFormat="1" x14ac:dyDescent="0.2">
      <c r="B115" s="30"/>
      <c r="C115" s="31"/>
      <c r="D115" s="31"/>
      <c r="E115" s="31"/>
      <c r="F115" s="31"/>
      <c r="G115" s="31"/>
      <c r="H115" s="31"/>
      <c r="I115" s="32"/>
      <c r="J115" s="183"/>
      <c r="K115" s="183"/>
      <c r="L115" s="183"/>
      <c r="M115" s="183"/>
      <c r="N115" s="183"/>
      <c r="O115" s="183"/>
    </row>
    <row r="116" spans="2:15" s="97" customFormat="1" x14ac:dyDescent="0.2">
      <c r="B116" s="30"/>
      <c r="C116" s="31"/>
      <c r="D116" s="31"/>
      <c r="E116" s="31"/>
      <c r="F116" s="31"/>
      <c r="G116" s="31"/>
      <c r="H116" s="31"/>
      <c r="I116" s="32"/>
      <c r="J116" s="183"/>
      <c r="K116" s="183"/>
      <c r="L116" s="183"/>
      <c r="M116" s="183"/>
      <c r="N116" s="183"/>
      <c r="O116" s="183"/>
    </row>
    <row r="117" spans="2:15" s="97" customFormat="1" x14ac:dyDescent="0.2">
      <c r="B117" s="30"/>
      <c r="C117" s="31"/>
      <c r="D117" s="31"/>
      <c r="E117" s="31"/>
      <c r="F117" s="31"/>
      <c r="G117" s="31"/>
      <c r="H117" s="31"/>
      <c r="I117" s="32"/>
      <c r="J117" s="183"/>
      <c r="K117" s="183"/>
      <c r="L117" s="183"/>
      <c r="M117" s="183"/>
      <c r="N117" s="183"/>
      <c r="O117" s="183"/>
    </row>
    <row r="118" spans="2:15" s="97" customFormat="1" x14ac:dyDescent="0.2">
      <c r="B118" s="30"/>
      <c r="C118" s="31"/>
      <c r="D118" s="31"/>
      <c r="E118" s="31"/>
      <c r="F118" s="31"/>
      <c r="G118" s="31"/>
      <c r="H118" s="31"/>
      <c r="I118" s="32"/>
      <c r="J118" s="183"/>
      <c r="K118" s="183"/>
      <c r="L118" s="183"/>
      <c r="M118" s="183"/>
      <c r="N118" s="183"/>
      <c r="O118" s="183"/>
    </row>
    <row r="119" spans="2:15" s="97" customFormat="1" x14ac:dyDescent="0.2">
      <c r="B119" s="30"/>
      <c r="C119" s="31"/>
      <c r="D119" s="31"/>
      <c r="E119" s="31"/>
      <c r="F119" s="31"/>
      <c r="G119" s="31"/>
      <c r="H119" s="31"/>
      <c r="I119" s="32"/>
      <c r="J119" s="183"/>
      <c r="K119" s="183"/>
      <c r="L119" s="183"/>
      <c r="M119" s="183"/>
      <c r="N119" s="183"/>
      <c r="O119" s="183"/>
    </row>
    <row r="120" spans="2:15" s="97" customFormat="1" x14ac:dyDescent="0.2">
      <c r="B120" s="30"/>
      <c r="C120" s="31"/>
      <c r="D120" s="31"/>
      <c r="E120" s="31"/>
      <c r="F120" s="31"/>
      <c r="G120" s="31"/>
      <c r="H120" s="31"/>
      <c r="I120" s="32"/>
      <c r="J120" s="183"/>
      <c r="K120" s="183"/>
      <c r="L120" s="183"/>
      <c r="M120" s="183"/>
      <c r="N120" s="183"/>
      <c r="O120" s="183"/>
    </row>
    <row r="121" spans="2:15" s="97" customFormat="1" x14ac:dyDescent="0.2">
      <c r="B121" s="30"/>
      <c r="C121" s="31"/>
      <c r="D121" s="31"/>
      <c r="E121" s="31"/>
      <c r="F121" s="31"/>
      <c r="G121" s="31"/>
      <c r="H121" s="31"/>
      <c r="I121" s="32"/>
      <c r="J121" s="183"/>
      <c r="K121" s="183"/>
      <c r="L121" s="183"/>
      <c r="M121" s="183"/>
      <c r="N121" s="183"/>
      <c r="O121" s="183"/>
    </row>
    <row r="122" spans="2:15" s="97" customFormat="1" x14ac:dyDescent="0.2">
      <c r="B122" s="30"/>
      <c r="C122" s="31"/>
      <c r="D122" s="31"/>
      <c r="E122" s="31"/>
      <c r="F122" s="31"/>
      <c r="G122" s="31"/>
      <c r="H122" s="31"/>
      <c r="I122" s="32"/>
      <c r="J122" s="183"/>
      <c r="K122" s="183"/>
      <c r="L122" s="183"/>
      <c r="M122" s="183"/>
      <c r="N122" s="183"/>
      <c r="O122" s="183"/>
    </row>
    <row r="123" spans="2:15" s="97" customFormat="1" x14ac:dyDescent="0.2">
      <c r="B123" s="30"/>
      <c r="C123" s="31"/>
      <c r="D123" s="31"/>
      <c r="E123" s="31"/>
      <c r="F123" s="31"/>
      <c r="G123" s="31"/>
      <c r="H123" s="31"/>
      <c r="I123" s="32"/>
      <c r="J123" s="183"/>
      <c r="K123" s="183"/>
      <c r="L123" s="183"/>
      <c r="M123" s="183"/>
      <c r="N123" s="183"/>
      <c r="O123" s="183"/>
    </row>
    <row r="124" spans="2:15" s="97" customFormat="1" x14ac:dyDescent="0.2">
      <c r="B124" s="30"/>
      <c r="C124" s="31"/>
      <c r="D124" s="31"/>
      <c r="E124" s="31"/>
      <c r="F124" s="31"/>
      <c r="G124" s="31"/>
      <c r="H124" s="31"/>
      <c r="I124" s="32"/>
      <c r="J124" s="183"/>
      <c r="K124" s="183"/>
      <c r="L124" s="183"/>
      <c r="M124" s="183"/>
      <c r="N124" s="183"/>
      <c r="O124" s="183"/>
    </row>
    <row r="125" spans="2:15" s="97" customFormat="1" x14ac:dyDescent="0.2">
      <c r="B125" s="30"/>
      <c r="C125" s="31"/>
      <c r="D125" s="31"/>
      <c r="E125" s="31"/>
      <c r="F125" s="31"/>
      <c r="G125" s="31"/>
      <c r="H125" s="31"/>
      <c r="I125" s="32"/>
      <c r="J125" s="183"/>
      <c r="K125" s="183"/>
      <c r="L125" s="183"/>
      <c r="M125" s="183"/>
      <c r="N125" s="183"/>
      <c r="O125" s="183"/>
    </row>
    <row r="126" spans="2:15" s="97" customFormat="1" x14ac:dyDescent="0.2">
      <c r="B126" s="30"/>
      <c r="C126" s="31"/>
      <c r="D126" s="31"/>
      <c r="E126" s="31"/>
      <c r="F126" s="31"/>
      <c r="G126" s="31"/>
      <c r="H126" s="31"/>
      <c r="I126" s="32"/>
      <c r="J126" s="183"/>
      <c r="K126" s="183"/>
      <c r="L126" s="183"/>
      <c r="M126" s="183"/>
      <c r="N126" s="183"/>
      <c r="O126" s="183"/>
    </row>
    <row r="127" spans="2:15" s="97" customFormat="1" x14ac:dyDescent="0.2">
      <c r="B127" s="30"/>
      <c r="C127" s="31"/>
      <c r="D127" s="31"/>
      <c r="E127" s="31"/>
      <c r="F127" s="31"/>
      <c r="G127" s="31"/>
      <c r="H127" s="31"/>
      <c r="I127" s="32"/>
      <c r="J127" s="183"/>
      <c r="K127" s="183"/>
      <c r="L127" s="183"/>
      <c r="M127" s="183"/>
      <c r="N127" s="183"/>
      <c r="O127" s="183"/>
    </row>
    <row r="128" spans="2:15" s="97" customFormat="1" x14ac:dyDescent="0.2">
      <c r="B128" s="30"/>
      <c r="C128" s="31"/>
      <c r="D128" s="31"/>
      <c r="E128" s="31"/>
      <c r="F128" s="31"/>
      <c r="G128" s="31"/>
      <c r="H128" s="31"/>
      <c r="I128" s="32"/>
      <c r="J128" s="183"/>
      <c r="K128" s="183"/>
      <c r="L128" s="183"/>
      <c r="M128" s="183"/>
      <c r="N128" s="183"/>
      <c r="O128" s="183"/>
    </row>
    <row r="129" spans="2:15" s="97" customFormat="1" x14ac:dyDescent="0.2">
      <c r="B129" s="30"/>
      <c r="C129" s="31"/>
      <c r="D129" s="31"/>
      <c r="E129" s="31"/>
      <c r="F129" s="31"/>
      <c r="G129" s="31"/>
      <c r="H129" s="31"/>
      <c r="I129" s="32"/>
      <c r="J129" s="183"/>
      <c r="K129" s="183"/>
      <c r="L129" s="183"/>
      <c r="M129" s="183"/>
      <c r="N129" s="183"/>
      <c r="O129" s="183"/>
    </row>
    <row r="130" spans="2:15" s="97" customFormat="1" x14ac:dyDescent="0.2">
      <c r="B130" s="30"/>
      <c r="C130" s="31"/>
      <c r="D130" s="31"/>
      <c r="E130" s="31"/>
      <c r="F130" s="31"/>
      <c r="G130" s="31"/>
      <c r="H130" s="31"/>
      <c r="I130" s="32"/>
      <c r="J130" s="183"/>
      <c r="K130" s="183"/>
      <c r="L130" s="183"/>
      <c r="M130" s="183"/>
      <c r="N130" s="183"/>
      <c r="O130" s="183"/>
    </row>
    <row r="131" spans="2:15" s="97" customFormat="1" x14ac:dyDescent="0.2">
      <c r="B131" s="30"/>
      <c r="C131" s="31"/>
      <c r="D131" s="31"/>
      <c r="E131" s="31"/>
      <c r="F131" s="31"/>
      <c r="G131" s="31"/>
      <c r="H131" s="31"/>
      <c r="I131" s="32"/>
      <c r="J131" s="183"/>
      <c r="K131" s="183"/>
      <c r="L131" s="183"/>
      <c r="M131" s="183"/>
      <c r="N131" s="183"/>
      <c r="O131" s="183"/>
    </row>
    <row r="132" spans="2:15" s="97" customFormat="1" x14ac:dyDescent="0.2">
      <c r="B132" s="30"/>
      <c r="C132" s="31"/>
      <c r="D132" s="31"/>
      <c r="E132" s="31"/>
      <c r="F132" s="31"/>
      <c r="G132" s="31"/>
      <c r="H132" s="31"/>
      <c r="I132" s="32"/>
      <c r="J132" s="183"/>
      <c r="K132" s="183"/>
      <c r="L132" s="183"/>
      <c r="M132" s="183"/>
      <c r="N132" s="183"/>
      <c r="O132" s="183"/>
    </row>
    <row r="133" spans="2:15" s="97" customFormat="1" x14ac:dyDescent="0.2">
      <c r="B133" s="30"/>
      <c r="C133" s="31"/>
      <c r="D133" s="31"/>
      <c r="E133" s="31"/>
      <c r="F133" s="31"/>
      <c r="G133" s="31"/>
      <c r="H133" s="31"/>
      <c r="I133" s="32"/>
      <c r="J133" s="183"/>
      <c r="K133" s="183"/>
      <c r="L133" s="183"/>
      <c r="M133" s="183"/>
      <c r="N133" s="183"/>
      <c r="O133" s="183"/>
    </row>
    <row r="134" spans="2:15" s="97" customFormat="1" x14ac:dyDescent="0.2">
      <c r="B134" s="30"/>
      <c r="C134" s="31"/>
      <c r="D134" s="31"/>
      <c r="E134" s="31"/>
      <c r="F134" s="31"/>
      <c r="G134" s="31"/>
      <c r="H134" s="31"/>
      <c r="I134" s="32"/>
      <c r="J134" s="183"/>
      <c r="K134" s="183"/>
      <c r="L134" s="183"/>
      <c r="M134" s="183"/>
      <c r="N134" s="183"/>
      <c r="O134" s="183"/>
    </row>
    <row r="135" spans="2:15" s="97" customFormat="1" x14ac:dyDescent="0.2">
      <c r="B135" s="30"/>
      <c r="C135" s="31"/>
      <c r="D135" s="31"/>
      <c r="E135" s="31"/>
      <c r="F135" s="31"/>
      <c r="G135" s="31"/>
      <c r="H135" s="31"/>
      <c r="I135" s="32"/>
      <c r="J135" s="183"/>
      <c r="K135" s="183"/>
      <c r="L135" s="183"/>
      <c r="M135" s="183"/>
      <c r="N135" s="183"/>
      <c r="O135" s="183"/>
    </row>
    <row r="136" spans="2:15" s="97" customFormat="1" x14ac:dyDescent="0.2">
      <c r="B136" s="30"/>
      <c r="C136" s="31"/>
      <c r="D136" s="31"/>
      <c r="E136" s="31"/>
      <c r="F136" s="31"/>
      <c r="G136" s="31"/>
      <c r="H136" s="31"/>
      <c r="I136" s="32"/>
      <c r="J136" s="183"/>
      <c r="K136" s="183"/>
      <c r="L136" s="183"/>
      <c r="M136" s="183"/>
      <c r="N136" s="183"/>
      <c r="O136" s="183"/>
    </row>
    <row r="137" spans="2:15" s="97" customFormat="1" x14ac:dyDescent="0.2">
      <c r="B137" s="30"/>
      <c r="C137" s="31"/>
      <c r="D137" s="31"/>
      <c r="E137" s="31"/>
      <c r="F137" s="31"/>
      <c r="G137" s="31"/>
      <c r="H137" s="31"/>
      <c r="I137" s="32"/>
      <c r="J137" s="183"/>
      <c r="K137" s="183"/>
      <c r="L137" s="183"/>
      <c r="M137" s="183"/>
      <c r="N137" s="183"/>
      <c r="O137" s="183"/>
    </row>
    <row r="138" spans="2:15" s="97" customFormat="1" x14ac:dyDescent="0.2">
      <c r="B138" s="30"/>
      <c r="C138" s="31"/>
      <c r="D138" s="31"/>
      <c r="E138" s="31"/>
      <c r="F138" s="31"/>
      <c r="G138" s="31"/>
      <c r="H138" s="31"/>
      <c r="I138" s="32"/>
      <c r="J138" s="183"/>
      <c r="K138" s="183"/>
      <c r="L138" s="183"/>
      <c r="M138" s="183"/>
      <c r="N138" s="183"/>
      <c r="O138" s="183"/>
    </row>
    <row r="139" spans="2:15" s="97" customFormat="1" x14ac:dyDescent="0.2">
      <c r="B139" s="30"/>
      <c r="C139" s="31"/>
      <c r="D139" s="31"/>
      <c r="E139" s="31"/>
      <c r="F139" s="31"/>
      <c r="G139" s="31"/>
      <c r="H139" s="31"/>
      <c r="I139" s="32"/>
      <c r="J139" s="183"/>
      <c r="K139" s="183"/>
      <c r="L139" s="183"/>
      <c r="M139" s="183"/>
      <c r="N139" s="183"/>
      <c r="O139" s="183"/>
    </row>
    <row r="140" spans="2:15" s="97" customFormat="1" x14ac:dyDescent="0.2">
      <c r="B140" s="30"/>
      <c r="C140" s="31"/>
      <c r="D140" s="31"/>
      <c r="E140" s="31"/>
      <c r="F140" s="31"/>
      <c r="G140" s="31"/>
      <c r="H140" s="31"/>
      <c r="I140" s="32"/>
      <c r="J140" s="183"/>
      <c r="K140" s="183"/>
      <c r="L140" s="183"/>
      <c r="M140" s="183"/>
      <c r="N140" s="183"/>
      <c r="O140" s="183"/>
    </row>
    <row r="141" spans="2:15" s="97" customFormat="1" x14ac:dyDescent="0.2">
      <c r="B141" s="30"/>
      <c r="C141" s="31"/>
      <c r="D141" s="31"/>
      <c r="E141" s="31"/>
      <c r="F141" s="31"/>
      <c r="G141" s="31"/>
      <c r="H141" s="31"/>
      <c r="I141" s="32"/>
      <c r="J141" s="183"/>
      <c r="K141" s="183"/>
      <c r="L141" s="183"/>
      <c r="M141" s="183"/>
      <c r="N141" s="183"/>
      <c r="O141" s="183"/>
    </row>
    <row r="142" spans="2:15" s="97" customFormat="1" x14ac:dyDescent="0.2">
      <c r="B142" s="30"/>
      <c r="C142" s="31"/>
      <c r="D142" s="31"/>
      <c r="E142" s="31"/>
      <c r="F142" s="31"/>
      <c r="G142" s="31"/>
      <c r="H142" s="31"/>
      <c r="I142" s="32"/>
      <c r="J142" s="183"/>
      <c r="K142" s="183"/>
      <c r="L142" s="183"/>
      <c r="M142" s="183"/>
      <c r="N142" s="183"/>
      <c r="O142" s="183"/>
    </row>
    <row r="143" spans="2:15" s="97" customFormat="1" x14ac:dyDescent="0.2">
      <c r="B143" s="30"/>
      <c r="C143" s="31"/>
      <c r="D143" s="31"/>
      <c r="E143" s="31"/>
      <c r="F143" s="31"/>
      <c r="G143" s="31"/>
      <c r="H143" s="31"/>
      <c r="I143" s="32"/>
      <c r="J143" s="183"/>
      <c r="K143" s="183"/>
      <c r="L143" s="183"/>
      <c r="M143" s="183"/>
      <c r="N143" s="183"/>
      <c r="O143" s="183"/>
    </row>
    <row r="144" spans="2:15" s="97" customFormat="1" x14ac:dyDescent="0.2">
      <c r="B144" s="30"/>
      <c r="C144" s="31"/>
      <c r="D144" s="31"/>
      <c r="E144" s="31"/>
      <c r="F144" s="31"/>
      <c r="G144" s="31"/>
      <c r="H144" s="31"/>
      <c r="I144" s="32"/>
      <c r="J144" s="183"/>
      <c r="K144" s="183"/>
      <c r="L144" s="183"/>
      <c r="M144" s="183"/>
      <c r="N144" s="183"/>
      <c r="O144" s="183"/>
    </row>
    <row r="145" spans="2:15" s="97" customFormat="1" x14ac:dyDescent="0.2">
      <c r="B145" s="30"/>
      <c r="C145" s="31"/>
      <c r="D145" s="31"/>
      <c r="E145" s="31"/>
      <c r="F145" s="31"/>
      <c r="G145" s="31"/>
      <c r="H145" s="31"/>
      <c r="I145" s="32"/>
      <c r="J145" s="183"/>
      <c r="K145" s="183"/>
      <c r="L145" s="183"/>
      <c r="M145" s="183"/>
      <c r="N145" s="183"/>
      <c r="O145" s="183"/>
    </row>
    <row r="146" spans="2:15" s="97" customFormat="1" x14ac:dyDescent="0.2">
      <c r="B146" s="30"/>
      <c r="C146" s="31"/>
      <c r="D146" s="31"/>
      <c r="E146" s="31"/>
      <c r="F146" s="31"/>
      <c r="G146" s="31"/>
      <c r="H146" s="31"/>
      <c r="I146" s="32"/>
      <c r="J146" s="183"/>
      <c r="K146" s="183"/>
      <c r="L146" s="183"/>
      <c r="M146" s="183"/>
      <c r="N146" s="183"/>
      <c r="O146" s="183"/>
    </row>
    <row r="147" spans="2:15" s="97" customFormat="1" x14ac:dyDescent="0.2">
      <c r="B147" s="30"/>
      <c r="C147" s="31"/>
      <c r="D147" s="31"/>
      <c r="E147" s="31"/>
      <c r="F147" s="31"/>
      <c r="G147" s="31"/>
      <c r="H147" s="31"/>
      <c r="I147" s="32"/>
      <c r="J147" s="183"/>
      <c r="K147" s="183"/>
      <c r="L147" s="183"/>
      <c r="M147" s="183"/>
      <c r="N147" s="183"/>
      <c r="O147" s="183"/>
    </row>
    <row r="148" spans="2:15" s="97" customFormat="1" x14ac:dyDescent="0.2">
      <c r="B148" s="30"/>
      <c r="C148" s="31"/>
      <c r="D148" s="31"/>
      <c r="E148" s="31"/>
      <c r="F148" s="31"/>
      <c r="G148" s="31"/>
      <c r="H148" s="31"/>
      <c r="I148" s="32"/>
      <c r="J148" s="183"/>
      <c r="K148" s="183"/>
      <c r="L148" s="183"/>
      <c r="M148" s="183"/>
      <c r="N148" s="183"/>
      <c r="O148" s="183"/>
    </row>
    <row r="149" spans="2:15" s="97" customFormat="1" x14ac:dyDescent="0.2">
      <c r="B149" s="30"/>
      <c r="C149" s="31"/>
      <c r="D149" s="31"/>
      <c r="E149" s="31"/>
      <c r="F149" s="31"/>
      <c r="G149" s="31"/>
      <c r="H149" s="31"/>
      <c r="I149" s="32"/>
      <c r="J149" s="183"/>
      <c r="K149" s="183"/>
      <c r="L149" s="183"/>
      <c r="M149" s="183"/>
      <c r="N149" s="183"/>
      <c r="O149" s="183"/>
    </row>
    <row r="150" spans="2:15" s="97" customFormat="1" x14ac:dyDescent="0.2">
      <c r="B150" s="30"/>
      <c r="C150" s="31"/>
      <c r="D150" s="31"/>
      <c r="E150" s="31"/>
      <c r="F150" s="31"/>
      <c r="G150" s="31"/>
      <c r="H150" s="31"/>
      <c r="I150" s="32"/>
      <c r="J150" s="183"/>
      <c r="K150" s="183"/>
      <c r="L150" s="183"/>
      <c r="M150" s="183"/>
      <c r="N150" s="183"/>
      <c r="O150" s="183"/>
    </row>
    <row r="151" spans="2:15" s="97" customFormat="1" x14ac:dyDescent="0.2">
      <c r="B151" s="30"/>
      <c r="C151" s="31"/>
      <c r="D151" s="31"/>
      <c r="E151" s="31"/>
      <c r="F151" s="31"/>
      <c r="G151" s="31"/>
      <c r="H151" s="31"/>
      <c r="I151" s="32"/>
      <c r="J151" s="183"/>
      <c r="K151" s="183"/>
      <c r="L151" s="183"/>
      <c r="M151" s="183"/>
      <c r="N151" s="183"/>
      <c r="O151" s="183"/>
    </row>
    <row r="152" spans="2:15" s="97" customFormat="1" x14ac:dyDescent="0.2">
      <c r="B152" s="30"/>
      <c r="C152" s="31"/>
      <c r="D152" s="31"/>
      <c r="E152" s="31"/>
      <c r="F152" s="31"/>
      <c r="G152" s="31"/>
      <c r="H152" s="31"/>
      <c r="I152" s="32"/>
      <c r="J152" s="183"/>
      <c r="K152" s="183"/>
      <c r="L152" s="183"/>
      <c r="M152" s="183"/>
      <c r="N152" s="183"/>
      <c r="O152" s="183"/>
    </row>
    <row r="153" spans="2:15" s="97" customFormat="1" x14ac:dyDescent="0.2">
      <c r="B153" s="30"/>
      <c r="C153" s="31"/>
      <c r="D153" s="31"/>
      <c r="E153" s="31"/>
      <c r="F153" s="31"/>
      <c r="G153" s="31"/>
      <c r="H153" s="31"/>
      <c r="I153" s="32"/>
      <c r="J153" s="183"/>
      <c r="K153" s="183"/>
      <c r="L153" s="183"/>
      <c r="M153" s="183"/>
      <c r="N153" s="183"/>
      <c r="O153" s="183"/>
    </row>
    <row r="154" spans="2:15" s="97" customFormat="1" x14ac:dyDescent="0.2">
      <c r="B154" s="30"/>
      <c r="C154" s="31"/>
      <c r="D154" s="31"/>
      <c r="E154" s="31"/>
      <c r="F154" s="31"/>
      <c r="G154" s="31"/>
      <c r="H154" s="31"/>
      <c r="I154" s="32"/>
      <c r="J154" s="183"/>
      <c r="K154" s="183"/>
      <c r="L154" s="183"/>
      <c r="M154" s="183"/>
      <c r="N154" s="183"/>
      <c r="O154" s="183"/>
    </row>
    <row r="155" spans="2:15" s="97" customFormat="1" x14ac:dyDescent="0.2">
      <c r="B155" s="30"/>
      <c r="C155" s="31"/>
      <c r="D155" s="31"/>
      <c r="E155" s="31"/>
      <c r="F155" s="31"/>
      <c r="G155" s="31"/>
      <c r="H155" s="31"/>
      <c r="I155" s="32"/>
      <c r="J155" s="183"/>
      <c r="K155" s="183"/>
      <c r="L155" s="183"/>
      <c r="M155" s="183"/>
      <c r="N155" s="183"/>
      <c r="O155" s="183"/>
    </row>
    <row r="156" spans="2:15" s="97" customFormat="1" x14ac:dyDescent="0.2">
      <c r="B156" s="30"/>
      <c r="C156" s="31"/>
      <c r="D156" s="31"/>
      <c r="E156" s="31"/>
      <c r="F156" s="31"/>
      <c r="G156" s="31"/>
      <c r="H156" s="31"/>
      <c r="I156" s="32"/>
      <c r="J156" s="183"/>
      <c r="K156" s="183"/>
      <c r="L156" s="183"/>
      <c r="M156" s="183"/>
      <c r="N156" s="183"/>
      <c r="O156" s="183"/>
    </row>
    <row r="157" spans="2:15" s="97" customFormat="1" x14ac:dyDescent="0.2">
      <c r="B157" s="30"/>
      <c r="C157" s="31"/>
      <c r="D157" s="31"/>
      <c r="E157" s="31"/>
      <c r="F157" s="31"/>
      <c r="G157" s="31"/>
      <c r="H157" s="31"/>
      <c r="I157" s="32"/>
      <c r="J157" s="183"/>
      <c r="K157" s="183"/>
      <c r="L157" s="183"/>
      <c r="M157" s="183"/>
      <c r="N157" s="183"/>
      <c r="O157" s="183"/>
    </row>
    <row r="158" spans="2:15" s="97" customFormat="1" x14ac:dyDescent="0.2">
      <c r="B158" s="30"/>
      <c r="C158" s="31"/>
      <c r="D158" s="31"/>
      <c r="E158" s="31"/>
      <c r="F158" s="31"/>
      <c r="G158" s="31"/>
      <c r="H158" s="31"/>
      <c r="I158" s="32"/>
      <c r="J158" s="183"/>
      <c r="K158" s="183"/>
      <c r="L158" s="183"/>
      <c r="M158" s="183"/>
      <c r="N158" s="183"/>
      <c r="O158" s="183"/>
    </row>
    <row r="159" spans="2:15" s="97" customFormat="1" x14ac:dyDescent="0.2">
      <c r="B159" s="30"/>
      <c r="C159" s="31"/>
      <c r="D159" s="31"/>
      <c r="E159" s="31"/>
      <c r="F159" s="31"/>
      <c r="G159" s="31"/>
      <c r="H159" s="31"/>
      <c r="I159" s="32"/>
      <c r="J159" s="183"/>
      <c r="K159" s="183"/>
      <c r="L159" s="183"/>
      <c r="M159" s="183"/>
      <c r="N159" s="183"/>
      <c r="O159" s="183"/>
    </row>
    <row r="160" spans="2:15" s="97" customFormat="1" x14ac:dyDescent="0.2">
      <c r="B160" s="30"/>
      <c r="C160" s="31"/>
      <c r="D160" s="31"/>
      <c r="E160" s="31"/>
      <c r="F160" s="31"/>
      <c r="G160" s="31"/>
      <c r="H160" s="31"/>
      <c r="I160" s="32"/>
      <c r="J160" s="183"/>
      <c r="K160" s="183"/>
      <c r="L160" s="183"/>
      <c r="M160" s="183"/>
      <c r="N160" s="183"/>
      <c r="O160" s="183"/>
    </row>
    <row r="161" spans="2:15" s="97" customFormat="1" x14ac:dyDescent="0.2">
      <c r="B161" s="38"/>
      <c r="C161" s="36"/>
      <c r="D161" s="36"/>
      <c r="E161" s="36"/>
      <c r="F161" s="36"/>
      <c r="G161" s="36"/>
      <c r="H161" s="36"/>
      <c r="I161" s="39"/>
      <c r="J161" s="183"/>
      <c r="K161" s="183"/>
      <c r="L161" s="183"/>
      <c r="M161" s="183"/>
      <c r="N161" s="183"/>
      <c r="O161" s="183"/>
    </row>
    <row r="162" spans="2:15" s="97" customFormat="1" x14ac:dyDescent="0.2">
      <c r="B162" s="183"/>
      <c r="C162" s="183"/>
      <c r="D162" s="183"/>
      <c r="E162" s="183"/>
      <c r="F162" s="183"/>
      <c r="G162" s="183"/>
      <c r="H162" s="183"/>
      <c r="I162" s="183"/>
      <c r="J162" s="183"/>
      <c r="K162" s="183"/>
      <c r="L162" s="183"/>
      <c r="M162" s="183"/>
      <c r="N162" s="183"/>
      <c r="O162" s="183"/>
    </row>
    <row r="163" spans="2:15" s="97" customFormat="1" x14ac:dyDescent="0.2">
      <c r="B163" s="183"/>
      <c r="C163" s="183"/>
      <c r="D163" s="183"/>
      <c r="E163" s="183"/>
      <c r="F163" s="183"/>
      <c r="G163" s="183"/>
      <c r="H163" s="183"/>
      <c r="I163" s="183"/>
      <c r="J163" s="183"/>
      <c r="K163" s="183"/>
      <c r="L163" s="183"/>
      <c r="M163" s="183"/>
      <c r="N163" s="183"/>
      <c r="O163" s="183"/>
    </row>
    <row r="164" spans="2:15" s="97" customFormat="1" x14ac:dyDescent="0.2">
      <c r="B164" s="183"/>
      <c r="C164" s="183"/>
      <c r="D164" s="183"/>
      <c r="E164" s="183"/>
      <c r="F164" s="183"/>
      <c r="G164" s="183"/>
      <c r="H164" s="183"/>
      <c r="I164" s="183"/>
      <c r="J164" s="183"/>
      <c r="K164" s="183"/>
      <c r="L164" s="183"/>
      <c r="M164" s="183"/>
      <c r="N164" s="183"/>
      <c r="O164" s="183"/>
    </row>
  </sheetData>
  <sheetProtection password="E10F" sheet="1"/>
  <mergeCells count="4">
    <mergeCell ref="C13:D13"/>
    <mergeCell ref="C14:D14"/>
    <mergeCell ref="C15:D15"/>
    <mergeCell ref="C16:D16"/>
  </mergeCells>
  <phoneticPr fontId="0" type="noConversion"/>
  <conditionalFormatting sqref="E26">
    <cfRule type="cellIs" dxfId="3" priority="1" stopIfTrue="1" operator="greaterThanOrEqual">
      <formula>100</formula>
    </cfRule>
    <cfRule type="cellIs" dxfId="2" priority="2" stopIfTrue="1" operator="lessThan">
      <formula>100</formula>
    </cfRule>
  </conditionalFormatting>
  <dataValidations count="4">
    <dataValidation type="list" allowBlank="1" showInputMessage="1" showErrorMessage="1" promptTitle="Select Material" sqref="C5" xr:uid="{00000000-0002-0000-2400-000000000000}">
      <formula1>Tube_Type</formula1>
    </dataValidation>
    <dataValidation type="list" allowBlank="1" showInputMessage="1" showErrorMessage="1" promptTitle="Select Material" sqref="C4" xr:uid="{00000000-0002-0000-2400-000001000000}">
      <formula1>"Steel, Aluminium 1, Aluminium 2"</formula1>
    </dataValidation>
    <dataValidation allowBlank="1" showInputMessage="1" showErrorMessage="1" promptTitle="Select Material" sqref="D4:D5" xr:uid="{00000000-0002-0000-2400-000002000000}"/>
    <dataValidation type="list" allowBlank="1" showInputMessage="1" showErrorMessage="1" promptTitle="Select Material" sqref="C12:D12" xr:uid="{00000000-0002-0000-2400-000003000000}">
      <formula1>Materials</formula1>
    </dataValidation>
  </dataValidations>
  <hyperlinks>
    <hyperlink ref="H27:I27" location="'Cover Sheet'!A1" display="BACK to COVER SHEET" xr:uid="{00000000-0004-0000-2400-000000000000}"/>
  </hyperlinks>
  <pageMargins left="0.75" right="0.75" top="1" bottom="1" header="0.5" footer="0.5"/>
  <pageSetup paperSize="9" scale="67" fitToHeight="2" orientation="portrait" horizontalDpi="4294967294"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7"/>
  <dimension ref="B1:M9992"/>
  <sheetViews>
    <sheetView showGridLines="0" workbookViewId="0">
      <selection activeCell="B1" sqref="B1"/>
    </sheetView>
  </sheetViews>
  <sheetFormatPr baseColWidth="10" defaultColWidth="9.140625" defaultRowHeight="12.75" x14ac:dyDescent="0.2"/>
  <cols>
    <col min="1" max="1" width="4.28515625" customWidth="1"/>
    <col min="2" max="2" width="29" customWidth="1"/>
    <col min="3" max="3" width="13.5703125" customWidth="1"/>
    <col min="4" max="4" width="7.42578125" customWidth="1"/>
    <col min="5" max="5" width="6.140625" bestFit="1" customWidth="1"/>
    <col min="6" max="6" width="7.42578125" customWidth="1"/>
    <col min="7" max="7" width="6.140625" bestFit="1" customWidth="1"/>
  </cols>
  <sheetData>
    <row r="1" spans="2:7" ht="15.75" x14ac:dyDescent="0.25">
      <c r="B1" s="2" t="s">
        <v>488</v>
      </c>
    </row>
    <row r="3" spans="2:7" x14ac:dyDescent="0.2">
      <c r="B3" s="83" t="s">
        <v>491</v>
      </c>
      <c r="C3" s="346" t="str">
        <f>IF(OR(C14&lt;=1,C14=""),"FAIL","PASS")</f>
        <v>FAIL</v>
      </c>
      <c r="D3" s="785"/>
      <c r="E3" s="786"/>
      <c r="F3" s="786"/>
      <c r="G3" s="786"/>
    </row>
    <row r="4" spans="2:7" x14ac:dyDescent="0.2">
      <c r="B4" s="78"/>
      <c r="C4" s="82"/>
      <c r="D4" s="77"/>
      <c r="E4" s="73"/>
      <c r="F4" s="98"/>
      <c r="G4" s="98"/>
    </row>
    <row r="5" spans="2:7" x14ac:dyDescent="0.2">
      <c r="B5" s="403" t="s">
        <v>489</v>
      </c>
      <c r="C5" s="167">
        <v>0</v>
      </c>
      <c r="D5" s="321"/>
      <c r="E5" s="100"/>
      <c r="F5" s="102"/>
      <c r="G5" s="100"/>
    </row>
    <row r="6" spans="2:7" x14ac:dyDescent="0.2">
      <c r="B6" s="90" t="s">
        <v>490</v>
      </c>
      <c r="C6" s="161">
        <v>0</v>
      </c>
      <c r="D6" s="322"/>
      <c r="E6" s="100"/>
      <c r="F6" s="103"/>
      <c r="G6" s="100"/>
    </row>
    <row r="7" spans="2:7" x14ac:dyDescent="0.2">
      <c r="B7" s="404" t="s">
        <v>493</v>
      </c>
      <c r="C7" s="22">
        <v>0</v>
      </c>
      <c r="D7" s="73"/>
      <c r="E7" s="104"/>
      <c r="F7" s="98"/>
      <c r="G7" s="104"/>
    </row>
    <row r="8" spans="2:7" x14ac:dyDescent="0.2">
      <c r="B8" s="90" t="s">
        <v>495</v>
      </c>
      <c r="C8" s="325">
        <f>C7*C6</f>
        <v>0</v>
      </c>
      <c r="D8" s="323"/>
      <c r="E8" s="100"/>
      <c r="F8" s="102"/>
      <c r="G8" s="100"/>
    </row>
    <row r="9" spans="2:7" x14ac:dyDescent="0.2">
      <c r="B9" s="90"/>
      <c r="C9" s="406"/>
      <c r="D9" s="323"/>
      <c r="E9" s="100"/>
      <c r="F9" s="102"/>
      <c r="G9" s="100"/>
    </row>
    <row r="10" spans="2:7" x14ac:dyDescent="0.2">
      <c r="B10" s="90" t="s">
        <v>497</v>
      </c>
      <c r="C10" s="159">
        <v>0</v>
      </c>
      <c r="D10" s="323"/>
      <c r="E10" s="100"/>
      <c r="F10" s="102"/>
      <c r="G10" s="100"/>
    </row>
    <row r="11" spans="2:7" x14ac:dyDescent="0.2">
      <c r="B11" s="90" t="s">
        <v>190</v>
      </c>
      <c r="C11" s="408">
        <v>0</v>
      </c>
      <c r="D11" s="323"/>
      <c r="E11" s="100"/>
      <c r="F11" s="102"/>
      <c r="G11" s="100"/>
    </row>
    <row r="12" spans="2:7" x14ac:dyDescent="0.2">
      <c r="B12" s="90" t="s">
        <v>496</v>
      </c>
      <c r="C12" s="324">
        <f>C10*C11</f>
        <v>0</v>
      </c>
      <c r="D12" s="323"/>
      <c r="E12" s="100"/>
      <c r="F12" s="102"/>
      <c r="G12" s="100"/>
    </row>
    <row r="13" spans="2:7" x14ac:dyDescent="0.2">
      <c r="B13" s="53"/>
      <c r="C13" s="407"/>
      <c r="D13" s="78"/>
      <c r="E13" s="100"/>
      <c r="F13" s="98"/>
      <c r="G13" s="100"/>
    </row>
    <row r="14" spans="2:7" x14ac:dyDescent="0.2">
      <c r="B14" s="405" t="s">
        <v>494</v>
      </c>
      <c r="C14" s="409" t="str">
        <f>IF(NOT(C12=0),C8/C12,"")</f>
        <v/>
      </c>
      <c r="D14" s="78"/>
      <c r="E14" s="104"/>
      <c r="F14" s="98"/>
      <c r="G14" s="95"/>
    </row>
    <row r="16" spans="2:7" x14ac:dyDescent="0.2">
      <c r="B16" s="5" t="s">
        <v>492</v>
      </c>
    </row>
    <row r="17" spans="2:13" s="166" customFormat="1" x14ac:dyDescent="0.2">
      <c r="B17" s="24"/>
      <c r="C17" s="25"/>
      <c r="D17" s="25"/>
      <c r="E17" s="25"/>
      <c r="F17" s="25"/>
      <c r="G17" s="25"/>
      <c r="H17" s="25"/>
      <c r="I17" s="26"/>
    </row>
    <row r="18" spans="2:13" s="166" customFormat="1" x14ac:dyDescent="0.2">
      <c r="B18" s="30"/>
      <c r="C18" s="31"/>
      <c r="D18" s="31"/>
      <c r="E18" s="31"/>
      <c r="F18" s="31"/>
      <c r="G18" s="31"/>
      <c r="H18" s="31"/>
      <c r="I18" s="32"/>
    </row>
    <row r="19" spans="2:13" s="166" customFormat="1" x14ac:dyDescent="0.2">
      <c r="B19" s="30"/>
      <c r="C19" s="31"/>
      <c r="D19" s="31"/>
      <c r="E19" s="31"/>
      <c r="F19" s="31"/>
      <c r="G19" s="31"/>
      <c r="H19" s="31"/>
      <c r="I19" s="32"/>
    </row>
    <row r="20" spans="2:13" s="166" customFormat="1" x14ac:dyDescent="0.2">
      <c r="B20" s="30"/>
      <c r="C20" s="31"/>
      <c r="D20" s="31"/>
      <c r="E20" s="31"/>
      <c r="F20" s="31"/>
      <c r="G20" s="31"/>
      <c r="H20" s="31"/>
      <c r="I20" s="32"/>
    </row>
    <row r="21" spans="2:13" s="166" customFormat="1" x14ac:dyDescent="0.2">
      <c r="B21" s="30"/>
      <c r="C21" s="31"/>
      <c r="D21" s="31"/>
      <c r="E21" s="31"/>
      <c r="F21" s="31"/>
      <c r="G21" s="31"/>
      <c r="H21" s="31"/>
      <c r="I21" s="32"/>
    </row>
    <row r="22" spans="2:13" s="166" customFormat="1" x14ac:dyDescent="0.2">
      <c r="B22" s="30"/>
      <c r="C22" s="31"/>
      <c r="D22" s="31"/>
      <c r="E22" s="31"/>
      <c r="F22" s="31"/>
      <c r="G22" s="31"/>
      <c r="H22" s="31"/>
      <c r="I22" s="32"/>
      <c r="K22" s="473" t="s">
        <v>565</v>
      </c>
      <c r="L22" s="473"/>
      <c r="M22" s="473"/>
    </row>
    <row r="23" spans="2:13" s="166" customFormat="1" x14ac:dyDescent="0.2">
      <c r="B23" s="30"/>
      <c r="C23" s="31"/>
      <c r="D23" s="31"/>
      <c r="E23" s="31"/>
      <c r="F23" s="31"/>
      <c r="G23" s="31"/>
      <c r="H23" s="31"/>
      <c r="I23" s="32"/>
    </row>
    <row r="24" spans="2:13" s="166" customFormat="1" x14ac:dyDescent="0.2">
      <c r="B24" s="30"/>
      <c r="C24" s="31"/>
      <c r="D24" s="31"/>
      <c r="E24" s="31"/>
      <c r="F24" s="31"/>
      <c r="G24" s="31"/>
      <c r="H24" s="31"/>
      <c r="I24" s="32"/>
    </row>
    <row r="25" spans="2:13" s="166" customFormat="1" x14ac:dyDescent="0.2">
      <c r="B25" s="30"/>
      <c r="C25" s="31"/>
      <c r="D25" s="31"/>
      <c r="E25" s="31"/>
      <c r="F25" s="31"/>
      <c r="G25" s="31"/>
      <c r="H25" s="31"/>
      <c r="I25" s="32"/>
    </row>
    <row r="26" spans="2:13" s="166" customFormat="1" x14ac:dyDescent="0.2">
      <c r="B26" s="30"/>
      <c r="C26" s="31"/>
      <c r="D26" s="31"/>
      <c r="E26" s="31"/>
      <c r="F26" s="31"/>
      <c r="G26" s="31"/>
      <c r="H26" s="31"/>
      <c r="I26" s="32"/>
    </row>
    <row r="27" spans="2:13" s="166" customFormat="1" x14ac:dyDescent="0.2">
      <c r="B27" s="30"/>
      <c r="C27" s="31"/>
      <c r="D27" s="31"/>
      <c r="E27" s="31"/>
      <c r="F27" s="31"/>
      <c r="G27" s="31"/>
      <c r="H27" s="31"/>
      <c r="I27" s="32"/>
    </row>
    <row r="28" spans="2:13" s="166" customFormat="1" x14ac:dyDescent="0.2">
      <c r="B28" s="30"/>
      <c r="C28" s="31"/>
      <c r="D28" s="31"/>
      <c r="E28" s="31"/>
      <c r="F28" s="31"/>
      <c r="G28" s="31"/>
      <c r="H28" s="31"/>
      <c r="I28" s="32"/>
    </row>
    <row r="29" spans="2:13" s="166" customFormat="1" x14ac:dyDescent="0.2">
      <c r="B29" s="30"/>
      <c r="C29" s="31"/>
      <c r="D29" s="31"/>
      <c r="E29" s="31"/>
      <c r="F29" s="31"/>
      <c r="G29" s="31"/>
      <c r="H29" s="31"/>
      <c r="I29" s="32"/>
    </row>
    <row r="30" spans="2:13" s="166" customFormat="1" x14ac:dyDescent="0.2">
      <c r="B30" s="30"/>
      <c r="C30" s="31"/>
      <c r="D30" s="31"/>
      <c r="E30" s="31"/>
      <c r="F30" s="31"/>
      <c r="G30" s="31"/>
      <c r="H30" s="31"/>
      <c r="I30" s="32"/>
    </row>
    <row r="31" spans="2:13" s="166" customFormat="1" x14ac:dyDescent="0.2">
      <c r="B31" s="30"/>
      <c r="C31" s="31"/>
      <c r="D31" s="31"/>
      <c r="E31" s="31"/>
      <c r="F31" s="31"/>
      <c r="G31" s="31"/>
      <c r="H31" s="31"/>
      <c r="I31" s="32"/>
    </row>
    <row r="32" spans="2:13" s="166" customFormat="1" x14ac:dyDescent="0.2">
      <c r="B32" s="30"/>
      <c r="C32" s="31"/>
      <c r="D32" s="31"/>
      <c r="E32" s="31"/>
      <c r="F32" s="31"/>
      <c r="G32" s="31"/>
      <c r="H32" s="31"/>
      <c r="I32" s="32"/>
    </row>
    <row r="33" spans="2:9" s="166" customFormat="1" x14ac:dyDescent="0.2">
      <c r="B33" s="30"/>
      <c r="C33" s="31"/>
      <c r="D33" s="31"/>
      <c r="E33" s="31"/>
      <c r="F33" s="31"/>
      <c r="G33" s="31"/>
      <c r="H33" s="31"/>
      <c r="I33" s="32"/>
    </row>
    <row r="34" spans="2:9" s="166" customFormat="1" x14ac:dyDescent="0.2">
      <c r="B34" s="30"/>
      <c r="C34" s="31"/>
      <c r="D34" s="31"/>
      <c r="E34" s="31"/>
      <c r="F34" s="31"/>
      <c r="G34" s="31"/>
      <c r="H34" s="31"/>
      <c r="I34" s="32"/>
    </row>
    <row r="35" spans="2:9" s="166" customFormat="1" x14ac:dyDescent="0.2">
      <c r="B35" s="30"/>
      <c r="C35" s="31"/>
      <c r="D35" s="31"/>
      <c r="E35" s="31"/>
      <c r="F35" s="31"/>
      <c r="G35" s="31"/>
      <c r="H35" s="31"/>
      <c r="I35" s="32"/>
    </row>
    <row r="36" spans="2:9" s="166" customFormat="1" x14ac:dyDescent="0.2">
      <c r="B36" s="30"/>
      <c r="C36" s="31"/>
      <c r="D36" s="31"/>
      <c r="E36" s="31"/>
      <c r="F36" s="31"/>
      <c r="G36" s="31"/>
      <c r="H36" s="31"/>
      <c r="I36" s="32"/>
    </row>
    <row r="37" spans="2:9" s="166" customFormat="1" x14ac:dyDescent="0.2">
      <c r="B37" s="30"/>
      <c r="C37" s="31"/>
      <c r="D37" s="31"/>
      <c r="E37" s="31"/>
      <c r="F37" s="31"/>
      <c r="G37" s="31"/>
      <c r="H37" s="31"/>
      <c r="I37" s="32"/>
    </row>
    <row r="38" spans="2:9" s="166" customFormat="1" x14ac:dyDescent="0.2">
      <c r="B38" s="30"/>
      <c r="C38" s="31"/>
      <c r="D38" s="31"/>
      <c r="E38" s="31"/>
      <c r="F38" s="31"/>
      <c r="G38" s="31"/>
      <c r="H38" s="31"/>
      <c r="I38" s="32"/>
    </row>
    <row r="39" spans="2:9" s="166" customFormat="1" x14ac:dyDescent="0.2">
      <c r="B39" s="30"/>
      <c r="C39" s="31"/>
      <c r="D39" s="31"/>
      <c r="E39" s="31"/>
      <c r="F39" s="31"/>
      <c r="G39" s="31"/>
      <c r="H39" s="31"/>
      <c r="I39" s="32"/>
    </row>
    <row r="40" spans="2:9" s="166" customFormat="1" x14ac:dyDescent="0.2">
      <c r="B40" s="30"/>
      <c r="C40" s="31"/>
      <c r="D40" s="31"/>
      <c r="E40" s="31"/>
      <c r="F40" s="31"/>
      <c r="G40" s="31"/>
      <c r="H40" s="31"/>
      <c r="I40" s="32"/>
    </row>
    <row r="41" spans="2:9" s="166" customFormat="1" x14ac:dyDescent="0.2">
      <c r="B41" s="30"/>
      <c r="C41" s="31"/>
      <c r="D41" s="31"/>
      <c r="E41" s="31"/>
      <c r="F41" s="31"/>
      <c r="G41" s="31"/>
      <c r="H41" s="31"/>
      <c r="I41" s="32"/>
    </row>
    <row r="42" spans="2:9" s="166" customFormat="1" x14ac:dyDescent="0.2">
      <c r="B42" s="30"/>
      <c r="C42" s="31"/>
      <c r="D42" s="31"/>
      <c r="E42" s="31"/>
      <c r="F42" s="31"/>
      <c r="G42" s="31"/>
      <c r="H42" s="31"/>
      <c r="I42" s="32"/>
    </row>
    <row r="43" spans="2:9" s="166" customFormat="1" x14ac:dyDescent="0.2">
      <c r="B43" s="30"/>
      <c r="C43" s="31"/>
      <c r="D43" s="31"/>
      <c r="E43" s="31"/>
      <c r="F43" s="31"/>
      <c r="G43" s="31"/>
      <c r="H43" s="31"/>
      <c r="I43" s="32"/>
    </row>
    <row r="44" spans="2:9" s="166" customFormat="1" x14ac:dyDescent="0.2">
      <c r="B44" s="30"/>
      <c r="C44" s="31"/>
      <c r="D44" s="31"/>
      <c r="E44" s="31"/>
      <c r="F44" s="31"/>
      <c r="G44" s="31"/>
      <c r="H44" s="31"/>
      <c r="I44" s="32"/>
    </row>
    <row r="45" spans="2:9" s="166" customFormat="1" x14ac:dyDescent="0.2">
      <c r="B45" s="30"/>
      <c r="C45" s="31"/>
      <c r="D45" s="31"/>
      <c r="E45" s="31"/>
      <c r="F45" s="31"/>
      <c r="G45" s="31"/>
      <c r="H45" s="31"/>
      <c r="I45" s="32"/>
    </row>
    <row r="46" spans="2:9" s="166" customFormat="1" x14ac:dyDescent="0.2">
      <c r="B46" s="38"/>
      <c r="C46" s="36"/>
      <c r="D46" s="36"/>
      <c r="E46" s="36"/>
      <c r="F46" s="36"/>
      <c r="G46" s="36"/>
      <c r="H46" s="36"/>
      <c r="I46" s="39"/>
    </row>
    <row r="47" spans="2:9" s="166" customFormat="1" x14ac:dyDescent="0.2"/>
    <row r="48" spans="2:9" s="166" customFormat="1" x14ac:dyDescent="0.2"/>
    <row r="49" s="166" customFormat="1" x14ac:dyDescent="0.2"/>
    <row r="50" s="166" customFormat="1" x14ac:dyDescent="0.2"/>
    <row r="51" s="166" customFormat="1" x14ac:dyDescent="0.2"/>
    <row r="52" s="166" customFormat="1" x14ac:dyDescent="0.2"/>
    <row r="53" s="166" customFormat="1" x14ac:dyDescent="0.2"/>
    <row r="54" s="166" customFormat="1" x14ac:dyDescent="0.2"/>
    <row r="55" s="166" customFormat="1" x14ac:dyDescent="0.2"/>
    <row r="56" s="166" customFormat="1" x14ac:dyDescent="0.2"/>
    <row r="57" s="166" customFormat="1" x14ac:dyDescent="0.2"/>
    <row r="58" s="166" customFormat="1" x14ac:dyDescent="0.2"/>
    <row r="59" s="166" customFormat="1" x14ac:dyDescent="0.2"/>
    <row r="60" s="166" customFormat="1" x14ac:dyDescent="0.2"/>
    <row r="61" s="166" customFormat="1" x14ac:dyDescent="0.2"/>
    <row r="62" s="166" customFormat="1" x14ac:dyDescent="0.2"/>
    <row r="63" s="166" customFormat="1" x14ac:dyDescent="0.2"/>
    <row r="64"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sheetData>
  <sheetProtection password="E10F" sheet="1"/>
  <mergeCells count="2">
    <mergeCell ref="D3:E3"/>
    <mergeCell ref="F3:G3"/>
  </mergeCells>
  <phoneticPr fontId="0" type="noConversion"/>
  <conditionalFormatting sqref="C3">
    <cfRule type="expression" dxfId="1" priority="1" stopIfTrue="1">
      <formula>C3="FAIL"</formula>
    </cfRule>
    <cfRule type="expression" dxfId="0" priority="2" stopIfTrue="1">
      <formula>C3="PASS"</formula>
    </cfRule>
  </conditionalFormatting>
  <hyperlinks>
    <hyperlink ref="K22:M22" location="'Cover Sheet'!A1" display="BACK to COVER SHEET" xr:uid="{00000000-0004-0000-2500-000000000000}"/>
  </hyperlinks>
  <pageMargins left="0.75" right="0.75" top="1" bottom="1" header="0.5" footer="0.5"/>
  <headerFooter alignWithMargins="0"/>
  <ignoredErrors>
    <ignoredError sqref="C14" unlockedFormula="1"/>
  </ignoredErrors>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dimension ref="A1:AL63"/>
  <sheetViews>
    <sheetView showGridLines="0" view="pageBreakPreview" zoomScaleNormal="100" zoomScaleSheetLayoutView="100" workbookViewId="0">
      <selection activeCell="C7" sqref="C7"/>
    </sheetView>
  </sheetViews>
  <sheetFormatPr baseColWidth="10" defaultColWidth="9.140625" defaultRowHeight="12.75" x14ac:dyDescent="0.2"/>
  <cols>
    <col min="1" max="3" width="5" customWidth="1"/>
    <col min="4" max="4" width="6.7109375" customWidth="1"/>
    <col min="5" max="38" width="5" customWidth="1"/>
  </cols>
  <sheetData>
    <row r="1" spans="1:38" x14ac:dyDescent="0.2">
      <c r="A1" s="601" t="s">
        <v>587</v>
      </c>
      <c r="B1" s="601"/>
      <c r="C1" s="601"/>
      <c r="D1" s="601"/>
      <c r="E1" s="601"/>
      <c r="F1" s="601"/>
      <c r="G1" s="601"/>
      <c r="H1" s="601"/>
      <c r="I1" s="601"/>
      <c r="J1" s="601"/>
      <c r="K1" s="601"/>
      <c r="L1" s="601"/>
      <c r="M1" s="601"/>
      <c r="N1" s="601"/>
      <c r="O1" s="601"/>
      <c r="P1" s="601"/>
      <c r="Q1" s="601"/>
      <c r="R1" s="601"/>
      <c r="S1" s="601"/>
      <c r="T1" s="24"/>
      <c r="U1" s="25"/>
      <c r="V1" s="25"/>
      <c r="W1" s="25"/>
      <c r="X1" s="25"/>
      <c r="Y1" s="25"/>
      <c r="Z1" s="25"/>
      <c r="AA1" s="25"/>
      <c r="AB1" s="25"/>
      <c r="AC1" s="25"/>
      <c r="AD1" s="25"/>
      <c r="AE1" s="25"/>
      <c r="AF1" s="25"/>
      <c r="AG1" s="25"/>
      <c r="AH1" s="25"/>
      <c r="AI1" s="25"/>
      <c r="AJ1" s="25"/>
      <c r="AK1" s="25"/>
      <c r="AL1" s="26"/>
    </row>
    <row r="2" spans="1:38" x14ac:dyDescent="0.2">
      <c r="T2" s="30"/>
      <c r="U2" s="31"/>
      <c r="V2" s="31"/>
      <c r="W2" s="31"/>
      <c r="X2" s="31"/>
      <c r="Y2" s="31"/>
      <c r="Z2" s="31"/>
      <c r="AA2" s="31"/>
      <c r="AB2" s="31"/>
      <c r="AC2" s="31"/>
      <c r="AD2" s="31"/>
      <c r="AE2" s="31"/>
      <c r="AF2" s="31"/>
      <c r="AG2" s="31"/>
      <c r="AH2" s="31"/>
      <c r="AI2" s="31"/>
      <c r="AJ2" s="31"/>
      <c r="AK2" s="31"/>
      <c r="AL2" s="32"/>
    </row>
    <row r="3" spans="1:38" x14ac:dyDescent="0.2">
      <c r="A3" t="s">
        <v>47</v>
      </c>
      <c r="D3" s="637" t="str">
        <f>IF('Cover Sheet'!D14:J14&gt;0,'Cover Sheet'!D14:J14,"")</f>
        <v>EPSA</v>
      </c>
      <c r="E3" s="637"/>
      <c r="F3" s="637"/>
      <c r="G3" s="637"/>
      <c r="H3" s="637"/>
      <c r="I3" s="637"/>
      <c r="J3" s="637"/>
      <c r="K3" t="s">
        <v>48</v>
      </c>
      <c r="O3" s="637" t="str">
        <f>IF('Cover Sheet'!O14:S14&gt;0,'Cover Sheet'!O14:S14,"")</f>
        <v/>
      </c>
      <c r="P3" s="637"/>
      <c r="Q3" s="637"/>
      <c r="R3" s="637"/>
      <c r="S3" s="637"/>
      <c r="T3" s="30"/>
      <c r="U3" s="31"/>
      <c r="V3" s="31"/>
      <c r="W3" s="31"/>
      <c r="X3" s="31"/>
      <c r="Y3" s="31"/>
      <c r="Z3" s="31"/>
      <c r="AA3" s="31"/>
      <c r="AB3" s="31"/>
      <c r="AC3" s="31"/>
      <c r="AD3" s="31"/>
      <c r="AE3" s="31"/>
      <c r="AF3" s="31"/>
      <c r="AG3" s="31"/>
      <c r="AH3" s="31"/>
      <c r="AI3" s="31"/>
      <c r="AJ3" s="31"/>
      <c r="AK3" s="31"/>
      <c r="AL3" s="32"/>
    </row>
    <row r="4" spans="1:38" x14ac:dyDescent="0.2">
      <c r="T4" s="30"/>
      <c r="U4" s="31"/>
      <c r="V4" s="31"/>
      <c r="W4" s="31"/>
      <c r="X4" s="31"/>
      <c r="Y4" s="31"/>
      <c r="Z4" s="31"/>
      <c r="AA4" s="31"/>
      <c r="AB4" s="31"/>
      <c r="AC4" s="31"/>
      <c r="AD4" s="31"/>
      <c r="AE4" s="31"/>
      <c r="AF4" s="31"/>
      <c r="AG4" s="31"/>
      <c r="AH4" s="31"/>
      <c r="AI4" s="31"/>
      <c r="AJ4" s="31"/>
      <c r="AK4" s="31"/>
      <c r="AL4" s="32"/>
    </row>
    <row r="5" spans="1:38" ht="12.75" customHeight="1" x14ac:dyDescent="0.2">
      <c r="A5" s="787" t="s">
        <v>169</v>
      </c>
      <c r="B5" s="632"/>
      <c r="C5" s="632"/>
      <c r="D5" s="632"/>
      <c r="E5" s="632"/>
      <c r="F5" s="632"/>
      <c r="G5" s="632"/>
      <c r="H5" s="632"/>
      <c r="I5" s="632"/>
      <c r="J5" s="632"/>
      <c r="K5" s="632"/>
      <c r="L5" s="632"/>
      <c r="M5" s="632"/>
      <c r="N5" s="632"/>
      <c r="O5" s="632"/>
      <c r="P5" s="632"/>
      <c r="Q5" s="632"/>
      <c r="R5" s="632"/>
      <c r="S5" s="632"/>
      <c r="T5" s="30"/>
      <c r="U5" s="31"/>
      <c r="V5" s="31"/>
      <c r="W5" s="31"/>
      <c r="X5" s="31"/>
      <c r="Y5" s="31"/>
      <c r="Z5" s="31"/>
      <c r="AA5" s="31"/>
      <c r="AB5" s="31"/>
      <c r="AC5" s="31"/>
      <c r="AD5" s="31"/>
      <c r="AE5" s="31"/>
      <c r="AF5" s="31"/>
      <c r="AG5" s="31"/>
      <c r="AH5" s="31"/>
      <c r="AI5" s="31"/>
      <c r="AJ5" s="31"/>
      <c r="AK5" s="31"/>
      <c r="AL5" s="32"/>
    </row>
    <row r="6" spans="1:38" x14ac:dyDescent="0.2">
      <c r="A6" s="633"/>
      <c r="B6" s="634"/>
      <c r="C6" s="634"/>
      <c r="D6" s="634"/>
      <c r="E6" s="634"/>
      <c r="F6" s="634"/>
      <c r="G6" s="634"/>
      <c r="H6" s="634"/>
      <c r="I6" s="634"/>
      <c r="J6" s="634"/>
      <c r="K6" s="634"/>
      <c r="L6" s="634"/>
      <c r="M6" s="634"/>
      <c r="N6" s="634"/>
      <c r="O6" s="634"/>
      <c r="P6" s="634"/>
      <c r="Q6" s="634"/>
      <c r="R6" s="634"/>
      <c r="S6" s="634"/>
      <c r="T6" s="30"/>
      <c r="U6" s="31"/>
      <c r="V6" s="31"/>
      <c r="W6" s="31"/>
      <c r="X6" s="31"/>
      <c r="Y6" s="31"/>
      <c r="Z6" s="31"/>
      <c r="AA6" s="31"/>
      <c r="AB6" s="31"/>
      <c r="AC6" s="31"/>
      <c r="AD6" s="31"/>
      <c r="AE6" s="31"/>
      <c r="AF6" s="31"/>
      <c r="AG6" s="31"/>
      <c r="AH6" s="31"/>
      <c r="AI6" s="31"/>
      <c r="AJ6" s="31"/>
      <c r="AK6" s="31"/>
      <c r="AL6" s="32"/>
    </row>
    <row r="7" spans="1:38" x14ac:dyDescent="0.2">
      <c r="A7" s="521" t="s">
        <v>565</v>
      </c>
      <c r="B7" s="522"/>
      <c r="C7" s="522"/>
      <c r="D7" s="522"/>
      <c r="E7" s="169"/>
      <c r="F7" s="169"/>
      <c r="G7" s="169"/>
      <c r="H7" s="169"/>
      <c r="I7" s="169"/>
      <c r="J7" s="169"/>
      <c r="K7" s="169"/>
      <c r="L7" s="169"/>
      <c r="M7" s="169"/>
      <c r="N7" s="169"/>
      <c r="O7" s="169"/>
      <c r="P7" s="169"/>
      <c r="Q7" s="169"/>
      <c r="R7" s="169"/>
      <c r="S7" s="170"/>
      <c r="T7" s="30"/>
      <c r="U7" s="31"/>
      <c r="V7" s="31"/>
      <c r="W7" s="31"/>
      <c r="X7" s="31"/>
      <c r="Y7" s="31"/>
      <c r="Z7" s="31"/>
      <c r="AA7" s="31"/>
      <c r="AB7" s="31"/>
      <c r="AC7" s="31"/>
      <c r="AD7" s="31"/>
      <c r="AE7" s="31"/>
      <c r="AF7" s="31"/>
      <c r="AG7" s="31"/>
      <c r="AH7" s="31"/>
      <c r="AI7" s="31"/>
      <c r="AJ7" s="31"/>
      <c r="AK7" s="31"/>
      <c r="AL7" s="32"/>
    </row>
    <row r="8" spans="1:38" x14ac:dyDescent="0.2">
      <c r="A8" s="171"/>
      <c r="B8" s="172"/>
      <c r="C8" s="172"/>
      <c r="D8" s="172"/>
      <c r="E8" s="172"/>
      <c r="F8" s="172"/>
      <c r="G8" s="172"/>
      <c r="H8" s="172"/>
      <c r="I8" s="172"/>
      <c r="J8" s="172"/>
      <c r="K8" s="172"/>
      <c r="L8" s="172"/>
      <c r="M8" s="172"/>
      <c r="N8" s="172"/>
      <c r="O8" s="172"/>
      <c r="P8" s="172"/>
      <c r="Q8" s="172"/>
      <c r="R8" s="172"/>
      <c r="S8" s="173"/>
      <c r="T8" s="30"/>
      <c r="U8" s="31"/>
      <c r="V8" s="31"/>
      <c r="W8" s="31"/>
      <c r="X8" s="31"/>
      <c r="Y8" s="31"/>
      <c r="Z8" s="31"/>
      <c r="AA8" s="31"/>
      <c r="AB8" s="31"/>
      <c r="AC8" s="31"/>
      <c r="AD8" s="31"/>
      <c r="AE8" s="31"/>
      <c r="AF8" s="31"/>
      <c r="AG8" s="31"/>
      <c r="AH8" s="31"/>
      <c r="AI8" s="31"/>
      <c r="AJ8" s="31"/>
      <c r="AK8" s="31"/>
      <c r="AL8" s="32"/>
    </row>
    <row r="9" spans="1:38" x14ac:dyDescent="0.2">
      <c r="A9" s="171"/>
      <c r="B9" s="172"/>
      <c r="C9" s="172"/>
      <c r="D9" s="172"/>
      <c r="E9" s="172"/>
      <c r="F9" s="172"/>
      <c r="G9" s="172"/>
      <c r="H9" s="172"/>
      <c r="I9" s="172"/>
      <c r="J9" s="172"/>
      <c r="K9" s="172"/>
      <c r="L9" s="172"/>
      <c r="M9" s="172"/>
      <c r="N9" s="172"/>
      <c r="O9" s="172"/>
      <c r="P9" s="172"/>
      <c r="Q9" s="172"/>
      <c r="R9" s="172"/>
      <c r="S9" s="173"/>
      <c r="T9" s="30"/>
      <c r="U9" s="31"/>
      <c r="V9" s="31"/>
      <c r="W9" s="31"/>
      <c r="X9" s="31"/>
      <c r="Y9" s="31"/>
      <c r="Z9" s="31"/>
      <c r="AA9" s="31"/>
      <c r="AB9" s="31"/>
      <c r="AC9" s="31"/>
      <c r="AD9" s="31"/>
      <c r="AE9" s="31"/>
      <c r="AF9" s="31"/>
      <c r="AG9" s="31"/>
      <c r="AH9" s="31"/>
      <c r="AI9" s="31"/>
      <c r="AJ9" s="31"/>
      <c r="AK9" s="31"/>
      <c r="AL9" s="32"/>
    </row>
    <row r="10" spans="1:38" x14ac:dyDescent="0.2">
      <c r="A10" s="171"/>
      <c r="B10" s="172"/>
      <c r="C10" s="172"/>
      <c r="D10" s="172"/>
      <c r="E10" s="172"/>
      <c r="F10" s="172"/>
      <c r="G10" s="172"/>
      <c r="H10" s="172"/>
      <c r="I10" s="172"/>
      <c r="J10" s="172"/>
      <c r="K10" s="172"/>
      <c r="L10" s="172"/>
      <c r="M10" s="172"/>
      <c r="N10" s="172"/>
      <c r="O10" s="172"/>
      <c r="P10" s="172"/>
      <c r="Q10" s="172"/>
      <c r="R10" s="172"/>
      <c r="S10" s="173"/>
      <c r="T10" s="30"/>
      <c r="U10" s="31"/>
      <c r="V10" s="31"/>
      <c r="W10" s="31"/>
      <c r="X10" s="31"/>
      <c r="Y10" s="31"/>
      <c r="Z10" s="31"/>
      <c r="AA10" s="31"/>
      <c r="AB10" s="31"/>
      <c r="AC10" s="31"/>
      <c r="AD10" s="31"/>
      <c r="AE10" s="31"/>
      <c r="AF10" s="31"/>
      <c r="AG10" s="31"/>
      <c r="AH10" s="31"/>
      <c r="AI10" s="31"/>
      <c r="AJ10" s="31"/>
      <c r="AK10" s="31"/>
      <c r="AL10" s="32"/>
    </row>
    <row r="11" spans="1:38" x14ac:dyDescent="0.2">
      <c r="A11" s="171"/>
      <c r="B11" s="172"/>
      <c r="C11" s="172"/>
      <c r="D11" s="172"/>
      <c r="E11" s="172"/>
      <c r="F11" s="172"/>
      <c r="G11" s="172"/>
      <c r="H11" s="172"/>
      <c r="I11" s="172"/>
      <c r="J11" s="172"/>
      <c r="K11" s="172"/>
      <c r="L11" s="172"/>
      <c r="M11" s="172"/>
      <c r="N11" s="172"/>
      <c r="O11" s="172"/>
      <c r="P11" s="172"/>
      <c r="Q11" s="172"/>
      <c r="R11" s="172"/>
      <c r="S11" s="173"/>
      <c r="T11" s="30"/>
      <c r="U11" s="31"/>
      <c r="V11" s="31"/>
      <c r="W11" s="31"/>
      <c r="X11" s="31"/>
      <c r="Y11" s="31"/>
      <c r="Z11" s="31"/>
      <c r="AA11" s="31"/>
      <c r="AB11" s="31"/>
      <c r="AC11" s="31"/>
      <c r="AD11" s="31"/>
      <c r="AE11" s="31"/>
      <c r="AF11" s="31"/>
      <c r="AG11" s="31"/>
      <c r="AH11" s="31"/>
      <c r="AI11" s="31"/>
      <c r="AJ11" s="31"/>
      <c r="AK11" s="31"/>
      <c r="AL11" s="32"/>
    </row>
    <row r="12" spans="1:38" x14ac:dyDescent="0.2">
      <c r="A12" s="171"/>
      <c r="B12" s="172"/>
      <c r="C12" s="172"/>
      <c r="D12" s="172"/>
      <c r="E12" s="172"/>
      <c r="F12" s="172"/>
      <c r="G12" s="172"/>
      <c r="H12" s="172"/>
      <c r="I12" s="172"/>
      <c r="J12" s="172"/>
      <c r="K12" s="172"/>
      <c r="L12" s="172"/>
      <c r="M12" s="172"/>
      <c r="N12" s="172"/>
      <c r="O12" s="172"/>
      <c r="P12" s="172"/>
      <c r="Q12" s="172"/>
      <c r="R12" s="172"/>
      <c r="S12" s="173"/>
      <c r="T12" s="30"/>
      <c r="U12" s="31"/>
      <c r="V12" s="31"/>
      <c r="W12" s="31"/>
      <c r="X12" s="31"/>
      <c r="Y12" s="31"/>
      <c r="Z12" s="31"/>
      <c r="AA12" s="31"/>
      <c r="AB12" s="31"/>
      <c r="AC12" s="31"/>
      <c r="AD12" s="31"/>
      <c r="AE12" s="31"/>
      <c r="AF12" s="31"/>
      <c r="AG12" s="31"/>
      <c r="AH12" s="31"/>
      <c r="AI12" s="31"/>
      <c r="AJ12" s="31"/>
      <c r="AK12" s="31"/>
      <c r="AL12" s="32"/>
    </row>
    <row r="13" spans="1:38" x14ac:dyDescent="0.2">
      <c r="A13" s="171"/>
      <c r="B13" s="172"/>
      <c r="C13" s="172"/>
      <c r="D13" s="172"/>
      <c r="E13" s="172"/>
      <c r="F13" s="172"/>
      <c r="G13" s="172"/>
      <c r="H13" s="172"/>
      <c r="I13" s="172"/>
      <c r="J13" s="172"/>
      <c r="K13" s="172"/>
      <c r="L13" s="172"/>
      <c r="M13" s="172"/>
      <c r="N13" s="172"/>
      <c r="O13" s="172"/>
      <c r="P13" s="172"/>
      <c r="Q13" s="172"/>
      <c r="R13" s="172"/>
      <c r="S13" s="173"/>
      <c r="T13" s="30"/>
      <c r="U13" s="31"/>
      <c r="V13" s="31"/>
      <c r="W13" s="31"/>
      <c r="X13" s="31"/>
      <c r="Y13" s="31"/>
      <c r="Z13" s="31"/>
      <c r="AA13" s="31"/>
      <c r="AB13" s="31"/>
      <c r="AC13" s="31"/>
      <c r="AD13" s="31"/>
      <c r="AE13" s="31"/>
      <c r="AF13" s="31"/>
      <c r="AG13" s="31"/>
      <c r="AH13" s="31"/>
      <c r="AI13" s="31"/>
      <c r="AJ13" s="31"/>
      <c r="AK13" s="31"/>
      <c r="AL13" s="32"/>
    </row>
    <row r="14" spans="1:38" x14ac:dyDescent="0.2">
      <c r="A14" s="171"/>
      <c r="B14" s="172"/>
      <c r="C14" s="172"/>
      <c r="D14" s="172"/>
      <c r="E14" s="172"/>
      <c r="F14" s="172"/>
      <c r="G14" s="172"/>
      <c r="H14" s="172"/>
      <c r="I14" s="172"/>
      <c r="J14" s="172"/>
      <c r="K14" s="172"/>
      <c r="L14" s="182"/>
      <c r="M14" s="172"/>
      <c r="N14" s="172"/>
      <c r="O14" s="172"/>
      <c r="P14" s="172"/>
      <c r="Q14" s="172"/>
      <c r="R14" s="172"/>
      <c r="S14" s="173"/>
      <c r="T14" s="30"/>
      <c r="U14" s="31"/>
      <c r="V14" s="31"/>
      <c r="W14" s="31"/>
      <c r="X14" s="31"/>
      <c r="Y14" s="31"/>
      <c r="Z14" s="31"/>
      <c r="AA14" s="31"/>
      <c r="AB14" s="31"/>
      <c r="AC14" s="31"/>
      <c r="AD14" s="31"/>
      <c r="AE14" s="31"/>
      <c r="AF14" s="31"/>
      <c r="AG14" s="31"/>
      <c r="AH14" s="31"/>
      <c r="AI14" s="31"/>
      <c r="AJ14" s="31"/>
      <c r="AK14" s="31"/>
      <c r="AL14" s="32"/>
    </row>
    <row r="15" spans="1:38" x14ac:dyDescent="0.2">
      <c r="A15" s="171"/>
      <c r="B15" s="172"/>
      <c r="C15" s="172"/>
      <c r="D15" s="172"/>
      <c r="E15" s="172"/>
      <c r="F15" s="172"/>
      <c r="G15" s="172"/>
      <c r="H15" s="172"/>
      <c r="I15" s="172"/>
      <c r="J15" s="172"/>
      <c r="K15" s="172"/>
      <c r="L15" s="172"/>
      <c r="M15" s="172"/>
      <c r="N15" s="172"/>
      <c r="O15" s="172"/>
      <c r="P15" s="172"/>
      <c r="Q15" s="172"/>
      <c r="R15" s="172"/>
      <c r="S15" s="173"/>
      <c r="T15" s="30"/>
      <c r="U15" s="31"/>
      <c r="V15" s="31"/>
      <c r="W15" s="31"/>
      <c r="X15" s="31"/>
      <c r="Y15" s="31"/>
      <c r="Z15" s="31"/>
      <c r="AA15" s="31"/>
      <c r="AB15" s="31"/>
      <c r="AC15" s="31"/>
      <c r="AD15" s="31"/>
      <c r="AE15" s="31"/>
      <c r="AF15" s="31"/>
      <c r="AG15" s="31"/>
      <c r="AH15" s="31"/>
      <c r="AI15" s="31"/>
      <c r="AJ15" s="31"/>
      <c r="AK15" s="31"/>
      <c r="AL15" s="32"/>
    </row>
    <row r="16" spans="1:38" x14ac:dyDescent="0.2">
      <c r="A16" s="171"/>
      <c r="B16" s="172"/>
      <c r="C16" s="172"/>
      <c r="D16" s="172"/>
      <c r="E16" s="172"/>
      <c r="F16" s="172"/>
      <c r="G16" s="172"/>
      <c r="H16" s="172"/>
      <c r="I16" s="172"/>
      <c r="J16" s="172"/>
      <c r="K16" s="172"/>
      <c r="L16" s="172"/>
      <c r="M16" s="172"/>
      <c r="N16" s="172"/>
      <c r="O16" s="172"/>
      <c r="P16" s="172"/>
      <c r="Q16" s="172"/>
      <c r="R16" s="172"/>
      <c r="S16" s="173"/>
      <c r="T16" s="30"/>
      <c r="U16" s="31"/>
      <c r="V16" s="31"/>
      <c r="W16" s="31"/>
      <c r="X16" s="31"/>
      <c r="Y16" s="31"/>
      <c r="Z16" s="31"/>
      <c r="AA16" s="31"/>
      <c r="AB16" s="31"/>
      <c r="AC16" s="31"/>
      <c r="AD16" s="31"/>
      <c r="AE16" s="31"/>
      <c r="AF16" s="31"/>
      <c r="AG16" s="31"/>
      <c r="AH16" s="31"/>
      <c r="AI16" s="31"/>
      <c r="AJ16" s="31"/>
      <c r="AK16" s="31"/>
      <c r="AL16" s="32"/>
    </row>
    <row r="17" spans="1:38" x14ac:dyDescent="0.2">
      <c r="A17" s="171"/>
      <c r="B17" s="172"/>
      <c r="C17" s="172"/>
      <c r="D17" s="172"/>
      <c r="E17" s="172"/>
      <c r="F17" s="172"/>
      <c r="G17" s="172"/>
      <c r="H17" s="172"/>
      <c r="I17" s="172"/>
      <c r="J17" s="172"/>
      <c r="K17" s="172"/>
      <c r="L17" s="172"/>
      <c r="M17" s="172"/>
      <c r="N17" s="172"/>
      <c r="O17" s="172"/>
      <c r="P17" s="172"/>
      <c r="Q17" s="172"/>
      <c r="R17" s="172"/>
      <c r="S17" s="173"/>
      <c r="T17" s="30"/>
      <c r="U17" s="31"/>
      <c r="V17" s="31"/>
      <c r="W17" s="31"/>
      <c r="X17" s="31"/>
      <c r="Y17" s="31"/>
      <c r="Z17" s="31"/>
      <c r="AA17" s="31"/>
      <c r="AB17" s="31"/>
      <c r="AC17" s="31"/>
      <c r="AD17" s="31"/>
      <c r="AE17" s="31"/>
      <c r="AF17" s="31"/>
      <c r="AG17" s="31"/>
      <c r="AH17" s="31"/>
      <c r="AI17" s="31"/>
      <c r="AJ17" s="31"/>
      <c r="AK17" s="31"/>
      <c r="AL17" s="32"/>
    </row>
    <row r="18" spans="1:38" x14ac:dyDescent="0.2">
      <c r="A18" s="171"/>
      <c r="B18" s="172"/>
      <c r="C18" s="172"/>
      <c r="D18" s="172"/>
      <c r="E18" s="172"/>
      <c r="F18" s="172"/>
      <c r="G18" s="172"/>
      <c r="H18" s="172"/>
      <c r="I18" s="172"/>
      <c r="J18" s="172"/>
      <c r="K18" s="172"/>
      <c r="L18" s="172"/>
      <c r="M18" s="172"/>
      <c r="N18" s="172"/>
      <c r="O18" s="172"/>
      <c r="P18" s="172"/>
      <c r="Q18" s="172"/>
      <c r="R18" s="172"/>
      <c r="S18" s="173"/>
      <c r="T18" s="30"/>
      <c r="U18" s="31"/>
      <c r="V18" s="31"/>
      <c r="W18" s="31"/>
      <c r="X18" s="31"/>
      <c r="Y18" s="31"/>
      <c r="Z18" s="31"/>
      <c r="AA18" s="31"/>
      <c r="AB18" s="31"/>
      <c r="AC18" s="31"/>
      <c r="AD18" s="31"/>
      <c r="AE18" s="31"/>
      <c r="AF18" s="31"/>
      <c r="AG18" s="31"/>
      <c r="AH18" s="31"/>
      <c r="AI18" s="31"/>
      <c r="AJ18" s="31"/>
      <c r="AK18" s="31"/>
      <c r="AL18" s="32"/>
    </row>
    <row r="19" spans="1:38" x14ac:dyDescent="0.2">
      <c r="A19" s="171"/>
      <c r="B19" s="172"/>
      <c r="C19" s="172"/>
      <c r="D19" s="172"/>
      <c r="E19" s="172"/>
      <c r="F19" s="172"/>
      <c r="G19" s="172"/>
      <c r="H19" s="172"/>
      <c r="I19" s="172"/>
      <c r="J19" s="172"/>
      <c r="K19" s="172"/>
      <c r="L19" s="172"/>
      <c r="M19" s="172"/>
      <c r="N19" s="172"/>
      <c r="O19" s="172"/>
      <c r="P19" s="172"/>
      <c r="Q19" s="172"/>
      <c r="R19" s="172"/>
      <c r="S19" s="173"/>
      <c r="T19" s="30"/>
      <c r="U19" s="31"/>
      <c r="V19" s="31"/>
      <c r="W19" s="31"/>
      <c r="X19" s="31"/>
      <c r="Y19" s="31"/>
      <c r="Z19" s="31"/>
      <c r="AA19" s="31"/>
      <c r="AB19" s="31"/>
      <c r="AC19" s="31"/>
      <c r="AD19" s="31"/>
      <c r="AE19" s="31"/>
      <c r="AF19" s="31"/>
      <c r="AG19" s="31"/>
      <c r="AH19" s="31"/>
      <c r="AI19" s="31"/>
      <c r="AJ19" s="31"/>
      <c r="AK19" s="31"/>
      <c r="AL19" s="32"/>
    </row>
    <row r="20" spans="1:38" x14ac:dyDescent="0.2">
      <c r="A20" s="171"/>
      <c r="B20" s="172"/>
      <c r="C20" s="172"/>
      <c r="D20" s="172"/>
      <c r="E20" s="172"/>
      <c r="F20" s="172"/>
      <c r="G20" s="172"/>
      <c r="H20" s="172"/>
      <c r="I20" s="172"/>
      <c r="J20" s="172"/>
      <c r="K20" s="172"/>
      <c r="L20" s="172"/>
      <c r="M20" s="172"/>
      <c r="N20" s="172"/>
      <c r="O20" s="172"/>
      <c r="P20" s="172"/>
      <c r="Q20" s="172"/>
      <c r="R20" s="172"/>
      <c r="S20" s="173"/>
      <c r="T20" s="30"/>
      <c r="U20" s="31"/>
      <c r="V20" s="31"/>
      <c r="W20" s="31"/>
      <c r="X20" s="31"/>
      <c r="Y20" s="31"/>
      <c r="Z20" s="31"/>
      <c r="AA20" s="31"/>
      <c r="AB20" s="31"/>
      <c r="AC20" s="31"/>
      <c r="AD20" s="31"/>
      <c r="AE20" s="31"/>
      <c r="AF20" s="31"/>
      <c r="AG20" s="31"/>
      <c r="AH20" s="31"/>
      <c r="AI20" s="31"/>
      <c r="AJ20" s="31"/>
      <c r="AK20" s="31"/>
      <c r="AL20" s="32"/>
    </row>
    <row r="21" spans="1:38" x14ac:dyDescent="0.2">
      <c r="A21" s="171"/>
      <c r="B21" s="172"/>
      <c r="C21" s="172"/>
      <c r="D21" s="172"/>
      <c r="E21" s="172"/>
      <c r="F21" s="172"/>
      <c r="G21" s="172"/>
      <c r="H21" s="172"/>
      <c r="I21" s="172"/>
      <c r="J21" s="172"/>
      <c r="K21" s="172"/>
      <c r="L21" s="172"/>
      <c r="M21" s="172"/>
      <c r="N21" s="172"/>
      <c r="O21" s="172"/>
      <c r="P21" s="172"/>
      <c r="Q21" s="172"/>
      <c r="R21" s="172"/>
      <c r="S21" s="173"/>
      <c r="T21" s="30"/>
      <c r="U21" s="31"/>
      <c r="V21" s="31"/>
      <c r="W21" s="31"/>
      <c r="X21" s="31"/>
      <c r="Y21" s="31"/>
      <c r="Z21" s="31"/>
      <c r="AA21" s="31"/>
      <c r="AB21" s="31"/>
      <c r="AC21" s="31"/>
      <c r="AD21" s="31"/>
      <c r="AE21" s="31"/>
      <c r="AF21" s="31"/>
      <c r="AG21" s="31"/>
      <c r="AH21" s="31"/>
      <c r="AI21" s="31"/>
      <c r="AJ21" s="31"/>
      <c r="AK21" s="31"/>
      <c r="AL21" s="32"/>
    </row>
    <row r="22" spans="1:38" x14ac:dyDescent="0.2">
      <c r="A22" s="171"/>
      <c r="B22" s="172"/>
      <c r="C22" s="172"/>
      <c r="D22" s="172"/>
      <c r="E22" s="172"/>
      <c r="F22" s="172"/>
      <c r="G22" s="172"/>
      <c r="H22" s="172"/>
      <c r="I22" s="172"/>
      <c r="J22" s="172"/>
      <c r="K22" s="172"/>
      <c r="L22" s="172"/>
      <c r="M22" s="172"/>
      <c r="N22" s="172"/>
      <c r="O22" s="172"/>
      <c r="P22" s="172"/>
      <c r="Q22" s="172"/>
      <c r="R22" s="172"/>
      <c r="S22" s="173"/>
      <c r="T22" s="30"/>
      <c r="U22" s="31"/>
      <c r="V22" s="31"/>
      <c r="W22" s="31"/>
      <c r="X22" s="31"/>
      <c r="Y22" s="31"/>
      <c r="Z22" s="31"/>
      <c r="AA22" s="31"/>
      <c r="AB22" s="31"/>
      <c r="AC22" s="31"/>
      <c r="AD22" s="31"/>
      <c r="AE22" s="31"/>
      <c r="AF22" s="31"/>
      <c r="AG22" s="31"/>
      <c r="AH22" s="31"/>
      <c r="AI22" s="31"/>
      <c r="AJ22" s="31"/>
      <c r="AK22" s="31"/>
      <c r="AL22" s="32"/>
    </row>
    <row r="23" spans="1:38" x14ac:dyDescent="0.2">
      <c r="A23" s="171"/>
      <c r="B23" s="172"/>
      <c r="C23" s="172"/>
      <c r="D23" s="172"/>
      <c r="E23" s="172"/>
      <c r="F23" s="172"/>
      <c r="G23" s="172"/>
      <c r="H23" s="172"/>
      <c r="I23" s="172"/>
      <c r="J23" s="172"/>
      <c r="K23" s="172"/>
      <c r="L23" s="172"/>
      <c r="M23" s="172"/>
      <c r="N23" s="172"/>
      <c r="O23" s="172"/>
      <c r="P23" s="172"/>
      <c r="Q23" s="172"/>
      <c r="R23" s="172"/>
      <c r="S23" s="173"/>
      <c r="T23" s="30"/>
      <c r="U23" s="31"/>
      <c r="V23" s="31"/>
      <c r="W23" s="31"/>
      <c r="X23" s="31"/>
      <c r="Y23" s="31"/>
      <c r="Z23" s="31"/>
      <c r="AA23" s="31"/>
      <c r="AB23" s="31"/>
      <c r="AC23" s="31"/>
      <c r="AD23" s="31"/>
      <c r="AE23" s="31"/>
      <c r="AF23" s="31"/>
      <c r="AG23" s="31"/>
      <c r="AH23" s="31"/>
      <c r="AI23" s="31"/>
      <c r="AJ23" s="31"/>
      <c r="AK23" s="31"/>
      <c r="AL23" s="32"/>
    </row>
    <row r="24" spans="1:38" x14ac:dyDescent="0.2">
      <c r="A24" s="171"/>
      <c r="B24" s="172"/>
      <c r="C24" s="172"/>
      <c r="D24" s="172"/>
      <c r="E24" s="172"/>
      <c r="F24" s="172"/>
      <c r="G24" s="172"/>
      <c r="H24" s="172"/>
      <c r="I24" s="172"/>
      <c r="J24" s="172"/>
      <c r="K24" s="172"/>
      <c r="L24" s="172"/>
      <c r="M24" s="172"/>
      <c r="N24" s="172"/>
      <c r="O24" s="172"/>
      <c r="P24" s="172"/>
      <c r="Q24" s="172"/>
      <c r="R24" s="172"/>
      <c r="S24" s="173"/>
      <c r="T24" s="30"/>
      <c r="U24" s="31"/>
      <c r="V24" s="31"/>
      <c r="W24" s="31"/>
      <c r="X24" s="31"/>
      <c r="Y24" s="31"/>
      <c r="Z24" s="31"/>
      <c r="AA24" s="31"/>
      <c r="AB24" s="31"/>
      <c r="AC24" s="31"/>
      <c r="AD24" s="31"/>
      <c r="AE24" s="31"/>
      <c r="AF24" s="31"/>
      <c r="AG24" s="31"/>
      <c r="AH24" s="31"/>
      <c r="AI24" s="31"/>
      <c r="AJ24" s="31"/>
      <c r="AK24" s="31"/>
      <c r="AL24" s="32"/>
    </row>
    <row r="25" spans="1:38" x14ac:dyDescent="0.2">
      <c r="A25" s="171"/>
      <c r="B25" s="172"/>
      <c r="C25" s="172"/>
      <c r="D25" s="172"/>
      <c r="E25" s="172"/>
      <c r="F25" s="172"/>
      <c r="G25" s="172"/>
      <c r="H25" s="172"/>
      <c r="I25" s="172"/>
      <c r="J25" s="172"/>
      <c r="K25" s="172"/>
      <c r="L25" s="172"/>
      <c r="M25" s="172"/>
      <c r="N25" s="172"/>
      <c r="O25" s="172"/>
      <c r="P25" s="172"/>
      <c r="Q25" s="172"/>
      <c r="R25" s="172"/>
      <c r="S25" s="173"/>
      <c r="T25" s="30"/>
      <c r="U25" s="31"/>
      <c r="V25" s="31"/>
      <c r="W25" s="31"/>
      <c r="X25" s="31"/>
      <c r="Y25" s="31"/>
      <c r="Z25" s="31"/>
      <c r="AA25" s="31"/>
      <c r="AB25" s="31"/>
      <c r="AC25" s="31"/>
      <c r="AD25" s="31"/>
      <c r="AE25" s="31"/>
      <c r="AF25" s="31"/>
      <c r="AG25" s="31"/>
      <c r="AH25" s="31"/>
      <c r="AI25" s="31"/>
      <c r="AJ25" s="31"/>
      <c r="AK25" s="31"/>
      <c r="AL25" s="32"/>
    </row>
    <row r="26" spans="1:38" x14ac:dyDescent="0.2">
      <c r="A26" s="171"/>
      <c r="B26" s="172"/>
      <c r="C26" s="172"/>
      <c r="D26" s="172"/>
      <c r="E26" s="172"/>
      <c r="F26" s="172"/>
      <c r="G26" s="172"/>
      <c r="H26" s="172"/>
      <c r="I26" s="172"/>
      <c r="J26" s="172"/>
      <c r="K26" s="172"/>
      <c r="L26" s="172"/>
      <c r="M26" s="172"/>
      <c r="N26" s="172"/>
      <c r="O26" s="172"/>
      <c r="P26" s="172"/>
      <c r="Q26" s="172"/>
      <c r="R26" s="172"/>
      <c r="S26" s="173"/>
      <c r="T26" s="30"/>
      <c r="U26" s="31"/>
      <c r="V26" s="31"/>
      <c r="W26" s="31"/>
      <c r="X26" s="31"/>
      <c r="Y26" s="31"/>
      <c r="Z26" s="31"/>
      <c r="AA26" s="31"/>
      <c r="AB26" s="31"/>
      <c r="AC26" s="31"/>
      <c r="AD26" s="31"/>
      <c r="AE26" s="31"/>
      <c r="AF26" s="31"/>
      <c r="AG26" s="31"/>
      <c r="AH26" s="31"/>
      <c r="AI26" s="31"/>
      <c r="AJ26" s="31"/>
      <c r="AK26" s="31"/>
      <c r="AL26" s="32"/>
    </row>
    <row r="27" spans="1:38" x14ac:dyDescent="0.2">
      <c r="A27" s="171"/>
      <c r="B27" s="172"/>
      <c r="C27" s="172"/>
      <c r="D27" s="172"/>
      <c r="E27" s="172"/>
      <c r="F27" s="172"/>
      <c r="G27" s="172"/>
      <c r="H27" s="172"/>
      <c r="I27" s="172"/>
      <c r="J27" s="172"/>
      <c r="K27" s="172"/>
      <c r="L27" s="172"/>
      <c r="M27" s="172"/>
      <c r="N27" s="172"/>
      <c r="O27" s="172"/>
      <c r="P27" s="172"/>
      <c r="Q27" s="172"/>
      <c r="R27" s="172"/>
      <c r="S27" s="173"/>
      <c r="T27" s="30"/>
      <c r="U27" s="31"/>
      <c r="V27" s="31"/>
      <c r="W27" s="31"/>
      <c r="X27" s="31"/>
      <c r="Y27" s="31"/>
      <c r="Z27" s="31"/>
      <c r="AA27" s="31"/>
      <c r="AB27" s="31"/>
      <c r="AC27" s="31"/>
      <c r="AD27" s="31"/>
      <c r="AE27" s="31"/>
      <c r="AF27" s="31"/>
      <c r="AG27" s="31"/>
      <c r="AH27" s="31"/>
      <c r="AI27" s="31"/>
      <c r="AJ27" s="31"/>
      <c r="AK27" s="31"/>
      <c r="AL27" s="32"/>
    </row>
    <row r="28" spans="1:38" x14ac:dyDescent="0.2">
      <c r="A28" s="171"/>
      <c r="B28" s="172"/>
      <c r="C28" s="172"/>
      <c r="D28" s="172"/>
      <c r="E28" s="172"/>
      <c r="F28" s="172"/>
      <c r="G28" s="172"/>
      <c r="H28" s="172"/>
      <c r="I28" s="172"/>
      <c r="J28" s="172"/>
      <c r="K28" s="172"/>
      <c r="L28" s="172"/>
      <c r="M28" s="172"/>
      <c r="N28" s="172"/>
      <c r="O28" s="172"/>
      <c r="P28" s="172"/>
      <c r="Q28" s="172"/>
      <c r="R28" s="172"/>
      <c r="S28" s="173"/>
      <c r="T28" s="30"/>
      <c r="U28" s="31"/>
      <c r="V28" s="31"/>
      <c r="W28" s="31"/>
      <c r="X28" s="31"/>
      <c r="Y28" s="31"/>
      <c r="Z28" s="31"/>
      <c r="AA28" s="31"/>
      <c r="AB28" s="31"/>
      <c r="AC28" s="31"/>
      <c r="AD28" s="31"/>
      <c r="AE28" s="31"/>
      <c r="AF28" s="31"/>
      <c r="AG28" s="31"/>
      <c r="AH28" s="31"/>
      <c r="AI28" s="31"/>
      <c r="AJ28" s="31"/>
      <c r="AK28" s="31"/>
      <c r="AL28" s="32"/>
    </row>
    <row r="29" spans="1:38" x14ac:dyDescent="0.2">
      <c r="A29" s="171"/>
      <c r="B29" s="172"/>
      <c r="C29" s="172"/>
      <c r="D29" s="172"/>
      <c r="E29" s="172"/>
      <c r="F29" s="172"/>
      <c r="G29" s="172"/>
      <c r="H29" s="172"/>
      <c r="I29" s="172"/>
      <c r="J29" s="172"/>
      <c r="K29" s="172"/>
      <c r="L29" s="172"/>
      <c r="M29" s="172"/>
      <c r="N29" s="172"/>
      <c r="O29" s="172"/>
      <c r="P29" s="172"/>
      <c r="Q29" s="172"/>
      <c r="R29" s="172"/>
      <c r="S29" s="173"/>
      <c r="T29" s="30"/>
      <c r="U29" s="31"/>
      <c r="V29" s="31"/>
      <c r="W29" s="31"/>
      <c r="X29" s="31"/>
      <c r="Y29" s="31"/>
      <c r="Z29" s="31"/>
      <c r="AA29" s="31"/>
      <c r="AB29" s="31"/>
      <c r="AC29" s="31"/>
      <c r="AD29" s="31"/>
      <c r="AE29" s="31"/>
      <c r="AF29" s="31"/>
      <c r="AG29" s="31"/>
      <c r="AH29" s="31"/>
      <c r="AI29" s="31"/>
      <c r="AJ29" s="31"/>
      <c r="AK29" s="31"/>
      <c r="AL29" s="32"/>
    </row>
    <row r="30" spans="1:38" x14ac:dyDescent="0.2">
      <c r="A30" s="171"/>
      <c r="B30" s="172"/>
      <c r="C30" s="172"/>
      <c r="D30" s="172"/>
      <c r="E30" s="172"/>
      <c r="F30" s="172"/>
      <c r="G30" s="172"/>
      <c r="H30" s="172"/>
      <c r="I30" s="172"/>
      <c r="J30" s="172"/>
      <c r="K30" s="172"/>
      <c r="L30" s="172"/>
      <c r="M30" s="172"/>
      <c r="N30" s="172"/>
      <c r="O30" s="172"/>
      <c r="P30" s="172"/>
      <c r="Q30" s="172"/>
      <c r="R30" s="172"/>
      <c r="S30" s="173"/>
      <c r="T30" s="30"/>
      <c r="U30" s="31"/>
      <c r="V30" s="31"/>
      <c r="W30" s="31"/>
      <c r="X30" s="31"/>
      <c r="Y30" s="31"/>
      <c r="Z30" s="31"/>
      <c r="AA30" s="31"/>
      <c r="AB30" s="31"/>
      <c r="AC30" s="31"/>
      <c r="AD30" s="31"/>
      <c r="AE30" s="31"/>
      <c r="AF30" s="31"/>
      <c r="AG30" s="31"/>
      <c r="AH30" s="31"/>
      <c r="AI30" s="31"/>
      <c r="AJ30" s="31"/>
      <c r="AK30" s="31"/>
      <c r="AL30" s="32"/>
    </row>
    <row r="31" spans="1:38" x14ac:dyDescent="0.2">
      <c r="A31" s="171"/>
      <c r="B31" s="172"/>
      <c r="C31" s="172"/>
      <c r="D31" s="172"/>
      <c r="E31" s="172"/>
      <c r="F31" s="172"/>
      <c r="G31" s="172"/>
      <c r="H31" s="172"/>
      <c r="I31" s="172"/>
      <c r="J31" s="172"/>
      <c r="K31" s="172"/>
      <c r="L31" s="172"/>
      <c r="M31" s="172"/>
      <c r="N31" s="172"/>
      <c r="O31" s="172"/>
      <c r="P31" s="172"/>
      <c r="Q31" s="172"/>
      <c r="R31" s="172"/>
      <c r="S31" s="173"/>
      <c r="T31" s="30"/>
      <c r="U31" s="31"/>
      <c r="V31" s="31"/>
      <c r="W31" s="31"/>
      <c r="X31" s="31"/>
      <c r="Y31" s="31"/>
      <c r="Z31" s="31"/>
      <c r="AA31" s="31"/>
      <c r="AB31" s="31"/>
      <c r="AC31" s="31"/>
      <c r="AD31" s="31"/>
      <c r="AE31" s="31"/>
      <c r="AF31" s="31"/>
      <c r="AG31" s="31"/>
      <c r="AH31" s="31"/>
      <c r="AI31" s="31"/>
      <c r="AJ31" s="31"/>
      <c r="AK31" s="31"/>
      <c r="AL31" s="32"/>
    </row>
    <row r="32" spans="1:38" x14ac:dyDescent="0.2">
      <c r="A32" s="171"/>
      <c r="B32" s="172"/>
      <c r="C32" s="172"/>
      <c r="D32" s="172"/>
      <c r="E32" s="172"/>
      <c r="F32" s="172"/>
      <c r="G32" s="172"/>
      <c r="H32" s="172"/>
      <c r="I32" s="172"/>
      <c r="J32" s="172"/>
      <c r="K32" s="172"/>
      <c r="L32" s="172"/>
      <c r="M32" s="172"/>
      <c r="N32" s="172"/>
      <c r="O32" s="172"/>
      <c r="P32" s="172"/>
      <c r="Q32" s="172"/>
      <c r="R32" s="172"/>
      <c r="S32" s="173"/>
      <c r="T32" s="30"/>
      <c r="U32" s="31"/>
      <c r="V32" s="31"/>
      <c r="W32" s="31"/>
      <c r="X32" s="31"/>
      <c r="Y32" s="31"/>
      <c r="Z32" s="31"/>
      <c r="AA32" s="31"/>
      <c r="AB32" s="31"/>
      <c r="AC32" s="31"/>
      <c r="AD32" s="31"/>
      <c r="AE32" s="31"/>
      <c r="AF32" s="31"/>
      <c r="AG32" s="31"/>
      <c r="AH32" s="31"/>
      <c r="AI32" s="31"/>
      <c r="AJ32" s="31"/>
      <c r="AK32" s="31"/>
      <c r="AL32" s="32"/>
    </row>
    <row r="33" spans="1:38" x14ac:dyDescent="0.2">
      <c r="A33" s="171"/>
      <c r="B33" s="172"/>
      <c r="C33" s="172"/>
      <c r="D33" s="172"/>
      <c r="E33" s="172"/>
      <c r="F33" s="172"/>
      <c r="G33" s="172"/>
      <c r="H33" s="172"/>
      <c r="I33" s="172"/>
      <c r="J33" s="172"/>
      <c r="K33" s="172"/>
      <c r="L33" s="172"/>
      <c r="M33" s="172"/>
      <c r="N33" s="172"/>
      <c r="O33" s="172"/>
      <c r="P33" s="172"/>
      <c r="Q33" s="172"/>
      <c r="R33" s="172"/>
      <c r="S33" s="173"/>
      <c r="T33" s="30"/>
      <c r="U33" s="31"/>
      <c r="V33" s="31"/>
      <c r="W33" s="31"/>
      <c r="X33" s="31"/>
      <c r="Y33" s="31"/>
      <c r="Z33" s="31"/>
      <c r="AA33" s="31"/>
      <c r="AB33" s="31"/>
      <c r="AC33" s="31"/>
      <c r="AD33" s="31"/>
      <c r="AE33" s="31"/>
      <c r="AF33" s="31"/>
      <c r="AG33" s="31"/>
      <c r="AH33" s="31"/>
      <c r="AI33" s="31"/>
      <c r="AJ33" s="31"/>
      <c r="AK33" s="31"/>
      <c r="AL33" s="32"/>
    </row>
    <row r="34" spans="1:38" x14ac:dyDescent="0.2">
      <c r="A34" s="171"/>
      <c r="B34" s="172"/>
      <c r="C34" s="172"/>
      <c r="D34" s="172"/>
      <c r="E34" s="172"/>
      <c r="F34" s="172"/>
      <c r="G34" s="172"/>
      <c r="H34" s="172"/>
      <c r="I34" s="172"/>
      <c r="J34" s="172"/>
      <c r="K34" s="172"/>
      <c r="L34" s="172"/>
      <c r="M34" s="172"/>
      <c r="N34" s="172"/>
      <c r="O34" s="172"/>
      <c r="P34" s="172"/>
      <c r="Q34" s="172"/>
      <c r="R34" s="172"/>
      <c r="S34" s="173"/>
      <c r="T34" s="30"/>
      <c r="U34" s="31"/>
      <c r="V34" s="31"/>
      <c r="W34" s="31"/>
      <c r="X34" s="31"/>
      <c r="Y34" s="31"/>
      <c r="Z34" s="31"/>
      <c r="AA34" s="31"/>
      <c r="AB34" s="31"/>
      <c r="AC34" s="31"/>
      <c r="AD34" s="31"/>
      <c r="AE34" s="31"/>
      <c r="AF34" s="31"/>
      <c r="AG34" s="31"/>
      <c r="AH34" s="31"/>
      <c r="AI34" s="31"/>
      <c r="AJ34" s="31"/>
      <c r="AK34" s="31"/>
      <c r="AL34" s="32"/>
    </row>
    <row r="35" spans="1:38" x14ac:dyDescent="0.2">
      <c r="A35" s="171"/>
      <c r="B35" s="172"/>
      <c r="C35" s="172"/>
      <c r="D35" s="172"/>
      <c r="E35" s="172"/>
      <c r="F35" s="172"/>
      <c r="G35" s="172"/>
      <c r="H35" s="172"/>
      <c r="I35" s="172"/>
      <c r="J35" s="172"/>
      <c r="K35" s="172"/>
      <c r="L35" s="172"/>
      <c r="M35" s="172"/>
      <c r="N35" s="172"/>
      <c r="O35" s="172"/>
      <c r="P35" s="172"/>
      <c r="Q35" s="172"/>
      <c r="R35" s="172"/>
      <c r="S35" s="173"/>
      <c r="T35" s="30"/>
      <c r="U35" s="31"/>
      <c r="V35" s="31"/>
      <c r="W35" s="31"/>
      <c r="X35" s="31"/>
      <c r="Y35" s="31"/>
      <c r="Z35" s="31"/>
      <c r="AA35" s="31"/>
      <c r="AB35" s="31"/>
      <c r="AC35" s="31"/>
      <c r="AD35" s="31"/>
      <c r="AE35" s="31"/>
      <c r="AF35" s="31"/>
      <c r="AG35" s="31"/>
      <c r="AH35" s="31"/>
      <c r="AI35" s="31"/>
      <c r="AJ35" s="31"/>
      <c r="AK35" s="31"/>
      <c r="AL35" s="32"/>
    </row>
    <row r="36" spans="1:38" x14ac:dyDescent="0.2">
      <c r="A36" s="171"/>
      <c r="B36" s="172"/>
      <c r="C36" s="172"/>
      <c r="D36" s="172"/>
      <c r="E36" s="172"/>
      <c r="F36" s="172"/>
      <c r="G36" s="172"/>
      <c r="H36" s="172"/>
      <c r="I36" s="172"/>
      <c r="J36" s="172"/>
      <c r="K36" s="172"/>
      <c r="L36" s="172"/>
      <c r="M36" s="172"/>
      <c r="N36" s="172"/>
      <c r="O36" s="172"/>
      <c r="P36" s="172"/>
      <c r="Q36" s="172"/>
      <c r="R36" s="172"/>
      <c r="S36" s="173"/>
      <c r="T36" s="30"/>
      <c r="U36" s="31"/>
      <c r="V36" s="31"/>
      <c r="W36" s="31"/>
      <c r="X36" s="31"/>
      <c r="Y36" s="31"/>
      <c r="Z36" s="31"/>
      <c r="AA36" s="31"/>
      <c r="AB36" s="31"/>
      <c r="AC36" s="31"/>
      <c r="AD36" s="31"/>
      <c r="AE36" s="31"/>
      <c r="AF36" s="31"/>
      <c r="AG36" s="31"/>
      <c r="AH36" s="31"/>
      <c r="AI36" s="31"/>
      <c r="AJ36" s="31"/>
      <c r="AK36" s="31"/>
      <c r="AL36" s="32"/>
    </row>
    <row r="37" spans="1:38" x14ac:dyDescent="0.2">
      <c r="A37" s="171"/>
      <c r="B37" s="172"/>
      <c r="C37" s="172"/>
      <c r="D37" s="172"/>
      <c r="E37" s="172"/>
      <c r="F37" s="172"/>
      <c r="G37" s="172"/>
      <c r="H37" s="172"/>
      <c r="I37" s="172"/>
      <c r="J37" s="172"/>
      <c r="K37" s="172"/>
      <c r="L37" s="172"/>
      <c r="M37" s="172"/>
      <c r="N37" s="172"/>
      <c r="O37" s="172"/>
      <c r="P37" s="172"/>
      <c r="Q37" s="172"/>
      <c r="R37" s="172"/>
      <c r="S37" s="173"/>
      <c r="T37" s="30"/>
      <c r="U37" s="31"/>
      <c r="V37" s="31"/>
      <c r="W37" s="31"/>
      <c r="X37" s="31"/>
      <c r="Y37" s="31"/>
      <c r="Z37" s="31"/>
      <c r="AA37" s="31"/>
      <c r="AB37" s="31"/>
      <c r="AC37" s="31"/>
      <c r="AD37" s="31"/>
      <c r="AE37" s="31"/>
      <c r="AF37" s="31"/>
      <c r="AG37" s="31"/>
      <c r="AH37" s="31"/>
      <c r="AI37" s="31"/>
      <c r="AJ37" s="31"/>
      <c r="AK37" s="31"/>
      <c r="AL37" s="32"/>
    </row>
    <row r="38" spans="1:38" x14ac:dyDescent="0.2">
      <c r="A38" s="171"/>
      <c r="B38" s="172"/>
      <c r="C38" s="172"/>
      <c r="D38" s="172"/>
      <c r="E38" s="172"/>
      <c r="F38" s="172"/>
      <c r="G38" s="172"/>
      <c r="H38" s="172"/>
      <c r="I38" s="172"/>
      <c r="J38" s="172"/>
      <c r="K38" s="172"/>
      <c r="L38" s="172"/>
      <c r="M38" s="172"/>
      <c r="N38" s="172"/>
      <c r="O38" s="172"/>
      <c r="P38" s="172"/>
      <c r="Q38" s="172"/>
      <c r="R38" s="172"/>
      <c r="S38" s="173"/>
      <c r="T38" s="30"/>
      <c r="U38" s="31"/>
      <c r="V38" s="31"/>
      <c r="W38" s="31"/>
      <c r="X38" s="31"/>
      <c r="Y38" s="31"/>
      <c r="Z38" s="31"/>
      <c r="AA38" s="31"/>
      <c r="AB38" s="31"/>
      <c r="AC38" s="31"/>
      <c r="AD38" s="31"/>
      <c r="AE38" s="31"/>
      <c r="AF38" s="31"/>
      <c r="AG38" s="31"/>
      <c r="AH38" s="31"/>
      <c r="AI38" s="31"/>
      <c r="AJ38" s="31"/>
      <c r="AK38" s="31"/>
      <c r="AL38" s="32"/>
    </row>
    <row r="39" spans="1:38" x14ac:dyDescent="0.2">
      <c r="A39" s="171"/>
      <c r="B39" s="172"/>
      <c r="C39" s="172"/>
      <c r="D39" s="172"/>
      <c r="E39" s="172"/>
      <c r="F39" s="172"/>
      <c r="G39" s="172"/>
      <c r="H39" s="172"/>
      <c r="I39" s="172"/>
      <c r="J39" s="172"/>
      <c r="K39" s="172"/>
      <c r="L39" s="172"/>
      <c r="M39" s="172"/>
      <c r="N39" s="172"/>
      <c r="O39" s="172"/>
      <c r="P39" s="172"/>
      <c r="Q39" s="172"/>
      <c r="R39" s="172"/>
      <c r="S39" s="173"/>
      <c r="T39" s="30"/>
      <c r="U39" s="31"/>
      <c r="V39" s="31"/>
      <c r="W39" s="31"/>
      <c r="X39" s="31"/>
      <c r="Y39" s="31"/>
      <c r="Z39" s="31"/>
      <c r="AA39" s="31"/>
      <c r="AB39" s="31"/>
      <c r="AC39" s="31"/>
      <c r="AD39" s="31"/>
      <c r="AE39" s="31"/>
      <c r="AF39" s="31"/>
      <c r="AG39" s="31"/>
      <c r="AH39" s="31"/>
      <c r="AI39" s="31"/>
      <c r="AJ39" s="31"/>
      <c r="AK39" s="31"/>
      <c r="AL39" s="32"/>
    </row>
    <row r="40" spans="1:38" x14ac:dyDescent="0.2">
      <c r="A40" s="171"/>
      <c r="B40" s="172"/>
      <c r="C40" s="172"/>
      <c r="D40" s="172"/>
      <c r="E40" s="172"/>
      <c r="F40" s="172"/>
      <c r="G40" s="172"/>
      <c r="H40" s="172"/>
      <c r="I40" s="172"/>
      <c r="J40" s="172"/>
      <c r="K40" s="172"/>
      <c r="L40" s="172"/>
      <c r="M40" s="172"/>
      <c r="N40" s="172"/>
      <c r="O40" s="172"/>
      <c r="P40" s="172"/>
      <c r="Q40" s="172"/>
      <c r="R40" s="172"/>
      <c r="S40" s="173"/>
      <c r="T40" s="30"/>
      <c r="U40" s="31"/>
      <c r="V40" s="31"/>
      <c r="W40" s="31"/>
      <c r="X40" s="31"/>
      <c r="Y40" s="31"/>
      <c r="Z40" s="31"/>
      <c r="AA40" s="31"/>
      <c r="AB40" s="31"/>
      <c r="AC40" s="31"/>
      <c r="AD40" s="31"/>
      <c r="AE40" s="31"/>
      <c r="AF40" s="31"/>
      <c r="AG40" s="31"/>
      <c r="AH40" s="31"/>
      <c r="AI40" s="31"/>
      <c r="AJ40" s="31"/>
      <c r="AK40" s="31"/>
      <c r="AL40" s="32"/>
    </row>
    <row r="41" spans="1:38" x14ac:dyDescent="0.2">
      <c r="A41" s="171"/>
      <c r="B41" s="172"/>
      <c r="C41" s="172"/>
      <c r="D41" s="172"/>
      <c r="E41" s="172"/>
      <c r="F41" s="172"/>
      <c r="G41" s="172"/>
      <c r="H41" s="172"/>
      <c r="I41" s="172"/>
      <c r="J41" s="172"/>
      <c r="K41" s="172"/>
      <c r="L41" s="172"/>
      <c r="M41" s="172"/>
      <c r="N41" s="172"/>
      <c r="O41" s="172"/>
      <c r="P41" s="172"/>
      <c r="Q41" s="172"/>
      <c r="R41" s="172"/>
      <c r="S41" s="173"/>
      <c r="T41" s="30"/>
      <c r="U41" s="31"/>
      <c r="V41" s="31"/>
      <c r="W41" s="31"/>
      <c r="X41" s="31"/>
      <c r="Y41" s="31"/>
      <c r="Z41" s="31"/>
      <c r="AA41" s="31"/>
      <c r="AB41" s="31"/>
      <c r="AC41" s="31"/>
      <c r="AD41" s="31"/>
      <c r="AE41" s="31"/>
      <c r="AF41" s="31"/>
      <c r="AG41" s="31"/>
      <c r="AH41" s="31"/>
      <c r="AI41" s="31"/>
      <c r="AJ41" s="31"/>
      <c r="AK41" s="31"/>
      <c r="AL41" s="32"/>
    </row>
    <row r="42" spans="1:38" x14ac:dyDescent="0.2">
      <c r="A42" s="171"/>
      <c r="B42" s="172"/>
      <c r="C42" s="172"/>
      <c r="D42" s="172"/>
      <c r="E42" s="172"/>
      <c r="F42" s="172"/>
      <c r="G42" s="172"/>
      <c r="H42" s="172"/>
      <c r="I42" s="172"/>
      <c r="J42" s="172"/>
      <c r="K42" s="172"/>
      <c r="L42" s="172"/>
      <c r="M42" s="172"/>
      <c r="N42" s="172"/>
      <c r="O42" s="172"/>
      <c r="P42" s="172"/>
      <c r="Q42" s="172"/>
      <c r="R42" s="172"/>
      <c r="S42" s="173"/>
      <c r="T42" s="30"/>
      <c r="U42" s="31"/>
      <c r="V42" s="31"/>
      <c r="W42" s="31"/>
      <c r="X42" s="31"/>
      <c r="Y42" s="31"/>
      <c r="Z42" s="31"/>
      <c r="AA42" s="31"/>
      <c r="AB42" s="31"/>
      <c r="AC42" s="31"/>
      <c r="AD42" s="31"/>
      <c r="AE42" s="31"/>
      <c r="AF42" s="31"/>
      <c r="AG42" s="31"/>
      <c r="AH42" s="31"/>
      <c r="AI42" s="31"/>
      <c r="AJ42" s="31"/>
      <c r="AK42" s="31"/>
      <c r="AL42" s="32"/>
    </row>
    <row r="43" spans="1:38" x14ac:dyDescent="0.2">
      <c r="A43" s="171"/>
      <c r="B43" s="172"/>
      <c r="C43" s="172"/>
      <c r="D43" s="172"/>
      <c r="E43" s="172"/>
      <c r="F43" s="172"/>
      <c r="G43" s="172"/>
      <c r="H43" s="172"/>
      <c r="I43" s="172"/>
      <c r="J43" s="172"/>
      <c r="K43" s="172"/>
      <c r="L43" s="172"/>
      <c r="M43" s="172"/>
      <c r="N43" s="172"/>
      <c r="O43" s="172"/>
      <c r="P43" s="172"/>
      <c r="Q43" s="172"/>
      <c r="R43" s="172"/>
      <c r="S43" s="173"/>
      <c r="T43" s="30"/>
      <c r="U43" s="31"/>
      <c r="V43" s="31"/>
      <c r="W43" s="31"/>
      <c r="X43" s="31"/>
      <c r="Y43" s="31"/>
      <c r="Z43" s="31"/>
      <c r="AA43" s="31"/>
      <c r="AB43" s="31"/>
      <c r="AC43" s="31"/>
      <c r="AD43" s="31"/>
      <c r="AE43" s="31"/>
      <c r="AF43" s="31"/>
      <c r="AG43" s="31"/>
      <c r="AH43" s="31"/>
      <c r="AI43" s="31"/>
      <c r="AJ43" s="31"/>
      <c r="AK43" s="31"/>
      <c r="AL43" s="32"/>
    </row>
    <row r="44" spans="1:38" x14ac:dyDescent="0.2">
      <c r="A44" s="171"/>
      <c r="B44" s="172"/>
      <c r="C44" s="172"/>
      <c r="D44" s="172"/>
      <c r="E44" s="172"/>
      <c r="F44" s="172"/>
      <c r="G44" s="172"/>
      <c r="H44" s="172"/>
      <c r="I44" s="172"/>
      <c r="J44" s="172"/>
      <c r="K44" s="172"/>
      <c r="L44" s="172"/>
      <c r="M44" s="172"/>
      <c r="N44" s="172"/>
      <c r="O44" s="172"/>
      <c r="P44" s="172"/>
      <c r="Q44" s="172"/>
      <c r="R44" s="172"/>
      <c r="S44" s="173"/>
      <c r="T44" s="30"/>
      <c r="U44" s="31"/>
      <c r="V44" s="31"/>
      <c r="W44" s="31"/>
      <c r="X44" s="31"/>
      <c r="Y44" s="31"/>
      <c r="Z44" s="31"/>
      <c r="AA44" s="31"/>
      <c r="AB44" s="31"/>
      <c r="AC44" s="31"/>
      <c r="AD44" s="31"/>
      <c r="AE44" s="31"/>
      <c r="AF44" s="31"/>
      <c r="AG44" s="31"/>
      <c r="AH44" s="31"/>
      <c r="AI44" s="31"/>
      <c r="AJ44" s="31"/>
      <c r="AK44" s="31"/>
      <c r="AL44" s="32"/>
    </row>
    <row r="45" spans="1:38" x14ac:dyDescent="0.2">
      <c r="A45" s="171"/>
      <c r="B45" s="172"/>
      <c r="C45" s="172"/>
      <c r="D45" s="172"/>
      <c r="E45" s="172"/>
      <c r="F45" s="172"/>
      <c r="G45" s="172"/>
      <c r="H45" s="172"/>
      <c r="I45" s="172"/>
      <c r="J45" s="172"/>
      <c r="K45" s="172"/>
      <c r="L45" s="172"/>
      <c r="M45" s="172"/>
      <c r="N45" s="172"/>
      <c r="O45" s="172"/>
      <c r="P45" s="172"/>
      <c r="Q45" s="172"/>
      <c r="R45" s="172"/>
      <c r="S45" s="173"/>
      <c r="T45" s="30"/>
      <c r="U45" s="31"/>
      <c r="V45" s="31"/>
      <c r="W45" s="31"/>
      <c r="X45" s="31"/>
      <c r="Y45" s="31"/>
      <c r="Z45" s="31"/>
      <c r="AA45" s="31"/>
      <c r="AB45" s="31"/>
      <c r="AC45" s="31"/>
      <c r="AD45" s="31"/>
      <c r="AE45" s="31"/>
      <c r="AF45" s="31"/>
      <c r="AG45" s="31"/>
      <c r="AH45" s="31"/>
      <c r="AI45" s="31"/>
      <c r="AJ45" s="31"/>
      <c r="AK45" s="31"/>
      <c r="AL45" s="32"/>
    </row>
    <row r="46" spans="1:38" x14ac:dyDescent="0.2">
      <c r="A46" s="171"/>
      <c r="B46" s="172"/>
      <c r="C46" s="172"/>
      <c r="D46" s="172"/>
      <c r="E46" s="172"/>
      <c r="F46" s="172"/>
      <c r="G46" s="172"/>
      <c r="H46" s="172"/>
      <c r="I46" s="172"/>
      <c r="J46" s="172"/>
      <c r="K46" s="172"/>
      <c r="L46" s="172"/>
      <c r="M46" s="172"/>
      <c r="N46" s="172"/>
      <c r="O46" s="172"/>
      <c r="P46" s="172"/>
      <c r="Q46" s="172"/>
      <c r="R46" s="172"/>
      <c r="S46" s="173"/>
      <c r="T46" s="30"/>
      <c r="U46" s="31"/>
      <c r="V46" s="31"/>
      <c r="W46" s="31"/>
      <c r="X46" s="31"/>
      <c r="Y46" s="31"/>
      <c r="Z46" s="31"/>
      <c r="AA46" s="31"/>
      <c r="AB46" s="31"/>
      <c r="AC46" s="31"/>
      <c r="AD46" s="31"/>
      <c r="AE46" s="31"/>
      <c r="AF46" s="31"/>
      <c r="AG46" s="31"/>
      <c r="AH46" s="31"/>
      <c r="AI46" s="31"/>
      <c r="AJ46" s="31"/>
      <c r="AK46" s="31"/>
      <c r="AL46" s="32"/>
    </row>
    <row r="47" spans="1:38" x14ac:dyDescent="0.2">
      <c r="A47" s="171"/>
      <c r="B47" s="172"/>
      <c r="C47" s="172"/>
      <c r="D47" s="172"/>
      <c r="E47" s="172"/>
      <c r="F47" s="172"/>
      <c r="G47" s="172"/>
      <c r="H47" s="172"/>
      <c r="I47" s="172"/>
      <c r="J47" s="172"/>
      <c r="K47" s="172"/>
      <c r="L47" s="172"/>
      <c r="M47" s="172"/>
      <c r="N47" s="172"/>
      <c r="O47" s="172"/>
      <c r="P47" s="172"/>
      <c r="Q47" s="172"/>
      <c r="R47" s="172"/>
      <c r="S47" s="173"/>
      <c r="T47" s="30"/>
      <c r="U47" s="31"/>
      <c r="V47" s="31"/>
      <c r="W47" s="31"/>
      <c r="X47" s="31"/>
      <c r="Y47" s="31"/>
      <c r="Z47" s="31"/>
      <c r="AA47" s="31"/>
      <c r="AB47" s="31"/>
      <c r="AC47" s="31"/>
      <c r="AD47" s="31"/>
      <c r="AE47" s="31"/>
      <c r="AF47" s="31"/>
      <c r="AG47" s="31"/>
      <c r="AH47" s="31"/>
      <c r="AI47" s="31"/>
      <c r="AJ47" s="31"/>
      <c r="AK47" s="31"/>
      <c r="AL47" s="32"/>
    </row>
    <row r="48" spans="1:38" x14ac:dyDescent="0.2">
      <c r="A48" s="171"/>
      <c r="B48" s="172"/>
      <c r="C48" s="172"/>
      <c r="D48" s="172"/>
      <c r="E48" s="172"/>
      <c r="F48" s="172"/>
      <c r="G48" s="172"/>
      <c r="H48" s="172"/>
      <c r="I48" s="172"/>
      <c r="J48" s="172"/>
      <c r="K48" s="172"/>
      <c r="L48" s="172"/>
      <c r="M48" s="172"/>
      <c r="N48" s="172"/>
      <c r="O48" s="172"/>
      <c r="P48" s="172"/>
      <c r="Q48" s="172"/>
      <c r="R48" s="172"/>
      <c r="S48" s="173"/>
      <c r="T48" s="30"/>
      <c r="U48" s="31"/>
      <c r="V48" s="31"/>
      <c r="W48" s="31"/>
      <c r="X48" s="31"/>
      <c r="Y48" s="31"/>
      <c r="Z48" s="31"/>
      <c r="AA48" s="31"/>
      <c r="AB48" s="31"/>
      <c r="AC48" s="31"/>
      <c r="AD48" s="31"/>
      <c r="AE48" s="31"/>
      <c r="AF48" s="31"/>
      <c r="AG48" s="31"/>
      <c r="AH48" s="31"/>
      <c r="AI48" s="31"/>
      <c r="AJ48" s="31"/>
      <c r="AK48" s="31"/>
      <c r="AL48" s="32"/>
    </row>
    <row r="49" spans="1:38" x14ac:dyDescent="0.2">
      <c r="A49" s="171"/>
      <c r="B49" s="172"/>
      <c r="C49" s="172"/>
      <c r="D49" s="172"/>
      <c r="E49" s="172"/>
      <c r="F49" s="172"/>
      <c r="G49" s="172"/>
      <c r="H49" s="172"/>
      <c r="I49" s="172"/>
      <c r="J49" s="172"/>
      <c r="K49" s="172"/>
      <c r="L49" s="172"/>
      <c r="M49" s="172"/>
      <c r="N49" s="172"/>
      <c r="O49" s="172"/>
      <c r="P49" s="172"/>
      <c r="Q49" s="172"/>
      <c r="R49" s="172"/>
      <c r="S49" s="173"/>
      <c r="T49" s="30"/>
      <c r="U49" s="31"/>
      <c r="V49" s="31"/>
      <c r="W49" s="31"/>
      <c r="X49" s="31"/>
      <c r="Y49" s="31"/>
      <c r="Z49" s="31"/>
      <c r="AA49" s="31"/>
      <c r="AB49" s="31"/>
      <c r="AC49" s="31"/>
      <c r="AD49" s="31"/>
      <c r="AE49" s="31"/>
      <c r="AF49" s="31"/>
      <c r="AG49" s="31"/>
      <c r="AH49" s="31"/>
      <c r="AI49" s="31"/>
      <c r="AJ49" s="31"/>
      <c r="AK49" s="31"/>
      <c r="AL49" s="32"/>
    </row>
    <row r="50" spans="1:38" x14ac:dyDescent="0.2">
      <c r="A50" s="171"/>
      <c r="B50" s="172"/>
      <c r="C50" s="172"/>
      <c r="D50" s="172"/>
      <c r="E50" s="172"/>
      <c r="F50" s="172"/>
      <c r="G50" s="172"/>
      <c r="H50" s="172"/>
      <c r="I50" s="172"/>
      <c r="J50" s="172"/>
      <c r="K50" s="172"/>
      <c r="L50" s="172"/>
      <c r="M50" s="172"/>
      <c r="N50" s="172"/>
      <c r="O50" s="172"/>
      <c r="P50" s="172"/>
      <c r="Q50" s="172"/>
      <c r="R50" s="172"/>
      <c r="S50" s="173"/>
      <c r="T50" s="30"/>
      <c r="U50" s="31"/>
      <c r="V50" s="31"/>
      <c r="W50" s="31"/>
      <c r="X50" s="31"/>
      <c r="Y50" s="31"/>
      <c r="Z50" s="31"/>
      <c r="AA50" s="31"/>
      <c r="AB50" s="31"/>
      <c r="AC50" s="31"/>
      <c r="AD50" s="31"/>
      <c r="AE50" s="31"/>
      <c r="AF50" s="31"/>
      <c r="AG50" s="31"/>
      <c r="AH50" s="31"/>
      <c r="AI50" s="31"/>
      <c r="AJ50" s="31"/>
      <c r="AK50" s="31"/>
      <c r="AL50" s="32"/>
    </row>
    <row r="51" spans="1:38" x14ac:dyDescent="0.2">
      <c r="A51" s="171"/>
      <c r="B51" s="172"/>
      <c r="C51" s="172"/>
      <c r="D51" s="172"/>
      <c r="E51" s="172"/>
      <c r="F51" s="172"/>
      <c r="G51" s="172"/>
      <c r="H51" s="172"/>
      <c r="I51" s="172"/>
      <c r="J51" s="172"/>
      <c r="K51" s="172"/>
      <c r="L51" s="172"/>
      <c r="M51" s="172"/>
      <c r="N51" s="172"/>
      <c r="O51" s="172"/>
      <c r="P51" s="172"/>
      <c r="Q51" s="172"/>
      <c r="R51" s="172"/>
      <c r="S51" s="173"/>
      <c r="T51" s="30"/>
      <c r="U51" s="31"/>
      <c r="V51" s="31"/>
      <c r="W51" s="31"/>
      <c r="X51" s="31"/>
      <c r="Y51" s="31"/>
      <c r="Z51" s="31"/>
      <c r="AA51" s="31"/>
      <c r="AB51" s="31"/>
      <c r="AC51" s="31"/>
      <c r="AD51" s="31"/>
      <c r="AE51" s="31"/>
      <c r="AF51" s="31"/>
      <c r="AG51" s="31"/>
      <c r="AH51" s="31"/>
      <c r="AI51" s="31"/>
      <c r="AJ51" s="31"/>
      <c r="AK51" s="31"/>
      <c r="AL51" s="32"/>
    </row>
    <row r="52" spans="1:38" x14ac:dyDescent="0.2">
      <c r="A52" s="171"/>
      <c r="B52" s="172"/>
      <c r="C52" s="172"/>
      <c r="D52" s="172"/>
      <c r="E52" s="172"/>
      <c r="F52" s="172"/>
      <c r="G52" s="172"/>
      <c r="H52" s="172"/>
      <c r="I52" s="172"/>
      <c r="J52" s="172"/>
      <c r="K52" s="172"/>
      <c r="L52" s="172"/>
      <c r="M52" s="172"/>
      <c r="N52" s="172"/>
      <c r="O52" s="172"/>
      <c r="P52" s="172"/>
      <c r="Q52" s="172"/>
      <c r="R52" s="172"/>
      <c r="S52" s="173"/>
      <c r="T52" s="30"/>
      <c r="U52" s="31"/>
      <c r="V52" s="31"/>
      <c r="W52" s="31"/>
      <c r="X52" s="31"/>
      <c r="Y52" s="31"/>
      <c r="Z52" s="31"/>
      <c r="AA52" s="31"/>
      <c r="AB52" s="31"/>
      <c r="AC52" s="31"/>
      <c r="AD52" s="31"/>
      <c r="AE52" s="31"/>
      <c r="AF52" s="31"/>
      <c r="AG52" s="31"/>
      <c r="AH52" s="31"/>
      <c r="AI52" s="31"/>
      <c r="AJ52" s="31"/>
      <c r="AK52" s="31"/>
      <c r="AL52" s="32"/>
    </row>
    <row r="53" spans="1:38" x14ac:dyDescent="0.2">
      <c r="A53" s="171"/>
      <c r="B53" s="172"/>
      <c r="C53" s="172"/>
      <c r="D53" s="172"/>
      <c r="E53" s="172"/>
      <c r="F53" s="172"/>
      <c r="G53" s="172"/>
      <c r="H53" s="172"/>
      <c r="I53" s="172"/>
      <c r="J53" s="172"/>
      <c r="K53" s="172"/>
      <c r="L53" s="172"/>
      <c r="M53" s="172"/>
      <c r="N53" s="172"/>
      <c r="O53" s="172"/>
      <c r="P53" s="172"/>
      <c r="Q53" s="172"/>
      <c r="R53" s="172"/>
      <c r="S53" s="173"/>
      <c r="T53" s="30"/>
      <c r="U53" s="31"/>
      <c r="V53" s="31"/>
      <c r="W53" s="31"/>
      <c r="X53" s="31"/>
      <c r="Y53" s="31"/>
      <c r="Z53" s="31"/>
      <c r="AA53" s="31"/>
      <c r="AB53" s="31"/>
      <c r="AC53" s="31"/>
      <c r="AD53" s="31"/>
      <c r="AE53" s="31"/>
      <c r="AF53" s="31"/>
      <c r="AG53" s="31"/>
      <c r="AH53" s="31"/>
      <c r="AI53" s="31"/>
      <c r="AJ53" s="31"/>
      <c r="AK53" s="31"/>
      <c r="AL53" s="32"/>
    </row>
    <row r="54" spans="1:38" x14ac:dyDescent="0.2">
      <c r="A54" s="171"/>
      <c r="B54" s="172"/>
      <c r="C54" s="172"/>
      <c r="D54" s="172"/>
      <c r="E54" s="172"/>
      <c r="F54" s="172"/>
      <c r="G54" s="172"/>
      <c r="H54" s="172"/>
      <c r="I54" s="172"/>
      <c r="J54" s="172"/>
      <c r="K54" s="172"/>
      <c r="L54" s="172"/>
      <c r="M54" s="172"/>
      <c r="N54" s="172"/>
      <c r="O54" s="172"/>
      <c r="P54" s="172"/>
      <c r="Q54" s="172"/>
      <c r="R54" s="172"/>
      <c r="S54" s="173"/>
      <c r="T54" s="30"/>
      <c r="U54" s="31"/>
      <c r="V54" s="31"/>
      <c r="W54" s="31"/>
      <c r="X54" s="31"/>
      <c r="Y54" s="31"/>
      <c r="Z54" s="31"/>
      <c r="AA54" s="31"/>
      <c r="AB54" s="31"/>
      <c r="AC54" s="31"/>
      <c r="AD54" s="31"/>
      <c r="AE54" s="31"/>
      <c r="AF54" s="31"/>
      <c r="AG54" s="31"/>
      <c r="AH54" s="31"/>
      <c r="AI54" s="31"/>
      <c r="AJ54" s="31"/>
      <c r="AK54" s="31"/>
      <c r="AL54" s="32"/>
    </row>
    <row r="55" spans="1:38" x14ac:dyDescent="0.2">
      <c r="A55" s="171"/>
      <c r="B55" s="172"/>
      <c r="C55" s="172"/>
      <c r="D55" s="172"/>
      <c r="E55" s="172"/>
      <c r="F55" s="172"/>
      <c r="G55" s="172"/>
      <c r="H55" s="172"/>
      <c r="I55" s="172"/>
      <c r="J55" s="172"/>
      <c r="K55" s="172"/>
      <c r="L55" s="172"/>
      <c r="M55" s="172"/>
      <c r="N55" s="172"/>
      <c r="O55" s="172"/>
      <c r="P55" s="172"/>
      <c r="Q55" s="172"/>
      <c r="R55" s="172"/>
      <c r="S55" s="173"/>
      <c r="T55" s="30"/>
      <c r="U55" s="31"/>
      <c r="V55" s="31"/>
      <c r="W55" s="31"/>
      <c r="X55" s="31"/>
      <c r="Y55" s="31"/>
      <c r="Z55" s="31"/>
      <c r="AA55" s="31"/>
      <c r="AB55" s="31"/>
      <c r="AC55" s="31"/>
      <c r="AD55" s="31"/>
      <c r="AE55" s="31"/>
      <c r="AF55" s="31"/>
      <c r="AG55" s="31"/>
      <c r="AH55" s="31"/>
      <c r="AI55" s="31"/>
      <c r="AJ55" s="31"/>
      <c r="AK55" s="31"/>
      <c r="AL55" s="32"/>
    </row>
    <row r="56" spans="1:38" x14ac:dyDescent="0.2">
      <c r="A56" s="171"/>
      <c r="B56" s="172"/>
      <c r="C56" s="172"/>
      <c r="D56" s="172"/>
      <c r="E56" s="172"/>
      <c r="F56" s="172"/>
      <c r="G56" s="172"/>
      <c r="H56" s="172"/>
      <c r="I56" s="172"/>
      <c r="J56" s="172"/>
      <c r="K56" s="172"/>
      <c r="L56" s="172"/>
      <c r="M56" s="172"/>
      <c r="N56" s="172"/>
      <c r="O56" s="172"/>
      <c r="P56" s="172"/>
      <c r="Q56" s="172"/>
      <c r="R56" s="172"/>
      <c r="S56" s="173"/>
      <c r="T56" s="30"/>
      <c r="U56" s="31"/>
      <c r="V56" s="31"/>
      <c r="W56" s="31"/>
      <c r="X56" s="31"/>
      <c r="Y56" s="31"/>
      <c r="Z56" s="31"/>
      <c r="AA56" s="31"/>
      <c r="AB56" s="31"/>
      <c r="AC56" s="31"/>
      <c r="AD56" s="31"/>
      <c r="AE56" s="31"/>
      <c r="AF56" s="31"/>
      <c r="AG56" s="31"/>
      <c r="AH56" s="31"/>
      <c r="AI56" s="31"/>
      <c r="AJ56" s="31"/>
      <c r="AK56" s="31"/>
      <c r="AL56" s="32"/>
    </row>
    <row r="57" spans="1:38" x14ac:dyDescent="0.2">
      <c r="A57" s="171"/>
      <c r="B57" s="172"/>
      <c r="C57" s="172"/>
      <c r="D57" s="172"/>
      <c r="E57" s="172"/>
      <c r="F57" s="172"/>
      <c r="G57" s="172"/>
      <c r="H57" s="172"/>
      <c r="I57" s="172"/>
      <c r="J57" s="172"/>
      <c r="K57" s="172"/>
      <c r="L57" s="172"/>
      <c r="M57" s="172"/>
      <c r="N57" s="172"/>
      <c r="O57" s="172"/>
      <c r="P57" s="172"/>
      <c r="Q57" s="172"/>
      <c r="R57" s="172"/>
      <c r="S57" s="173"/>
      <c r="T57" s="30"/>
      <c r="U57" s="31"/>
      <c r="V57" s="31"/>
      <c r="W57" s="31"/>
      <c r="X57" s="31"/>
      <c r="Y57" s="31"/>
      <c r="Z57" s="31"/>
      <c r="AA57" s="31"/>
      <c r="AB57" s="31"/>
      <c r="AC57" s="31"/>
      <c r="AD57" s="31"/>
      <c r="AE57" s="31"/>
      <c r="AF57" s="31"/>
      <c r="AG57" s="31"/>
      <c r="AH57" s="31"/>
      <c r="AI57" s="31"/>
      <c r="AJ57" s="31"/>
      <c r="AK57" s="31"/>
      <c r="AL57" s="32"/>
    </row>
    <row r="58" spans="1:38" x14ac:dyDescent="0.2">
      <c r="A58" s="171"/>
      <c r="B58" s="172"/>
      <c r="C58" s="172"/>
      <c r="D58" s="172"/>
      <c r="E58" s="172"/>
      <c r="F58" s="172"/>
      <c r="G58" s="172"/>
      <c r="H58" s="172"/>
      <c r="I58" s="172"/>
      <c r="J58" s="172"/>
      <c r="K58" s="172"/>
      <c r="L58" s="172"/>
      <c r="M58" s="172"/>
      <c r="N58" s="172"/>
      <c r="O58" s="172"/>
      <c r="P58" s="172"/>
      <c r="Q58" s="172"/>
      <c r="R58" s="172"/>
      <c r="S58" s="173"/>
      <c r="T58" s="30"/>
      <c r="U58" s="31"/>
      <c r="V58" s="31"/>
      <c r="W58" s="31"/>
      <c r="X58" s="31"/>
      <c r="Y58" s="31"/>
      <c r="Z58" s="31"/>
      <c r="AA58" s="31"/>
      <c r="AB58" s="31"/>
      <c r="AC58" s="31"/>
      <c r="AD58" s="31"/>
      <c r="AE58" s="31"/>
      <c r="AF58" s="31"/>
      <c r="AG58" s="31"/>
      <c r="AH58" s="31"/>
      <c r="AI58" s="31"/>
      <c r="AJ58" s="31"/>
      <c r="AK58" s="31"/>
      <c r="AL58" s="32"/>
    </row>
    <row r="59" spans="1:38" x14ac:dyDescent="0.2">
      <c r="A59" s="171"/>
      <c r="B59" s="172"/>
      <c r="C59" s="172"/>
      <c r="D59" s="172"/>
      <c r="E59" s="172"/>
      <c r="F59" s="172"/>
      <c r="G59" s="172"/>
      <c r="H59" s="172"/>
      <c r="I59" s="172"/>
      <c r="J59" s="172"/>
      <c r="K59" s="172"/>
      <c r="L59" s="172"/>
      <c r="M59" s="172"/>
      <c r="N59" s="172"/>
      <c r="O59" s="172"/>
      <c r="P59" s="172"/>
      <c r="Q59" s="172"/>
      <c r="R59" s="172"/>
      <c r="S59" s="173"/>
      <c r="T59" s="30"/>
      <c r="U59" s="31"/>
      <c r="V59" s="31"/>
      <c r="W59" s="31"/>
      <c r="X59" s="31"/>
      <c r="Y59" s="31"/>
      <c r="Z59" s="31"/>
      <c r="AA59" s="31"/>
      <c r="AB59" s="31"/>
      <c r="AC59" s="31"/>
      <c r="AD59" s="31"/>
      <c r="AE59" s="31"/>
      <c r="AF59" s="31"/>
      <c r="AG59" s="31"/>
      <c r="AH59" s="31"/>
      <c r="AI59" s="31"/>
      <c r="AJ59" s="31"/>
      <c r="AK59" s="31"/>
      <c r="AL59" s="32"/>
    </row>
    <row r="60" spans="1:38" x14ac:dyDescent="0.2">
      <c r="A60" s="171"/>
      <c r="B60" s="172"/>
      <c r="C60" s="172"/>
      <c r="D60" s="172"/>
      <c r="E60" s="172"/>
      <c r="F60" s="172"/>
      <c r="G60" s="172"/>
      <c r="H60" s="172"/>
      <c r="I60" s="172"/>
      <c r="J60" s="172"/>
      <c r="K60" s="172"/>
      <c r="L60" s="172"/>
      <c r="M60" s="172"/>
      <c r="N60" s="172"/>
      <c r="O60" s="172"/>
      <c r="P60" s="172"/>
      <c r="Q60" s="172"/>
      <c r="R60" s="172"/>
      <c r="S60" s="173"/>
      <c r="T60" s="30"/>
      <c r="U60" s="31"/>
      <c r="V60" s="31"/>
      <c r="W60" s="31"/>
      <c r="X60" s="31"/>
      <c r="Y60" s="31"/>
      <c r="Z60" s="31"/>
      <c r="AA60" s="31"/>
      <c r="AB60" s="31"/>
      <c r="AC60" s="31"/>
      <c r="AD60" s="31"/>
      <c r="AE60" s="31"/>
      <c r="AF60" s="31"/>
      <c r="AG60" s="31"/>
      <c r="AH60" s="31"/>
      <c r="AI60" s="31"/>
      <c r="AJ60" s="31"/>
      <c r="AK60" s="31"/>
      <c r="AL60" s="32"/>
    </row>
    <row r="61" spans="1:38" x14ac:dyDescent="0.2">
      <c r="A61" s="171"/>
      <c r="B61" s="172"/>
      <c r="C61" s="172"/>
      <c r="D61" s="172"/>
      <c r="E61" s="172"/>
      <c r="F61" s="172"/>
      <c r="G61" s="172"/>
      <c r="H61" s="172"/>
      <c r="I61" s="172"/>
      <c r="J61" s="172"/>
      <c r="K61" s="172"/>
      <c r="L61" s="172"/>
      <c r="M61" s="172"/>
      <c r="N61" s="172"/>
      <c r="O61" s="172"/>
      <c r="P61" s="172"/>
      <c r="Q61" s="172"/>
      <c r="R61" s="172"/>
      <c r="S61" s="173"/>
      <c r="T61" s="30"/>
      <c r="U61" s="31"/>
      <c r="V61" s="31"/>
      <c r="W61" s="31"/>
      <c r="X61" s="31"/>
      <c r="Y61" s="31"/>
      <c r="Z61" s="31"/>
      <c r="AA61" s="31"/>
      <c r="AB61" s="31"/>
      <c r="AC61" s="31"/>
      <c r="AD61" s="31"/>
      <c r="AE61" s="31"/>
      <c r="AF61" s="31"/>
      <c r="AG61" s="31"/>
      <c r="AH61" s="31"/>
      <c r="AI61" s="31"/>
      <c r="AJ61" s="31"/>
      <c r="AK61" s="31"/>
      <c r="AL61" s="32"/>
    </row>
    <row r="62" spans="1:38" x14ac:dyDescent="0.2">
      <c r="A62" s="171"/>
      <c r="B62" s="172"/>
      <c r="C62" s="172"/>
      <c r="D62" s="172"/>
      <c r="E62" s="172"/>
      <c r="F62" s="172"/>
      <c r="G62" s="172"/>
      <c r="H62" s="172"/>
      <c r="I62" s="172"/>
      <c r="J62" s="172"/>
      <c r="K62" s="172"/>
      <c r="L62" s="172"/>
      <c r="M62" s="172"/>
      <c r="N62" s="172"/>
      <c r="O62" s="172"/>
      <c r="P62" s="172"/>
      <c r="Q62" s="172"/>
      <c r="R62" s="172"/>
      <c r="S62" s="173"/>
      <c r="T62" s="30"/>
      <c r="U62" s="31"/>
      <c r="V62" s="31"/>
      <c r="W62" s="31"/>
      <c r="X62" s="31"/>
      <c r="Y62" s="31"/>
      <c r="Z62" s="31"/>
      <c r="AA62" s="31"/>
      <c r="AB62" s="31"/>
      <c r="AC62" s="31"/>
      <c r="AD62" s="31"/>
      <c r="AE62" s="31"/>
      <c r="AF62" s="31"/>
      <c r="AG62" s="31"/>
      <c r="AH62" s="31"/>
      <c r="AI62" s="31"/>
      <c r="AJ62" s="31"/>
      <c r="AK62" s="31"/>
      <c r="AL62" s="32"/>
    </row>
    <row r="63" spans="1:38" x14ac:dyDescent="0.2">
      <c r="A63" s="174"/>
      <c r="B63" s="175"/>
      <c r="C63" s="175"/>
      <c r="D63" s="175"/>
      <c r="E63" s="175"/>
      <c r="F63" s="175"/>
      <c r="G63" s="175"/>
      <c r="H63" s="175"/>
      <c r="I63" s="175"/>
      <c r="J63" s="175"/>
      <c r="K63" s="175"/>
      <c r="L63" s="175"/>
      <c r="M63" s="175"/>
      <c r="N63" s="175"/>
      <c r="O63" s="175"/>
      <c r="P63" s="175"/>
      <c r="Q63" s="175"/>
      <c r="R63" s="175"/>
      <c r="S63" s="176"/>
      <c r="T63" s="38"/>
      <c r="U63" s="36"/>
      <c r="V63" s="36"/>
      <c r="W63" s="36"/>
      <c r="X63" s="36"/>
      <c r="Y63" s="36"/>
      <c r="Z63" s="36"/>
      <c r="AA63" s="36"/>
      <c r="AB63" s="36"/>
      <c r="AC63" s="36"/>
      <c r="AD63" s="36"/>
      <c r="AE63" s="36"/>
      <c r="AF63" s="36"/>
      <c r="AG63" s="36"/>
      <c r="AH63" s="36"/>
      <c r="AI63" s="36"/>
      <c r="AJ63" s="36"/>
      <c r="AK63" s="36"/>
      <c r="AL63" s="39"/>
    </row>
  </sheetData>
  <sheetProtection password="E10F" sheet="1"/>
  <mergeCells count="4">
    <mergeCell ref="A1:S1"/>
    <mergeCell ref="D3:J3"/>
    <mergeCell ref="O3:S3"/>
    <mergeCell ref="A5:S6"/>
  </mergeCells>
  <phoneticPr fontId="2" type="noConversion"/>
  <hyperlinks>
    <hyperlink ref="A7:D7" location="'Cover Sheet'!A1" display="BACK to COVER SHEET" xr:uid="{00000000-0004-0000-2600-000000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5"/>
  <dimension ref="A1:AL58"/>
  <sheetViews>
    <sheetView showGridLines="0" view="pageBreakPreview" zoomScaleNormal="100" zoomScaleSheetLayoutView="100" workbookViewId="0">
      <selection sqref="A1:S1"/>
    </sheetView>
  </sheetViews>
  <sheetFormatPr baseColWidth="10" defaultColWidth="9.140625" defaultRowHeight="12.75" x14ac:dyDescent="0.2"/>
  <cols>
    <col min="1" max="21" width="5" customWidth="1"/>
    <col min="22" max="22" width="6.28515625" customWidth="1"/>
    <col min="23" max="38" width="5" customWidth="1"/>
  </cols>
  <sheetData>
    <row r="1" spans="1:38" x14ac:dyDescent="0.2">
      <c r="A1" s="788" t="s">
        <v>547</v>
      </c>
      <c r="B1" s="789"/>
      <c r="C1" s="789"/>
      <c r="D1" s="789"/>
      <c r="E1" s="789"/>
      <c r="F1" s="789"/>
      <c r="G1" s="789"/>
      <c r="H1" s="789"/>
      <c r="I1" s="789"/>
      <c r="J1" s="789"/>
      <c r="K1" s="789"/>
      <c r="L1" s="789"/>
      <c r="M1" s="789"/>
      <c r="N1" s="789"/>
      <c r="O1" s="789"/>
      <c r="P1" s="789"/>
      <c r="Q1" s="789"/>
      <c r="R1" s="789"/>
      <c r="S1" s="790"/>
      <c r="T1" s="486"/>
      <c r="U1" s="487"/>
      <c r="V1" s="487"/>
      <c r="W1" s="487"/>
      <c r="X1" s="487"/>
      <c r="Y1" s="487"/>
      <c r="Z1" s="487"/>
      <c r="AA1" s="487"/>
      <c r="AB1" s="487"/>
      <c r="AC1" s="487"/>
      <c r="AD1" s="487"/>
      <c r="AE1" s="487"/>
      <c r="AF1" s="487"/>
      <c r="AG1" s="487"/>
      <c r="AH1" s="487"/>
      <c r="AI1" s="487"/>
      <c r="AJ1" s="487"/>
      <c r="AK1" s="487"/>
      <c r="AL1" s="488"/>
    </row>
    <row r="2" spans="1:38" x14ac:dyDescent="0.2">
      <c r="A2" s="489"/>
      <c r="B2" s="490"/>
      <c r="C2" s="490"/>
      <c r="D2" s="490"/>
      <c r="E2" s="490"/>
      <c r="F2" s="490"/>
      <c r="G2" s="490"/>
      <c r="H2" s="490"/>
      <c r="I2" s="490"/>
      <c r="J2" s="490"/>
      <c r="K2" s="490"/>
      <c r="L2" s="490"/>
      <c r="M2" s="490"/>
      <c r="N2" s="490"/>
      <c r="O2" s="490"/>
      <c r="P2" s="490"/>
      <c r="Q2" s="490"/>
      <c r="R2" s="490"/>
      <c r="S2" s="491"/>
      <c r="T2" s="492"/>
      <c r="U2" s="223"/>
      <c r="V2" s="223"/>
      <c r="W2" s="223"/>
      <c r="X2" s="223"/>
      <c r="Y2" s="223"/>
      <c r="Z2" s="223"/>
      <c r="AA2" s="223"/>
      <c r="AB2" s="223"/>
      <c r="AC2" s="223"/>
      <c r="AD2" s="223"/>
      <c r="AE2" s="223"/>
      <c r="AF2" s="223"/>
      <c r="AG2" s="223"/>
      <c r="AH2" s="223"/>
      <c r="AI2" s="223"/>
      <c r="AJ2" s="223"/>
      <c r="AK2" s="223"/>
      <c r="AL2" s="224"/>
    </row>
    <row r="3" spans="1:38" x14ac:dyDescent="0.2">
      <c r="A3" s="334"/>
      <c r="B3" s="493" t="s">
        <v>309</v>
      </c>
      <c r="C3" s="333"/>
      <c r="D3" s="333"/>
      <c r="E3" s="333"/>
      <c r="F3" s="333"/>
      <c r="G3" s="333"/>
      <c r="H3" s="333"/>
      <c r="I3" s="333"/>
      <c r="J3" s="333"/>
      <c r="K3" s="333"/>
      <c r="L3" s="333"/>
      <c r="M3" s="333"/>
      <c r="N3" s="333"/>
      <c r="O3" s="333"/>
      <c r="P3" s="333"/>
      <c r="Q3" s="333"/>
      <c r="R3" s="333"/>
      <c r="S3" s="337"/>
      <c r="T3" s="492"/>
      <c r="U3" s="497" t="s">
        <v>310</v>
      </c>
      <c r="V3" s="223"/>
      <c r="W3" s="223"/>
      <c r="X3" s="223"/>
      <c r="Y3" s="223"/>
      <c r="Z3" s="223"/>
      <c r="AA3" s="223"/>
      <c r="AB3" s="223"/>
      <c r="AC3" s="223"/>
      <c r="AD3" s="223"/>
      <c r="AE3" s="223"/>
      <c r="AF3" s="223"/>
      <c r="AG3" s="223"/>
      <c r="AH3" s="223"/>
      <c r="AI3" s="223"/>
      <c r="AJ3" s="223"/>
      <c r="AK3" s="223"/>
      <c r="AL3" s="224"/>
    </row>
    <row r="4" spans="1:38" x14ac:dyDescent="0.2">
      <c r="A4" s="334"/>
      <c r="B4" s="493" t="s">
        <v>292</v>
      </c>
      <c r="C4" s="333"/>
      <c r="D4" s="333"/>
      <c r="E4" s="333"/>
      <c r="F4" s="333"/>
      <c r="G4" s="333"/>
      <c r="H4" s="333"/>
      <c r="I4" s="333"/>
      <c r="J4" s="333"/>
      <c r="K4" s="333"/>
      <c r="L4" s="333"/>
      <c r="M4" s="333"/>
      <c r="N4" s="333"/>
      <c r="O4" s="333"/>
      <c r="P4" s="333"/>
      <c r="Q4" s="333"/>
      <c r="R4" s="333"/>
      <c r="S4" s="337"/>
      <c r="T4" s="492"/>
      <c r="U4" s="497" t="s">
        <v>312</v>
      </c>
      <c r="V4" s="223"/>
      <c r="W4" s="223"/>
      <c r="X4" s="223"/>
      <c r="Y4" s="223"/>
      <c r="Z4" s="223"/>
      <c r="AA4" s="223"/>
      <c r="AB4" s="223"/>
      <c r="AC4" s="223"/>
      <c r="AD4" s="223"/>
      <c r="AE4" s="223"/>
      <c r="AF4" s="223"/>
      <c r="AG4" s="223"/>
      <c r="AH4" s="223"/>
      <c r="AI4" s="223"/>
      <c r="AJ4" s="223"/>
      <c r="AK4" s="223"/>
      <c r="AL4" s="224"/>
    </row>
    <row r="5" spans="1:38" x14ac:dyDescent="0.2">
      <c r="A5" s="334"/>
      <c r="B5" s="493"/>
      <c r="C5" s="333"/>
      <c r="D5" s="333"/>
      <c r="E5" s="333"/>
      <c r="F5" s="333"/>
      <c r="G5" s="333"/>
      <c r="H5" s="333"/>
      <c r="I5" s="333"/>
      <c r="J5" s="333"/>
      <c r="K5" s="333"/>
      <c r="L5" s="333"/>
      <c r="M5" s="333"/>
      <c r="N5" s="333"/>
      <c r="O5" s="333"/>
      <c r="P5" s="333"/>
      <c r="Q5" s="333"/>
      <c r="R5" s="333"/>
      <c r="S5" s="337"/>
      <c r="T5" s="492"/>
      <c r="U5" s="497" t="s">
        <v>311</v>
      </c>
      <c r="V5" s="223"/>
      <c r="W5" s="223"/>
      <c r="X5" s="223"/>
      <c r="Y5" s="223"/>
      <c r="Z5" s="223"/>
      <c r="AA5" s="223"/>
      <c r="AB5" s="223"/>
      <c r="AC5" s="223"/>
      <c r="AD5" s="223"/>
      <c r="AE5" s="223"/>
      <c r="AF5" s="223"/>
      <c r="AG5" s="223"/>
      <c r="AH5" s="223"/>
      <c r="AI5" s="223"/>
      <c r="AJ5" s="223"/>
      <c r="AK5" s="223"/>
      <c r="AL5" s="224"/>
    </row>
    <row r="6" spans="1:38" x14ac:dyDescent="0.2">
      <c r="A6" s="334"/>
      <c r="B6" s="493" t="s">
        <v>293</v>
      </c>
      <c r="C6" s="333"/>
      <c r="D6" s="333"/>
      <c r="E6" s="333"/>
      <c r="F6" s="333"/>
      <c r="G6" s="333"/>
      <c r="H6" s="333"/>
      <c r="I6" s="333"/>
      <c r="J6" s="333"/>
      <c r="K6" s="333"/>
      <c r="L6" s="333"/>
      <c r="M6" s="333"/>
      <c r="N6" s="333"/>
      <c r="O6" s="333"/>
      <c r="P6" s="333"/>
      <c r="Q6" s="333"/>
      <c r="R6" s="333"/>
      <c r="S6" s="337"/>
      <c r="T6" s="492"/>
      <c r="U6" s="497"/>
      <c r="V6" s="223"/>
      <c r="W6" s="223"/>
      <c r="X6" s="223"/>
      <c r="Y6" s="223"/>
      <c r="Z6" s="223"/>
      <c r="AA6" s="223"/>
      <c r="AB6" s="223"/>
      <c r="AC6" s="223"/>
      <c r="AD6" s="223"/>
      <c r="AE6" s="223"/>
      <c r="AF6" s="223"/>
      <c r="AG6" s="223"/>
      <c r="AH6" s="223"/>
      <c r="AI6" s="223"/>
      <c r="AJ6" s="223"/>
      <c r="AK6" s="223"/>
      <c r="AL6" s="224"/>
    </row>
    <row r="7" spans="1:38" x14ac:dyDescent="0.2">
      <c r="A7" s="334"/>
      <c r="B7" s="493" t="s">
        <v>294</v>
      </c>
      <c r="C7" s="333"/>
      <c r="D7" s="333"/>
      <c r="E7" s="333"/>
      <c r="F7" s="333"/>
      <c r="G7" s="333"/>
      <c r="H7" s="333"/>
      <c r="I7" s="333"/>
      <c r="J7" s="333"/>
      <c r="K7" s="333"/>
      <c r="L7" s="333"/>
      <c r="M7" s="333"/>
      <c r="N7" s="333"/>
      <c r="O7" s="333"/>
      <c r="P7" s="333"/>
      <c r="Q7" s="333"/>
      <c r="R7" s="333"/>
      <c r="S7" s="337"/>
      <c r="T7" s="492"/>
      <c r="U7" s="223"/>
      <c r="V7" s="223"/>
      <c r="W7" s="223"/>
      <c r="X7" s="223"/>
      <c r="Y7" s="223"/>
      <c r="Z7" s="223"/>
      <c r="AA7" s="223"/>
      <c r="AB7" s="223"/>
      <c r="AC7" s="223"/>
      <c r="AD7" s="223"/>
      <c r="AE7" s="223"/>
      <c r="AF7" s="223"/>
      <c r="AG7" s="223"/>
      <c r="AH7" s="223"/>
      <c r="AI7" s="223"/>
      <c r="AJ7" s="223"/>
      <c r="AK7" s="223"/>
      <c r="AL7" s="224"/>
    </row>
    <row r="8" spans="1:38" x14ac:dyDescent="0.2">
      <c r="A8" s="334"/>
      <c r="B8" s="493" t="s">
        <v>295</v>
      </c>
      <c r="C8" s="333"/>
      <c r="D8" s="333"/>
      <c r="E8" s="333"/>
      <c r="F8" s="333"/>
      <c r="G8" s="333"/>
      <c r="H8" s="333"/>
      <c r="I8" s="333"/>
      <c r="J8" s="333"/>
      <c r="K8" s="333"/>
      <c r="L8" s="333"/>
      <c r="M8" s="333"/>
      <c r="N8" s="333"/>
      <c r="O8" s="333"/>
      <c r="P8" s="333"/>
      <c r="Q8" s="333"/>
      <c r="R8" s="333"/>
      <c r="S8" s="337"/>
      <c r="T8" s="492"/>
      <c r="U8" s="223"/>
      <c r="V8" s="223"/>
      <c r="W8" s="223"/>
      <c r="X8" s="223"/>
      <c r="Y8" s="223"/>
      <c r="Z8" s="223"/>
      <c r="AA8" s="223"/>
      <c r="AB8" s="223"/>
      <c r="AC8" s="223"/>
      <c r="AD8" s="223"/>
      <c r="AE8" s="223"/>
      <c r="AF8" s="223"/>
      <c r="AG8" s="223"/>
      <c r="AH8" s="223"/>
      <c r="AI8" s="223"/>
      <c r="AJ8" s="223"/>
      <c r="AK8" s="223"/>
      <c r="AL8" s="224"/>
    </row>
    <row r="9" spans="1:38" x14ac:dyDescent="0.2">
      <c r="A9" s="334"/>
      <c r="B9" s="493" t="s">
        <v>296</v>
      </c>
      <c r="C9" s="333"/>
      <c r="D9" s="333"/>
      <c r="E9" s="333"/>
      <c r="F9" s="333"/>
      <c r="G9" s="333"/>
      <c r="H9" s="333"/>
      <c r="I9" s="333"/>
      <c r="J9" s="333"/>
      <c r="K9" s="333"/>
      <c r="L9" s="336"/>
      <c r="M9" s="333"/>
      <c r="N9" s="333"/>
      <c r="O9" s="333"/>
      <c r="P9" s="333"/>
      <c r="Q9" s="333"/>
      <c r="R9" s="333"/>
      <c r="S9" s="337"/>
      <c r="T9" s="492"/>
      <c r="U9" s="223"/>
      <c r="V9" s="223"/>
      <c r="W9" s="223"/>
      <c r="X9" s="223"/>
      <c r="Y9" s="223"/>
      <c r="Z9" s="223"/>
      <c r="AA9" s="223"/>
      <c r="AB9" s="223"/>
      <c r="AC9" s="223"/>
      <c r="AD9" s="223"/>
      <c r="AE9" s="223"/>
      <c r="AF9" s="223"/>
      <c r="AG9" s="223"/>
      <c r="AH9" s="223"/>
      <c r="AI9" s="223"/>
      <c r="AJ9" s="223"/>
      <c r="AK9" s="223"/>
      <c r="AL9" s="224"/>
    </row>
    <row r="10" spans="1:38" x14ac:dyDescent="0.2">
      <c r="A10" s="334"/>
      <c r="B10" s="105"/>
      <c r="C10" s="333"/>
      <c r="D10" s="333"/>
      <c r="E10" s="333"/>
      <c r="F10" s="333"/>
      <c r="G10" s="333"/>
      <c r="H10" s="333"/>
      <c r="I10" s="333"/>
      <c r="J10" s="333"/>
      <c r="K10" s="333"/>
      <c r="L10" s="333"/>
      <c r="M10" s="333"/>
      <c r="N10" s="333"/>
      <c r="O10" s="333"/>
      <c r="P10" s="333"/>
      <c r="Q10" s="333"/>
      <c r="R10" s="333"/>
      <c r="S10" s="337"/>
      <c r="T10" s="492"/>
      <c r="U10" s="223"/>
      <c r="V10" s="223"/>
      <c r="W10" s="223"/>
      <c r="X10" s="223"/>
      <c r="Y10" s="223"/>
      <c r="Z10" s="223"/>
      <c r="AA10" s="223"/>
      <c r="AB10" s="223"/>
      <c r="AC10" s="223"/>
      <c r="AD10" s="223"/>
      <c r="AE10" s="223"/>
      <c r="AF10" s="223"/>
      <c r="AG10" s="223"/>
      <c r="AH10" s="223"/>
      <c r="AI10" s="223"/>
      <c r="AJ10" s="223"/>
      <c r="AK10" s="223"/>
      <c r="AL10" s="224"/>
    </row>
    <row r="11" spans="1:38" x14ac:dyDescent="0.2">
      <c r="A11" s="334"/>
      <c r="B11" s="493" t="s">
        <v>313</v>
      </c>
      <c r="C11" s="333"/>
      <c r="D11" s="333"/>
      <c r="E11" s="333"/>
      <c r="F11" s="333"/>
      <c r="G11" s="333"/>
      <c r="H11" s="333"/>
      <c r="I11" s="333"/>
      <c r="J11" s="333"/>
      <c r="K11" s="333"/>
      <c r="L11" s="333"/>
      <c r="M11" s="333"/>
      <c r="N11" s="333"/>
      <c r="O11" s="333"/>
      <c r="P11" s="333"/>
      <c r="Q11" s="333"/>
      <c r="R11" s="333"/>
      <c r="S11" s="337"/>
      <c r="T11" s="492"/>
      <c r="U11" s="223"/>
      <c r="V11" s="223"/>
      <c r="W11" s="223"/>
      <c r="X11" s="223"/>
      <c r="Y11" s="223"/>
      <c r="Z11" s="223"/>
      <c r="AA11" s="223"/>
      <c r="AB11" s="223"/>
      <c r="AC11" s="223"/>
      <c r="AD11" s="223"/>
      <c r="AE11" s="223"/>
      <c r="AF11" s="223"/>
      <c r="AG11" s="223"/>
      <c r="AH11" s="223"/>
      <c r="AI11" s="223"/>
      <c r="AJ11" s="223"/>
      <c r="AK11" s="223"/>
      <c r="AL11" s="224"/>
    </row>
    <row r="12" spans="1:38" x14ac:dyDescent="0.2">
      <c r="A12" s="334"/>
      <c r="B12" s="493" t="s">
        <v>314</v>
      </c>
      <c r="C12" s="333"/>
      <c r="D12" s="333"/>
      <c r="E12" s="333"/>
      <c r="F12" s="333"/>
      <c r="G12" s="333"/>
      <c r="H12" s="333"/>
      <c r="I12" s="333"/>
      <c r="J12" s="333"/>
      <c r="K12" s="333"/>
      <c r="L12" s="333"/>
      <c r="M12" s="333"/>
      <c r="N12" s="333"/>
      <c r="O12" s="333"/>
      <c r="P12" s="333"/>
      <c r="Q12" s="333"/>
      <c r="R12" s="333"/>
      <c r="S12" s="337"/>
      <c r="T12" s="492"/>
      <c r="U12" s="223"/>
      <c r="V12" s="223"/>
      <c r="W12" s="223"/>
      <c r="X12" s="223"/>
      <c r="Y12" s="223"/>
      <c r="Z12" s="223"/>
      <c r="AA12" s="223"/>
      <c r="AB12" s="223"/>
      <c r="AC12" s="223"/>
      <c r="AD12" s="223"/>
      <c r="AE12" s="223"/>
      <c r="AF12" s="223"/>
      <c r="AG12" s="223"/>
      <c r="AH12" s="223"/>
      <c r="AI12" s="223"/>
      <c r="AJ12" s="223"/>
      <c r="AK12" s="223"/>
      <c r="AL12" s="224"/>
    </row>
    <row r="13" spans="1:38" x14ac:dyDescent="0.2">
      <c r="A13" s="334"/>
      <c r="B13" s="493" t="s">
        <v>315</v>
      </c>
      <c r="C13" s="333"/>
      <c r="D13" s="333"/>
      <c r="E13" s="333"/>
      <c r="F13" s="333"/>
      <c r="G13" s="333"/>
      <c r="H13" s="333"/>
      <c r="I13" s="333"/>
      <c r="J13" s="333"/>
      <c r="K13" s="333"/>
      <c r="L13" s="333"/>
      <c r="M13" s="333"/>
      <c r="N13" s="333"/>
      <c r="O13" s="333"/>
      <c r="P13" s="333"/>
      <c r="Q13" s="333"/>
      <c r="R13" s="333"/>
      <c r="S13" s="337"/>
      <c r="T13" s="492"/>
      <c r="U13" s="223"/>
      <c r="V13" s="223"/>
      <c r="W13" s="223"/>
      <c r="X13" s="223"/>
      <c r="Y13" s="223"/>
      <c r="Z13" s="223"/>
      <c r="AA13" s="223"/>
      <c r="AB13" s="223"/>
      <c r="AC13" s="223"/>
      <c r="AD13" s="223"/>
      <c r="AE13" s="223"/>
      <c r="AF13" s="223"/>
      <c r="AG13" s="223"/>
      <c r="AH13" s="223"/>
      <c r="AI13" s="223"/>
      <c r="AJ13" s="223"/>
      <c r="AK13" s="223"/>
      <c r="AL13" s="224"/>
    </row>
    <row r="14" spans="1:38" x14ac:dyDescent="0.2">
      <c r="A14" s="334"/>
      <c r="B14" s="333"/>
      <c r="C14" s="333"/>
      <c r="D14" s="333"/>
      <c r="E14" s="333"/>
      <c r="F14" s="333"/>
      <c r="G14" s="333"/>
      <c r="H14" s="333"/>
      <c r="I14" s="333"/>
      <c r="J14" s="333"/>
      <c r="K14" s="333"/>
      <c r="L14" s="333"/>
      <c r="M14" s="333"/>
      <c r="N14" s="333"/>
      <c r="O14" s="333"/>
      <c r="P14" s="333"/>
      <c r="Q14" s="333"/>
      <c r="R14" s="333"/>
      <c r="S14" s="337"/>
      <c r="T14" s="492"/>
      <c r="U14" s="223"/>
      <c r="V14" s="223"/>
      <c r="W14" s="223"/>
      <c r="X14" s="223"/>
      <c r="Y14" s="223"/>
      <c r="Z14" s="223"/>
      <c r="AA14" s="223"/>
      <c r="AB14" s="223"/>
      <c r="AC14" s="223"/>
      <c r="AD14" s="223"/>
      <c r="AE14" s="223"/>
      <c r="AF14" s="223"/>
      <c r="AG14" s="223"/>
      <c r="AH14" s="223"/>
      <c r="AI14" s="223"/>
      <c r="AJ14" s="223"/>
      <c r="AK14" s="223"/>
      <c r="AL14" s="224"/>
    </row>
    <row r="15" spans="1:38" x14ac:dyDescent="0.2">
      <c r="A15" s="334"/>
      <c r="B15" s="333"/>
      <c r="C15" s="333"/>
      <c r="D15" s="333"/>
      <c r="E15" s="333"/>
      <c r="F15" s="333"/>
      <c r="G15" s="333"/>
      <c r="H15" s="333"/>
      <c r="I15" s="333"/>
      <c r="J15" s="333"/>
      <c r="K15" s="333"/>
      <c r="L15" s="333"/>
      <c r="M15" s="333"/>
      <c r="N15" s="333"/>
      <c r="O15" s="333"/>
      <c r="P15" s="333"/>
      <c r="Q15" s="333"/>
      <c r="R15" s="333"/>
      <c r="S15" s="337"/>
      <c r="T15" s="492"/>
      <c r="U15" s="223"/>
      <c r="V15" s="223"/>
      <c r="W15" s="223"/>
      <c r="X15" s="223"/>
      <c r="Y15" s="223"/>
      <c r="Z15" s="223"/>
      <c r="AA15" s="223"/>
      <c r="AB15" s="223"/>
      <c r="AC15" s="223"/>
      <c r="AD15" s="223"/>
      <c r="AE15" s="223"/>
      <c r="AF15" s="223"/>
      <c r="AG15" s="223"/>
      <c r="AH15" s="223"/>
      <c r="AI15" s="223"/>
      <c r="AJ15" s="223"/>
      <c r="AK15" s="223"/>
      <c r="AL15" s="224"/>
    </row>
    <row r="16" spans="1:38" x14ac:dyDescent="0.2">
      <c r="A16" s="334"/>
      <c r="B16" s="493" t="s">
        <v>297</v>
      </c>
      <c r="C16" s="333"/>
      <c r="D16" s="333"/>
      <c r="E16" s="333"/>
      <c r="F16" s="333"/>
      <c r="G16" s="333"/>
      <c r="H16" s="333"/>
      <c r="I16" s="333"/>
      <c r="J16" s="333"/>
      <c r="K16" s="333"/>
      <c r="L16" s="333"/>
      <c r="M16" s="333"/>
      <c r="N16" s="333"/>
      <c r="O16" s="333"/>
      <c r="P16" s="333"/>
      <c r="Q16" s="333"/>
      <c r="R16" s="333"/>
      <c r="S16" s="337"/>
      <c r="T16" s="492"/>
      <c r="U16" s="223"/>
      <c r="V16" s="223"/>
      <c r="W16" s="223"/>
      <c r="X16" s="223"/>
      <c r="Y16" s="223"/>
      <c r="Z16" s="223"/>
      <c r="AA16" s="223"/>
      <c r="AB16" s="223"/>
      <c r="AC16" s="223"/>
      <c r="AD16" s="223"/>
      <c r="AE16" s="223"/>
      <c r="AF16" s="223"/>
      <c r="AG16" s="223"/>
      <c r="AH16" s="223"/>
      <c r="AI16" s="223"/>
      <c r="AJ16" s="223"/>
      <c r="AK16" s="223"/>
      <c r="AL16" s="224"/>
    </row>
    <row r="17" spans="1:38" x14ac:dyDescent="0.2">
      <c r="A17" s="334"/>
      <c r="B17" s="493" t="s">
        <v>298</v>
      </c>
      <c r="C17" s="333"/>
      <c r="D17" s="333"/>
      <c r="E17" s="333"/>
      <c r="F17" s="333"/>
      <c r="G17" s="333"/>
      <c r="H17" s="333"/>
      <c r="I17" s="333"/>
      <c r="J17" s="333"/>
      <c r="K17" s="333"/>
      <c r="L17" s="333"/>
      <c r="M17" s="333"/>
      <c r="N17" s="333"/>
      <c r="O17" s="333"/>
      <c r="P17" s="333"/>
      <c r="Q17" s="333"/>
      <c r="R17" s="333"/>
      <c r="S17" s="337"/>
      <c r="T17" s="492"/>
      <c r="U17" s="223"/>
      <c r="V17" s="223"/>
      <c r="W17" s="223"/>
      <c r="X17" s="223"/>
      <c r="Y17" s="223"/>
      <c r="Z17" s="223"/>
      <c r="AA17" s="223"/>
      <c r="AB17" s="223"/>
      <c r="AC17" s="223"/>
      <c r="AD17" s="223"/>
      <c r="AE17" s="223"/>
      <c r="AF17" s="223"/>
      <c r="AG17" s="223"/>
      <c r="AH17" s="223"/>
      <c r="AI17" s="223"/>
      <c r="AJ17" s="223"/>
      <c r="AK17" s="223"/>
      <c r="AL17" s="224"/>
    </row>
    <row r="18" spans="1:38" x14ac:dyDescent="0.2">
      <c r="A18" s="334"/>
      <c r="B18" s="105"/>
      <c r="C18" s="333"/>
      <c r="D18" s="333"/>
      <c r="E18" s="333"/>
      <c r="F18" s="333"/>
      <c r="G18" s="333"/>
      <c r="H18" s="333"/>
      <c r="I18" s="333"/>
      <c r="J18" s="333"/>
      <c r="K18" s="333"/>
      <c r="L18" s="333"/>
      <c r="M18" s="333"/>
      <c r="N18" s="333"/>
      <c r="O18" s="333"/>
      <c r="P18" s="333"/>
      <c r="Q18" s="333"/>
      <c r="R18" s="333"/>
      <c r="S18" s="337"/>
      <c r="T18" s="492"/>
      <c r="U18" s="223"/>
      <c r="V18" s="223"/>
      <c r="W18" s="223"/>
      <c r="X18" s="223"/>
      <c r="Y18" s="223"/>
      <c r="Z18" s="223"/>
      <c r="AA18" s="223"/>
      <c r="AB18" s="223"/>
      <c r="AC18" s="223"/>
      <c r="AD18" s="223"/>
      <c r="AE18" s="223"/>
      <c r="AF18" s="223"/>
      <c r="AG18" s="223"/>
      <c r="AH18" s="223"/>
      <c r="AI18" s="223"/>
      <c r="AJ18" s="223"/>
      <c r="AK18" s="223"/>
      <c r="AL18" s="224"/>
    </row>
    <row r="19" spans="1:38" x14ac:dyDescent="0.2">
      <c r="A19" s="334"/>
      <c r="B19" s="133" t="s">
        <v>299</v>
      </c>
      <c r="C19" s="333"/>
      <c r="D19" s="333"/>
      <c r="E19" s="333"/>
      <c r="F19" s="333"/>
      <c r="G19" s="333"/>
      <c r="H19" s="333"/>
      <c r="I19" s="333"/>
      <c r="J19" s="333"/>
      <c r="K19" s="333"/>
      <c r="L19" s="333"/>
      <c r="M19" s="333"/>
      <c r="N19" s="333"/>
      <c r="O19" s="333"/>
      <c r="P19" s="333"/>
      <c r="Q19" s="333"/>
      <c r="R19" s="333"/>
      <c r="S19" s="337"/>
      <c r="T19" s="492"/>
      <c r="U19" s="223"/>
      <c r="V19" s="223"/>
      <c r="W19" s="223"/>
      <c r="X19" s="223"/>
      <c r="Y19" s="223"/>
      <c r="Z19" s="223"/>
      <c r="AA19" s="223"/>
      <c r="AB19" s="223"/>
      <c r="AC19" s="223"/>
      <c r="AD19" s="223"/>
      <c r="AE19" s="223"/>
      <c r="AF19" s="223"/>
      <c r="AG19" s="223"/>
      <c r="AH19" s="223"/>
      <c r="AI19" s="223"/>
      <c r="AJ19" s="223"/>
      <c r="AK19" s="223"/>
      <c r="AL19" s="224"/>
    </row>
    <row r="20" spans="1:38" x14ac:dyDescent="0.2">
      <c r="A20" s="334"/>
      <c r="B20" s="133" t="s">
        <v>482</v>
      </c>
      <c r="C20" s="333"/>
      <c r="D20" s="333"/>
      <c r="E20" s="333"/>
      <c r="F20" s="333"/>
      <c r="G20" s="333"/>
      <c r="H20" s="333"/>
      <c r="I20" s="333"/>
      <c r="J20" s="333"/>
      <c r="K20" s="333"/>
      <c r="L20" s="333"/>
      <c r="M20" s="333"/>
      <c r="N20" s="333"/>
      <c r="O20" s="333"/>
      <c r="P20" s="333"/>
      <c r="Q20" s="333"/>
      <c r="R20" s="333"/>
      <c r="S20" s="337"/>
      <c r="T20" s="492"/>
      <c r="U20" s="223"/>
      <c r="V20" s="223"/>
      <c r="W20" s="223"/>
      <c r="X20" s="223"/>
      <c r="Y20" s="223"/>
      <c r="Z20" s="223"/>
      <c r="AA20" s="223"/>
      <c r="AB20" s="223"/>
      <c r="AC20" s="223"/>
      <c r="AD20" s="223"/>
      <c r="AE20" s="223"/>
      <c r="AF20" s="223"/>
      <c r="AG20" s="223"/>
      <c r="AH20" s="223"/>
      <c r="AI20" s="223"/>
      <c r="AJ20" s="223"/>
      <c r="AK20" s="223"/>
      <c r="AL20" s="224"/>
    </row>
    <row r="21" spans="1:38" x14ac:dyDescent="0.2">
      <c r="A21" s="334"/>
      <c r="B21" s="105"/>
      <c r="C21" s="333"/>
      <c r="D21" s="333"/>
      <c r="E21" s="333"/>
      <c r="F21" s="333"/>
      <c r="G21" s="333"/>
      <c r="H21" s="333"/>
      <c r="I21" s="333"/>
      <c r="J21" s="333"/>
      <c r="K21" s="333"/>
      <c r="L21" s="333"/>
      <c r="M21" s="333"/>
      <c r="N21" s="333"/>
      <c r="O21" s="333"/>
      <c r="P21" s="333"/>
      <c r="Q21" s="333"/>
      <c r="R21" s="333"/>
      <c r="S21" s="337"/>
      <c r="T21" s="492"/>
      <c r="U21" s="223"/>
      <c r="V21" s="223"/>
      <c r="W21" s="223"/>
      <c r="X21" s="223"/>
      <c r="Y21" s="223"/>
      <c r="Z21" s="223"/>
      <c r="AA21" s="223"/>
      <c r="AB21" s="223"/>
      <c r="AC21" s="223"/>
      <c r="AD21" s="223"/>
      <c r="AE21" s="223"/>
      <c r="AF21" s="223"/>
      <c r="AG21" s="223"/>
      <c r="AH21" s="223"/>
      <c r="AI21" s="223"/>
      <c r="AJ21" s="223"/>
      <c r="AK21" s="223"/>
      <c r="AL21" s="224"/>
    </row>
    <row r="22" spans="1:38" x14ac:dyDescent="0.2">
      <c r="A22" s="334"/>
      <c r="B22" s="493" t="s">
        <v>300</v>
      </c>
      <c r="C22" s="333"/>
      <c r="D22" s="333"/>
      <c r="E22" s="333"/>
      <c r="F22" s="333"/>
      <c r="G22" s="333"/>
      <c r="H22" s="333"/>
      <c r="I22" s="333"/>
      <c r="J22" s="333"/>
      <c r="K22" s="333"/>
      <c r="L22" s="333"/>
      <c r="M22" s="333"/>
      <c r="N22" s="333"/>
      <c r="O22" s="333"/>
      <c r="P22" s="333"/>
      <c r="Q22" s="333"/>
      <c r="R22" s="333"/>
      <c r="S22" s="337"/>
      <c r="T22" s="492"/>
      <c r="U22" s="223"/>
      <c r="V22" s="223"/>
      <c r="W22" s="223"/>
      <c r="X22" s="223"/>
      <c r="Y22" s="223"/>
      <c r="Z22" s="223"/>
      <c r="AA22" s="223"/>
      <c r="AB22" s="223"/>
      <c r="AC22" s="223"/>
      <c r="AD22" s="223"/>
      <c r="AE22" s="223"/>
      <c r="AF22" s="223"/>
      <c r="AG22" s="223"/>
      <c r="AH22" s="223"/>
      <c r="AI22" s="223"/>
      <c r="AJ22" s="223"/>
      <c r="AK22" s="223"/>
      <c r="AL22" s="224"/>
    </row>
    <row r="23" spans="1:38" x14ac:dyDescent="0.2">
      <c r="A23" s="334"/>
      <c r="B23" s="493" t="s">
        <v>301</v>
      </c>
      <c r="C23" s="333"/>
      <c r="D23" s="333"/>
      <c r="E23" s="333"/>
      <c r="F23" s="333"/>
      <c r="G23" s="333"/>
      <c r="H23" s="333"/>
      <c r="I23" s="333"/>
      <c r="J23" s="333"/>
      <c r="K23" s="333"/>
      <c r="L23" s="333"/>
      <c r="M23" s="333"/>
      <c r="N23" s="333"/>
      <c r="O23" s="333"/>
      <c r="P23" s="333"/>
      <c r="Q23" s="333"/>
      <c r="R23" s="333"/>
      <c r="S23" s="337"/>
      <c r="T23" s="492"/>
      <c r="U23" s="223"/>
      <c r="V23" s="223"/>
      <c r="W23" s="223"/>
      <c r="X23" s="223"/>
      <c r="Y23" s="223"/>
      <c r="Z23" s="223"/>
      <c r="AA23" s="223"/>
      <c r="AB23" s="223"/>
      <c r="AC23" s="223"/>
      <c r="AD23" s="223"/>
      <c r="AE23" s="223"/>
      <c r="AF23" s="223"/>
      <c r="AG23" s="223"/>
      <c r="AH23" s="223"/>
      <c r="AI23" s="223"/>
      <c r="AJ23" s="223"/>
      <c r="AK23" s="223"/>
      <c r="AL23" s="224"/>
    </row>
    <row r="24" spans="1:38" x14ac:dyDescent="0.2">
      <c r="A24" s="334"/>
      <c r="B24" s="333"/>
      <c r="C24" s="333"/>
      <c r="D24" s="333"/>
      <c r="E24" s="333"/>
      <c r="F24" s="333"/>
      <c r="G24" s="333"/>
      <c r="H24" s="333"/>
      <c r="I24" s="333"/>
      <c r="J24" s="333"/>
      <c r="K24" s="333"/>
      <c r="L24" s="333"/>
      <c r="M24" s="333"/>
      <c r="N24" s="333"/>
      <c r="O24" s="333"/>
      <c r="P24" s="333"/>
      <c r="Q24" s="333"/>
      <c r="R24" s="333"/>
      <c r="S24" s="337"/>
      <c r="T24" s="492"/>
      <c r="U24" s="223"/>
      <c r="V24" s="223"/>
      <c r="W24" s="223"/>
      <c r="X24" s="223"/>
      <c r="Y24" s="223"/>
      <c r="Z24" s="223"/>
      <c r="AA24" s="223"/>
      <c r="AB24" s="223"/>
      <c r="AC24" s="223"/>
      <c r="AD24" s="223"/>
      <c r="AE24" s="223"/>
      <c r="AF24" s="223"/>
      <c r="AG24" s="223"/>
      <c r="AH24" s="223"/>
      <c r="AI24" s="223"/>
      <c r="AJ24" s="223"/>
      <c r="AK24" s="223"/>
      <c r="AL24" s="224"/>
    </row>
    <row r="25" spans="1:38" x14ac:dyDescent="0.2">
      <c r="A25" s="334"/>
      <c r="B25" s="493" t="s">
        <v>304</v>
      </c>
      <c r="C25" s="333"/>
      <c r="D25" s="333"/>
      <c r="E25" s="333"/>
      <c r="F25" s="333"/>
      <c r="G25" s="333"/>
      <c r="H25" s="333"/>
      <c r="I25" s="333"/>
      <c r="J25" s="333"/>
      <c r="K25" s="333"/>
      <c r="L25" s="333"/>
      <c r="M25" s="333"/>
      <c r="N25" s="333"/>
      <c r="O25" s="333"/>
      <c r="P25" s="333"/>
      <c r="Q25" s="333"/>
      <c r="R25" s="333"/>
      <c r="S25" s="337"/>
      <c r="T25" s="492"/>
      <c r="U25" s="223"/>
      <c r="V25" s="223"/>
      <c r="W25" s="223"/>
      <c r="X25" s="223"/>
      <c r="Y25" s="223"/>
      <c r="Z25" s="223"/>
      <c r="AA25" s="223"/>
      <c r="AB25" s="223"/>
      <c r="AC25" s="223"/>
      <c r="AD25" s="223"/>
      <c r="AE25" s="223"/>
      <c r="AF25" s="223"/>
      <c r="AG25" s="223"/>
      <c r="AH25" s="223"/>
      <c r="AI25" s="223"/>
      <c r="AJ25" s="223"/>
      <c r="AK25" s="223"/>
      <c r="AL25" s="224"/>
    </row>
    <row r="26" spans="1:38" x14ac:dyDescent="0.2">
      <c r="A26" s="334"/>
      <c r="B26" s="493" t="s">
        <v>302</v>
      </c>
      <c r="C26" s="333"/>
      <c r="D26" s="333"/>
      <c r="E26" s="333"/>
      <c r="F26" s="333"/>
      <c r="G26" s="333"/>
      <c r="H26" s="333"/>
      <c r="I26" s="333"/>
      <c r="J26" s="333"/>
      <c r="K26" s="333"/>
      <c r="L26" s="333"/>
      <c r="M26" s="333"/>
      <c r="N26" s="333"/>
      <c r="O26" s="333"/>
      <c r="P26" s="333"/>
      <c r="Q26" s="333"/>
      <c r="R26" s="333"/>
      <c r="S26" s="337"/>
      <c r="T26" s="492"/>
      <c r="U26" s="223"/>
      <c r="V26" s="223"/>
      <c r="W26" s="223"/>
      <c r="X26" s="223"/>
      <c r="Y26" s="223"/>
      <c r="Z26" s="223"/>
      <c r="AA26" s="223"/>
      <c r="AB26" s="223"/>
      <c r="AC26" s="223"/>
      <c r="AD26" s="223"/>
      <c r="AE26" s="223"/>
      <c r="AF26" s="223"/>
      <c r="AG26" s="223"/>
      <c r="AH26" s="223"/>
      <c r="AI26" s="223"/>
      <c r="AJ26" s="223"/>
      <c r="AK26" s="223"/>
      <c r="AL26" s="224"/>
    </row>
    <row r="27" spans="1:38" x14ac:dyDescent="0.2">
      <c r="A27" s="334"/>
      <c r="B27" s="333"/>
      <c r="C27" s="333"/>
      <c r="D27" s="333"/>
      <c r="E27" s="333"/>
      <c r="F27" s="333"/>
      <c r="G27" s="333"/>
      <c r="H27" s="333"/>
      <c r="I27" s="333"/>
      <c r="J27" s="333"/>
      <c r="K27" s="333"/>
      <c r="L27" s="333"/>
      <c r="M27" s="333"/>
      <c r="N27" s="333"/>
      <c r="O27" s="333"/>
      <c r="P27" s="333"/>
      <c r="Q27" s="333"/>
      <c r="R27" s="333"/>
      <c r="S27" s="337"/>
      <c r="T27" s="492"/>
      <c r="U27" s="223"/>
      <c r="V27" s="223"/>
      <c r="W27" s="223"/>
      <c r="X27" s="223"/>
      <c r="Y27" s="223"/>
      <c r="Z27" s="223"/>
      <c r="AA27" s="223"/>
      <c r="AB27" s="223"/>
      <c r="AC27" s="223"/>
      <c r="AD27" s="223"/>
      <c r="AE27" s="223"/>
      <c r="AF27" s="223"/>
      <c r="AG27" s="223"/>
      <c r="AH27" s="223"/>
      <c r="AI27" s="223"/>
      <c r="AJ27" s="223"/>
      <c r="AK27" s="223"/>
      <c r="AL27" s="224"/>
    </row>
    <row r="28" spans="1:38" x14ac:dyDescent="0.2">
      <c r="A28" s="334"/>
      <c r="B28" s="493" t="s">
        <v>305</v>
      </c>
      <c r="C28" s="333"/>
      <c r="D28" s="333"/>
      <c r="E28" s="333"/>
      <c r="F28" s="333"/>
      <c r="G28" s="333"/>
      <c r="H28" s="333"/>
      <c r="I28" s="333"/>
      <c r="J28" s="333"/>
      <c r="K28" s="333"/>
      <c r="L28" s="333"/>
      <c r="M28" s="333"/>
      <c r="N28" s="333"/>
      <c r="O28" s="333"/>
      <c r="P28" s="333"/>
      <c r="Q28" s="333"/>
      <c r="R28" s="333"/>
      <c r="S28" s="337"/>
      <c r="T28" s="492"/>
      <c r="U28" s="223"/>
      <c r="V28" s="223"/>
      <c r="W28" s="223"/>
      <c r="X28" s="223"/>
      <c r="Y28" s="223"/>
      <c r="Z28" s="223"/>
      <c r="AA28" s="223"/>
      <c r="AB28" s="223"/>
      <c r="AC28" s="223"/>
      <c r="AD28" s="223"/>
      <c r="AE28" s="223"/>
      <c r="AF28" s="223"/>
      <c r="AG28" s="223"/>
      <c r="AH28" s="223"/>
      <c r="AI28" s="223"/>
      <c r="AJ28" s="223"/>
      <c r="AK28" s="223"/>
      <c r="AL28" s="224"/>
    </row>
    <row r="29" spans="1:38" x14ac:dyDescent="0.2">
      <c r="A29" s="334"/>
      <c r="B29" s="493" t="s">
        <v>306</v>
      </c>
      <c r="C29" s="333"/>
      <c r="D29" s="333"/>
      <c r="E29" s="333"/>
      <c r="F29" s="333"/>
      <c r="G29" s="333"/>
      <c r="H29" s="333"/>
      <c r="I29" s="333"/>
      <c r="J29" s="333"/>
      <c r="K29" s="333"/>
      <c r="L29" s="333"/>
      <c r="M29" s="333"/>
      <c r="N29" s="333"/>
      <c r="O29" s="333"/>
      <c r="P29" s="333"/>
      <c r="Q29" s="333"/>
      <c r="R29" s="333"/>
      <c r="S29" s="337"/>
      <c r="T29" s="492"/>
      <c r="U29" s="223"/>
      <c r="V29" s="223"/>
      <c r="W29" s="223"/>
      <c r="X29" s="223"/>
      <c r="Y29" s="223"/>
      <c r="Z29" s="223"/>
      <c r="AA29" s="223"/>
      <c r="AB29" s="223"/>
      <c r="AC29" s="223"/>
      <c r="AD29" s="223"/>
      <c r="AE29" s="223"/>
      <c r="AF29" s="223"/>
      <c r="AG29" s="223"/>
      <c r="AH29" s="223"/>
      <c r="AI29" s="223"/>
      <c r="AJ29" s="223"/>
      <c r="AK29" s="223"/>
      <c r="AL29" s="224"/>
    </row>
    <row r="30" spans="1:38" x14ac:dyDescent="0.2">
      <c r="A30" s="334"/>
      <c r="B30" s="493" t="s">
        <v>303</v>
      </c>
      <c r="C30" s="333"/>
      <c r="D30" s="333"/>
      <c r="E30" s="333"/>
      <c r="F30" s="333"/>
      <c r="G30" s="333"/>
      <c r="H30" s="333"/>
      <c r="I30" s="333"/>
      <c r="J30" s="333"/>
      <c r="K30" s="333"/>
      <c r="L30" s="333"/>
      <c r="M30" s="333"/>
      <c r="N30" s="333"/>
      <c r="O30" s="333"/>
      <c r="P30" s="333"/>
      <c r="Q30" s="333"/>
      <c r="R30" s="333"/>
      <c r="S30" s="337"/>
      <c r="T30" s="492"/>
      <c r="U30" s="223"/>
      <c r="V30" s="223"/>
      <c r="W30" s="223"/>
      <c r="X30" s="223"/>
      <c r="Y30" s="223"/>
      <c r="Z30" s="223"/>
      <c r="AA30" s="223"/>
      <c r="AB30" s="223"/>
      <c r="AC30" s="223"/>
      <c r="AD30" s="223"/>
      <c r="AE30" s="223"/>
      <c r="AF30" s="223"/>
      <c r="AG30" s="223"/>
      <c r="AH30" s="223"/>
      <c r="AI30" s="223"/>
      <c r="AJ30" s="223"/>
      <c r="AK30" s="223"/>
      <c r="AL30" s="224"/>
    </row>
    <row r="31" spans="1:38" x14ac:dyDescent="0.2">
      <c r="A31" s="334"/>
      <c r="B31" s="333"/>
      <c r="C31" s="333"/>
      <c r="D31" s="333"/>
      <c r="E31" s="333"/>
      <c r="F31" s="333"/>
      <c r="G31" s="333"/>
      <c r="H31" s="333"/>
      <c r="I31" s="333"/>
      <c r="J31" s="333"/>
      <c r="K31" s="333"/>
      <c r="L31" s="333"/>
      <c r="M31" s="333"/>
      <c r="N31" s="333"/>
      <c r="O31" s="333"/>
      <c r="P31" s="333"/>
      <c r="Q31" s="333"/>
      <c r="R31" s="333"/>
      <c r="S31" s="337"/>
      <c r="T31" s="492"/>
      <c r="U31" s="223"/>
      <c r="V31" s="223"/>
      <c r="W31" s="223"/>
      <c r="X31" s="223"/>
      <c r="Y31" s="223"/>
      <c r="Z31" s="223"/>
      <c r="AA31" s="223"/>
      <c r="AB31" s="223"/>
      <c r="AC31" s="223"/>
      <c r="AD31" s="223"/>
      <c r="AE31" s="223"/>
      <c r="AF31" s="223"/>
      <c r="AG31" s="223"/>
      <c r="AH31" s="223"/>
      <c r="AI31" s="223"/>
      <c r="AJ31" s="223"/>
      <c r="AK31" s="223"/>
      <c r="AL31" s="224"/>
    </row>
    <row r="32" spans="1:38" x14ac:dyDescent="0.2">
      <c r="A32" s="334"/>
      <c r="B32" s="333"/>
      <c r="C32" s="333"/>
      <c r="D32" s="333"/>
      <c r="E32" s="333"/>
      <c r="F32" s="333"/>
      <c r="G32" s="333"/>
      <c r="H32" s="333"/>
      <c r="I32" s="333"/>
      <c r="J32" s="333"/>
      <c r="K32" s="333"/>
      <c r="L32" s="333"/>
      <c r="M32" s="333"/>
      <c r="N32" s="333"/>
      <c r="O32" s="333"/>
      <c r="P32" s="333"/>
      <c r="Q32" s="333"/>
      <c r="R32" s="333"/>
      <c r="S32" s="337"/>
      <c r="T32" s="492"/>
      <c r="U32" s="223"/>
      <c r="V32" s="223"/>
      <c r="W32" s="223"/>
      <c r="X32" s="223"/>
      <c r="Y32" s="223"/>
      <c r="Z32" s="223"/>
      <c r="AA32" s="223"/>
      <c r="AB32" s="223"/>
      <c r="AC32" s="223"/>
      <c r="AD32" s="223"/>
      <c r="AE32" s="223"/>
      <c r="AF32" s="223"/>
      <c r="AG32" s="223"/>
      <c r="AH32" s="223"/>
      <c r="AI32" s="223"/>
      <c r="AJ32" s="223"/>
      <c r="AK32" s="223"/>
      <c r="AL32" s="224"/>
    </row>
    <row r="33" spans="1:38" x14ac:dyDescent="0.2">
      <c r="A33" s="334"/>
      <c r="B33" s="333"/>
      <c r="C33" s="333"/>
      <c r="D33" s="333"/>
      <c r="E33" s="333"/>
      <c r="F33" s="333"/>
      <c r="G33" s="333"/>
      <c r="H33" s="333"/>
      <c r="I33" s="333"/>
      <c r="J33" s="333"/>
      <c r="K33" s="333"/>
      <c r="L33" s="333"/>
      <c r="M33" s="333"/>
      <c r="N33" s="333"/>
      <c r="O33" s="333"/>
      <c r="P33" s="333"/>
      <c r="Q33" s="333"/>
      <c r="R33" s="333"/>
      <c r="S33" s="337"/>
      <c r="T33" s="492"/>
      <c r="U33" s="223"/>
      <c r="V33" s="223"/>
      <c r="W33" s="223"/>
      <c r="X33" s="223"/>
      <c r="Y33" s="223"/>
      <c r="Z33" s="223"/>
      <c r="AA33" s="223"/>
      <c r="AB33" s="223"/>
      <c r="AC33" s="223"/>
      <c r="AD33" s="223"/>
      <c r="AE33" s="223"/>
      <c r="AF33" s="223"/>
      <c r="AG33" s="223"/>
      <c r="AH33" s="223"/>
      <c r="AI33" s="223"/>
      <c r="AJ33" s="223"/>
      <c r="AK33" s="223"/>
      <c r="AL33" s="224"/>
    </row>
    <row r="34" spans="1:38" x14ac:dyDescent="0.2">
      <c r="A34" s="334"/>
      <c r="B34" s="333"/>
      <c r="C34" s="333"/>
      <c r="D34" s="333"/>
      <c r="E34" s="333"/>
      <c r="F34" s="333"/>
      <c r="G34" s="333"/>
      <c r="H34" s="333"/>
      <c r="I34" s="333"/>
      <c r="J34" s="333"/>
      <c r="K34" s="333"/>
      <c r="L34" s="333"/>
      <c r="M34" s="333"/>
      <c r="N34" s="333"/>
      <c r="O34" s="333"/>
      <c r="P34" s="333"/>
      <c r="Q34" s="333"/>
      <c r="R34" s="333"/>
      <c r="S34" s="337"/>
      <c r="T34" s="492"/>
      <c r="U34" s="223"/>
      <c r="V34" s="223"/>
      <c r="W34" s="223"/>
      <c r="X34" s="223"/>
      <c r="Y34" s="223"/>
      <c r="Z34" s="223"/>
      <c r="AA34" s="223"/>
      <c r="AB34" s="223"/>
      <c r="AC34" s="223"/>
      <c r="AD34" s="223"/>
      <c r="AE34" s="223"/>
      <c r="AF34" s="223"/>
      <c r="AG34" s="223"/>
      <c r="AH34" s="223"/>
      <c r="AI34" s="223"/>
      <c r="AJ34" s="223"/>
      <c r="AK34" s="223"/>
      <c r="AL34" s="224"/>
    </row>
    <row r="35" spans="1:38" x14ac:dyDescent="0.2">
      <c r="A35" s="334"/>
      <c r="B35" s="333"/>
      <c r="C35" s="333"/>
      <c r="D35" s="333"/>
      <c r="E35" s="333"/>
      <c r="F35" s="333"/>
      <c r="G35" s="333"/>
      <c r="H35" s="333"/>
      <c r="I35" s="333"/>
      <c r="J35" s="333"/>
      <c r="K35" s="333"/>
      <c r="L35" s="333"/>
      <c r="M35" s="333"/>
      <c r="N35" s="333"/>
      <c r="O35" s="333"/>
      <c r="P35" s="333"/>
      <c r="Q35" s="333"/>
      <c r="R35" s="333"/>
      <c r="S35" s="337"/>
      <c r="T35" s="492"/>
      <c r="U35" s="223"/>
      <c r="V35" s="223"/>
      <c r="W35" s="223"/>
      <c r="X35" s="223"/>
      <c r="Y35" s="223"/>
      <c r="Z35" s="223"/>
      <c r="AA35" s="223"/>
      <c r="AB35" s="223"/>
      <c r="AC35" s="223"/>
      <c r="AD35" s="223"/>
      <c r="AE35" s="223"/>
      <c r="AF35" s="223"/>
      <c r="AG35" s="223"/>
      <c r="AH35" s="223"/>
      <c r="AI35" s="223"/>
      <c r="AJ35" s="223"/>
      <c r="AK35" s="223"/>
      <c r="AL35" s="224"/>
    </row>
    <row r="36" spans="1:38" x14ac:dyDescent="0.2">
      <c r="A36" s="334"/>
      <c r="B36" s="333"/>
      <c r="C36" s="333"/>
      <c r="D36" s="333"/>
      <c r="E36" s="333"/>
      <c r="F36" s="333"/>
      <c r="G36" s="333"/>
      <c r="H36" s="333"/>
      <c r="I36" s="333"/>
      <c r="J36" s="333"/>
      <c r="K36" s="333"/>
      <c r="L36" s="333"/>
      <c r="M36" s="333"/>
      <c r="N36" s="333"/>
      <c r="O36" s="333"/>
      <c r="P36" s="333"/>
      <c r="Q36" s="333"/>
      <c r="R36" s="333"/>
      <c r="S36" s="337"/>
      <c r="T36" s="492"/>
      <c r="U36" s="223"/>
      <c r="V36" s="223"/>
      <c r="W36" s="223"/>
      <c r="X36" s="223"/>
      <c r="Y36" s="223"/>
      <c r="Z36" s="223"/>
      <c r="AA36" s="223"/>
      <c r="AB36" s="223"/>
      <c r="AC36" s="223"/>
      <c r="AD36" s="223"/>
      <c r="AE36" s="223"/>
      <c r="AF36" s="223"/>
      <c r="AG36" s="223"/>
      <c r="AH36" s="223"/>
      <c r="AI36" s="223"/>
      <c r="AJ36" s="223"/>
      <c r="AK36" s="223"/>
      <c r="AL36" s="224"/>
    </row>
    <row r="37" spans="1:38" x14ac:dyDescent="0.2">
      <c r="A37" s="334"/>
      <c r="B37" s="333"/>
      <c r="C37" s="333"/>
      <c r="D37" s="333"/>
      <c r="E37" s="333"/>
      <c r="F37" s="333"/>
      <c r="G37" s="333"/>
      <c r="H37" s="333"/>
      <c r="I37" s="333"/>
      <c r="J37" s="333"/>
      <c r="K37" s="333"/>
      <c r="L37" s="333"/>
      <c r="M37" s="333"/>
      <c r="N37" s="333"/>
      <c r="O37" s="333"/>
      <c r="P37" s="333"/>
      <c r="Q37" s="333"/>
      <c r="R37" s="333"/>
      <c r="S37" s="337"/>
      <c r="T37" s="492"/>
      <c r="U37" s="223"/>
      <c r="V37" s="223"/>
      <c r="W37" s="223"/>
      <c r="X37" s="223"/>
      <c r="Y37" s="223"/>
      <c r="Z37" s="223"/>
      <c r="AA37" s="223"/>
      <c r="AB37" s="223"/>
      <c r="AC37" s="223"/>
      <c r="AD37" s="223"/>
      <c r="AE37" s="223"/>
      <c r="AF37" s="223"/>
      <c r="AG37" s="223"/>
      <c r="AH37" s="223"/>
      <c r="AI37" s="223"/>
      <c r="AJ37" s="223"/>
      <c r="AK37" s="223"/>
      <c r="AL37" s="224"/>
    </row>
    <row r="38" spans="1:38" x14ac:dyDescent="0.2">
      <c r="A38" s="334"/>
      <c r="B38" s="333"/>
      <c r="C38" s="333"/>
      <c r="D38" s="333"/>
      <c r="E38" s="333"/>
      <c r="F38" s="333"/>
      <c r="G38" s="333"/>
      <c r="H38" s="333"/>
      <c r="I38" s="333"/>
      <c r="J38" s="333"/>
      <c r="K38" s="333"/>
      <c r="L38" s="333"/>
      <c r="M38" s="333"/>
      <c r="N38" s="333"/>
      <c r="O38" s="333"/>
      <c r="P38" s="333"/>
      <c r="Q38" s="333"/>
      <c r="R38" s="333"/>
      <c r="S38" s="337"/>
      <c r="T38" s="492"/>
      <c r="U38" s="223"/>
      <c r="V38" s="223"/>
      <c r="W38" s="223"/>
      <c r="X38" s="223"/>
      <c r="Y38" s="223"/>
      <c r="Z38" s="223"/>
      <c r="AA38" s="223"/>
      <c r="AB38" s="223"/>
      <c r="AC38" s="223"/>
      <c r="AD38" s="223"/>
      <c r="AE38" s="223"/>
      <c r="AF38" s="223"/>
      <c r="AG38" s="223"/>
      <c r="AH38" s="223"/>
      <c r="AI38" s="223"/>
      <c r="AJ38" s="223"/>
      <c r="AK38" s="223"/>
      <c r="AL38" s="224"/>
    </row>
    <row r="39" spans="1:38" x14ac:dyDescent="0.2">
      <c r="A39" s="334"/>
      <c r="B39" s="333"/>
      <c r="C39" s="333"/>
      <c r="D39" s="333"/>
      <c r="E39" s="333"/>
      <c r="F39" s="333"/>
      <c r="G39" s="333"/>
      <c r="H39" s="333"/>
      <c r="I39" s="333"/>
      <c r="J39" s="333"/>
      <c r="K39" s="333"/>
      <c r="L39" s="333"/>
      <c r="M39" s="333"/>
      <c r="N39" s="333"/>
      <c r="O39" s="333"/>
      <c r="P39" s="333"/>
      <c r="Q39" s="333"/>
      <c r="R39" s="333"/>
      <c r="S39" s="337"/>
      <c r="T39" s="492"/>
      <c r="U39" s="223"/>
      <c r="V39" s="270" t="s">
        <v>540</v>
      </c>
      <c r="W39" s="223"/>
      <c r="X39" s="223"/>
      <c r="Y39" s="223"/>
      <c r="Z39" s="223"/>
      <c r="AA39" s="223"/>
      <c r="AB39" s="223"/>
      <c r="AC39" s="223"/>
      <c r="AD39" s="223"/>
      <c r="AE39" s="223"/>
      <c r="AF39" s="223"/>
      <c r="AG39" s="223"/>
      <c r="AH39" s="223"/>
      <c r="AI39" s="223"/>
      <c r="AJ39" s="223"/>
      <c r="AK39" s="223"/>
      <c r="AL39" s="224"/>
    </row>
    <row r="40" spans="1:38" x14ac:dyDescent="0.2">
      <c r="A40" s="334"/>
      <c r="B40" s="333"/>
      <c r="C40" s="333"/>
      <c r="D40" s="333"/>
      <c r="E40" s="333"/>
      <c r="F40" s="333"/>
      <c r="G40" s="333"/>
      <c r="H40" s="333"/>
      <c r="I40" s="333"/>
      <c r="J40" s="333"/>
      <c r="K40" s="333"/>
      <c r="L40" s="333"/>
      <c r="M40" s="333"/>
      <c r="N40" s="333"/>
      <c r="O40" s="333"/>
      <c r="P40" s="333"/>
      <c r="Q40" s="333"/>
      <c r="R40" s="333"/>
      <c r="S40" s="337"/>
      <c r="T40" s="492"/>
      <c r="U40" s="223"/>
      <c r="V40" s="223"/>
      <c r="W40" s="223"/>
      <c r="X40" s="223"/>
      <c r="Y40" s="223"/>
      <c r="Z40" s="223"/>
      <c r="AA40" s="223"/>
      <c r="AB40" s="223"/>
      <c r="AC40" s="223"/>
      <c r="AD40" s="223"/>
      <c r="AE40" s="223"/>
      <c r="AF40" s="223"/>
      <c r="AG40" s="223"/>
      <c r="AH40" s="223"/>
      <c r="AI40" s="223"/>
      <c r="AJ40" s="223"/>
      <c r="AK40" s="223"/>
      <c r="AL40" s="224"/>
    </row>
    <row r="41" spans="1:38" x14ac:dyDescent="0.2">
      <c r="A41" s="334"/>
      <c r="B41" s="333"/>
      <c r="C41" s="333"/>
      <c r="D41" s="333"/>
      <c r="E41" s="333"/>
      <c r="F41" s="333"/>
      <c r="G41" s="333"/>
      <c r="H41" s="333"/>
      <c r="I41" s="333"/>
      <c r="J41" s="333"/>
      <c r="K41" s="333"/>
      <c r="L41" s="333"/>
      <c r="M41" s="333"/>
      <c r="N41" s="333"/>
      <c r="O41" s="333"/>
      <c r="P41" s="333"/>
      <c r="Q41" s="333"/>
      <c r="R41" s="333"/>
      <c r="S41" s="337"/>
      <c r="T41" s="492"/>
      <c r="U41" s="223"/>
      <c r="V41" s="223"/>
      <c r="W41" s="223"/>
      <c r="X41" s="223"/>
      <c r="Y41" s="223"/>
      <c r="Z41" s="223"/>
      <c r="AA41" s="223"/>
      <c r="AB41" s="223"/>
      <c r="AC41" s="223"/>
      <c r="AD41" s="223"/>
      <c r="AE41" s="223"/>
      <c r="AF41" s="223"/>
      <c r="AG41" s="223"/>
      <c r="AH41" s="223"/>
      <c r="AI41" s="223"/>
      <c r="AJ41" s="223"/>
      <c r="AK41" s="223"/>
      <c r="AL41" s="224"/>
    </row>
    <row r="42" spans="1:38" x14ac:dyDescent="0.2">
      <c r="A42" s="334"/>
      <c r="B42" s="333"/>
      <c r="C42" s="333"/>
      <c r="D42" s="333"/>
      <c r="E42" s="333"/>
      <c r="F42" s="333"/>
      <c r="G42" s="333"/>
      <c r="H42" s="333"/>
      <c r="I42" s="333"/>
      <c r="J42" s="333"/>
      <c r="K42" s="333"/>
      <c r="L42" s="333"/>
      <c r="M42" s="333"/>
      <c r="N42" s="333"/>
      <c r="O42" s="333"/>
      <c r="P42" s="333"/>
      <c r="Q42" s="333"/>
      <c r="R42" s="333"/>
      <c r="S42" s="337"/>
      <c r="T42" s="492"/>
      <c r="U42" s="223"/>
      <c r="V42" s="223"/>
      <c r="W42" s="223"/>
      <c r="X42" s="223"/>
      <c r="Y42" s="223"/>
      <c r="Z42" s="223"/>
      <c r="AA42" s="223"/>
      <c r="AB42" s="223"/>
      <c r="AC42" s="223"/>
      <c r="AD42" s="223"/>
      <c r="AE42" s="223"/>
      <c r="AF42" s="223"/>
      <c r="AG42" s="223"/>
      <c r="AH42" s="223"/>
      <c r="AI42" s="223"/>
      <c r="AJ42" s="223"/>
      <c r="AK42" s="223"/>
      <c r="AL42" s="224"/>
    </row>
    <row r="43" spans="1:38" x14ac:dyDescent="0.2">
      <c r="A43" s="334"/>
      <c r="B43" s="333"/>
      <c r="C43" s="333"/>
      <c r="D43" s="333"/>
      <c r="E43" s="333"/>
      <c r="F43" s="333"/>
      <c r="G43" s="333"/>
      <c r="H43" s="333"/>
      <c r="I43" s="333"/>
      <c r="J43" s="333"/>
      <c r="K43" s="333"/>
      <c r="L43" s="333"/>
      <c r="M43" s="333"/>
      <c r="N43" s="333"/>
      <c r="O43" s="333"/>
      <c r="P43" s="333"/>
      <c r="Q43" s="333"/>
      <c r="R43" s="333"/>
      <c r="S43" s="337"/>
      <c r="T43" s="492"/>
      <c r="U43" s="223"/>
      <c r="V43" s="223"/>
      <c r="W43" s="223"/>
      <c r="X43" s="223"/>
      <c r="Y43" s="223"/>
      <c r="Z43" s="223"/>
      <c r="AA43" s="223"/>
      <c r="AB43" s="223"/>
      <c r="AC43" s="223"/>
      <c r="AD43" s="223"/>
      <c r="AE43" s="223"/>
      <c r="AF43" s="223"/>
      <c r="AG43" s="223"/>
      <c r="AH43" s="223"/>
      <c r="AI43" s="223"/>
      <c r="AJ43" s="223"/>
      <c r="AK43" s="223"/>
      <c r="AL43" s="224"/>
    </row>
    <row r="44" spans="1:38" x14ac:dyDescent="0.2">
      <c r="A44" s="334"/>
      <c r="B44" s="333"/>
      <c r="C44" s="333"/>
      <c r="D44" s="333"/>
      <c r="E44" s="333"/>
      <c r="F44" s="333"/>
      <c r="G44" s="333"/>
      <c r="H44" s="333"/>
      <c r="I44" s="333"/>
      <c r="J44" s="333"/>
      <c r="K44" s="333"/>
      <c r="L44" s="333"/>
      <c r="M44" s="333"/>
      <c r="N44" s="333"/>
      <c r="O44" s="333"/>
      <c r="P44" s="333"/>
      <c r="Q44" s="333"/>
      <c r="R44" s="333"/>
      <c r="S44" s="337"/>
      <c r="T44" s="492"/>
      <c r="U44" s="223"/>
      <c r="V44" s="223"/>
      <c r="W44" s="223"/>
      <c r="X44" s="223"/>
      <c r="Y44" s="223"/>
      <c r="Z44" s="223"/>
      <c r="AA44" s="223"/>
      <c r="AB44" s="223"/>
      <c r="AC44" s="223"/>
      <c r="AD44" s="223"/>
      <c r="AE44" s="223"/>
      <c r="AF44" s="223"/>
      <c r="AG44" s="223"/>
      <c r="AH44" s="223"/>
      <c r="AI44" s="223"/>
      <c r="AJ44" s="223"/>
      <c r="AK44" s="223"/>
      <c r="AL44" s="224"/>
    </row>
    <row r="45" spans="1:38" x14ac:dyDescent="0.2">
      <c r="A45" s="334"/>
      <c r="B45" s="333"/>
      <c r="C45" s="333"/>
      <c r="D45" s="333"/>
      <c r="E45" s="333"/>
      <c r="F45" s="333"/>
      <c r="G45" s="333"/>
      <c r="H45" s="333"/>
      <c r="I45" s="333"/>
      <c r="J45" s="333"/>
      <c r="K45" s="333"/>
      <c r="L45" s="333"/>
      <c r="M45" s="333"/>
      <c r="N45" s="333"/>
      <c r="O45" s="333"/>
      <c r="P45" s="333"/>
      <c r="Q45" s="333"/>
      <c r="R45" s="333"/>
      <c r="S45" s="337"/>
      <c r="T45" s="492"/>
      <c r="U45" s="223"/>
      <c r="V45" s="223"/>
      <c r="W45" s="223"/>
      <c r="X45" s="223"/>
      <c r="Y45" s="223"/>
      <c r="Z45" s="223"/>
      <c r="AA45" s="223"/>
      <c r="AB45" s="223"/>
      <c r="AC45" s="223"/>
      <c r="AD45" s="223"/>
      <c r="AE45" s="223"/>
      <c r="AF45" s="223"/>
      <c r="AG45" s="223"/>
      <c r="AH45" s="223"/>
      <c r="AI45" s="223"/>
      <c r="AJ45" s="223"/>
      <c r="AK45" s="223"/>
      <c r="AL45" s="224"/>
    </row>
    <row r="46" spans="1:38" x14ac:dyDescent="0.2">
      <c r="A46" s="334"/>
      <c r="B46" s="333"/>
      <c r="C46" s="333"/>
      <c r="D46" s="333"/>
      <c r="E46" s="333"/>
      <c r="F46" s="333"/>
      <c r="G46" s="333"/>
      <c r="H46" s="333"/>
      <c r="I46" s="333"/>
      <c r="J46" s="333"/>
      <c r="K46" s="333"/>
      <c r="L46" s="333"/>
      <c r="M46" s="333"/>
      <c r="N46" s="333"/>
      <c r="O46" s="333"/>
      <c r="P46" s="333"/>
      <c r="Q46" s="333"/>
      <c r="R46" s="333"/>
      <c r="S46" s="337"/>
      <c r="T46" s="492"/>
      <c r="U46" s="223"/>
      <c r="V46" s="223"/>
      <c r="W46" s="223"/>
      <c r="X46" s="223"/>
      <c r="Y46" s="223"/>
      <c r="Z46" s="223"/>
      <c r="AA46" s="223"/>
      <c r="AB46" s="223"/>
      <c r="AC46" s="223"/>
      <c r="AD46" s="223"/>
      <c r="AE46" s="223"/>
      <c r="AF46" s="223"/>
      <c r="AG46" s="223"/>
      <c r="AH46" s="223"/>
      <c r="AI46" s="223"/>
      <c r="AJ46" s="223"/>
      <c r="AK46" s="223"/>
      <c r="AL46" s="224"/>
    </row>
    <row r="47" spans="1:38" x14ac:dyDescent="0.2">
      <c r="A47" s="334"/>
      <c r="B47" s="333"/>
      <c r="C47" s="333"/>
      <c r="D47" s="333"/>
      <c r="E47" s="333"/>
      <c r="F47" s="333"/>
      <c r="G47" s="333"/>
      <c r="H47" s="333"/>
      <c r="I47" s="333"/>
      <c r="J47" s="333"/>
      <c r="K47" s="333"/>
      <c r="L47" s="333"/>
      <c r="M47" s="333"/>
      <c r="N47" s="333"/>
      <c r="O47" s="333"/>
      <c r="P47" s="333"/>
      <c r="Q47" s="333"/>
      <c r="R47" s="333"/>
      <c r="S47" s="337"/>
      <c r="T47" s="492"/>
      <c r="U47" s="223"/>
      <c r="V47" s="223"/>
      <c r="W47" s="223"/>
      <c r="X47" s="223"/>
      <c r="Y47" s="223"/>
      <c r="Z47" s="223"/>
      <c r="AA47" s="223"/>
      <c r="AB47" s="223"/>
      <c r="AC47" s="223"/>
      <c r="AD47" s="223"/>
      <c r="AE47" s="223"/>
      <c r="AF47" s="223"/>
      <c r="AG47" s="223"/>
      <c r="AH47" s="223"/>
      <c r="AI47" s="223"/>
      <c r="AJ47" s="223"/>
      <c r="AK47" s="223"/>
      <c r="AL47" s="224"/>
    </row>
    <row r="48" spans="1:38" x14ac:dyDescent="0.2">
      <c r="A48" s="334"/>
      <c r="B48" s="333"/>
      <c r="C48" s="333"/>
      <c r="D48" s="333"/>
      <c r="E48" s="333"/>
      <c r="F48" s="333"/>
      <c r="G48" s="333"/>
      <c r="H48" s="333"/>
      <c r="I48" s="333"/>
      <c r="J48" s="333"/>
      <c r="K48" s="333"/>
      <c r="L48" s="333"/>
      <c r="M48" s="333"/>
      <c r="N48" s="333"/>
      <c r="O48" s="333"/>
      <c r="P48" s="333"/>
      <c r="Q48" s="333"/>
      <c r="R48" s="333"/>
      <c r="S48" s="337"/>
      <c r="T48" s="492"/>
      <c r="U48" s="223"/>
      <c r="V48" s="223"/>
      <c r="W48" s="223"/>
      <c r="X48" s="223"/>
      <c r="Y48" s="223"/>
      <c r="Z48" s="223"/>
      <c r="AA48" s="223"/>
      <c r="AB48" s="223"/>
      <c r="AC48" s="223"/>
      <c r="AD48" s="223"/>
      <c r="AE48" s="223"/>
      <c r="AF48" s="223"/>
      <c r="AG48" s="223"/>
      <c r="AH48" s="223"/>
      <c r="AI48" s="223"/>
      <c r="AJ48" s="223"/>
      <c r="AK48" s="223"/>
      <c r="AL48" s="224"/>
    </row>
    <row r="49" spans="1:38" x14ac:dyDescent="0.2">
      <c r="A49" s="334"/>
      <c r="B49" s="333"/>
      <c r="C49" s="333"/>
      <c r="D49" s="333"/>
      <c r="E49" s="333"/>
      <c r="F49" s="333"/>
      <c r="G49" s="333"/>
      <c r="H49" s="333"/>
      <c r="I49" s="333"/>
      <c r="J49" s="333"/>
      <c r="K49" s="333"/>
      <c r="L49" s="333"/>
      <c r="M49" s="333"/>
      <c r="N49" s="333"/>
      <c r="O49" s="333"/>
      <c r="P49" s="333"/>
      <c r="Q49" s="333"/>
      <c r="R49" s="333"/>
      <c r="S49" s="337"/>
      <c r="T49" s="492"/>
      <c r="U49" s="223"/>
      <c r="V49" s="223"/>
      <c r="W49" s="223"/>
      <c r="X49" s="223"/>
      <c r="Y49" s="223"/>
      <c r="Z49" s="223"/>
      <c r="AA49" s="223"/>
      <c r="AB49" s="223"/>
      <c r="AC49" s="223"/>
      <c r="AD49" s="223"/>
      <c r="AE49" s="223"/>
      <c r="AF49" s="223"/>
      <c r="AG49" s="223"/>
      <c r="AH49" s="223"/>
      <c r="AI49" s="223"/>
      <c r="AJ49" s="223"/>
      <c r="AK49" s="223"/>
      <c r="AL49" s="224"/>
    </row>
    <row r="50" spans="1:38" x14ac:dyDescent="0.2">
      <c r="A50" s="334"/>
      <c r="B50" s="333"/>
      <c r="C50" s="333"/>
      <c r="D50" s="333"/>
      <c r="E50" s="333"/>
      <c r="F50" s="333"/>
      <c r="G50" s="333"/>
      <c r="H50" s="333"/>
      <c r="I50" s="333"/>
      <c r="J50" s="333"/>
      <c r="K50" s="333"/>
      <c r="L50" s="333"/>
      <c r="M50" s="333"/>
      <c r="N50" s="333"/>
      <c r="O50" s="333"/>
      <c r="P50" s="333"/>
      <c r="Q50" s="333"/>
      <c r="R50" s="333"/>
      <c r="S50" s="337"/>
      <c r="T50" s="492"/>
      <c r="U50" s="223"/>
      <c r="V50" s="223"/>
      <c r="W50" s="223"/>
      <c r="X50" s="223"/>
      <c r="Y50" s="223"/>
      <c r="Z50" s="223"/>
      <c r="AA50" s="223"/>
      <c r="AB50" s="223"/>
      <c r="AC50" s="223"/>
      <c r="AD50" s="223"/>
      <c r="AE50" s="223"/>
      <c r="AF50" s="223"/>
      <c r="AG50" s="223"/>
      <c r="AH50" s="223"/>
      <c r="AI50" s="223"/>
      <c r="AJ50" s="223"/>
      <c r="AK50" s="223"/>
      <c r="AL50" s="224"/>
    </row>
    <row r="51" spans="1:38" x14ac:dyDescent="0.2">
      <c r="A51" s="334"/>
      <c r="B51" s="333"/>
      <c r="C51" s="333"/>
      <c r="D51" s="333"/>
      <c r="E51" s="333"/>
      <c r="F51" s="333"/>
      <c r="G51" s="333"/>
      <c r="H51" s="333"/>
      <c r="I51" s="333"/>
      <c r="J51" s="333"/>
      <c r="K51" s="333"/>
      <c r="L51" s="333"/>
      <c r="M51" s="333"/>
      <c r="N51" s="333"/>
      <c r="O51" s="333"/>
      <c r="P51" s="333"/>
      <c r="Q51" s="333"/>
      <c r="R51" s="333"/>
      <c r="S51" s="337"/>
      <c r="T51" s="492"/>
      <c r="U51" s="223"/>
      <c r="V51" s="223"/>
      <c r="W51" s="223"/>
      <c r="X51" s="223"/>
      <c r="Y51" s="223"/>
      <c r="Z51" s="223"/>
      <c r="AA51" s="223"/>
      <c r="AB51" s="223"/>
      <c r="AC51" s="223"/>
      <c r="AD51" s="223"/>
      <c r="AE51" s="223"/>
      <c r="AF51" s="223"/>
      <c r="AG51" s="223"/>
      <c r="AH51" s="223"/>
      <c r="AI51" s="223"/>
      <c r="AJ51" s="223"/>
      <c r="AK51" s="223"/>
      <c r="AL51" s="224"/>
    </row>
    <row r="52" spans="1:38" x14ac:dyDescent="0.2">
      <c r="A52" s="334"/>
      <c r="B52" s="333"/>
      <c r="C52" s="333"/>
      <c r="D52" s="333"/>
      <c r="E52" s="333"/>
      <c r="F52" s="333"/>
      <c r="G52" s="333"/>
      <c r="H52" s="333"/>
      <c r="I52" s="333"/>
      <c r="J52" s="333"/>
      <c r="K52" s="333"/>
      <c r="L52" s="333"/>
      <c r="M52" s="333"/>
      <c r="N52" s="333"/>
      <c r="O52" s="333"/>
      <c r="P52" s="333"/>
      <c r="Q52" s="333"/>
      <c r="R52" s="333"/>
      <c r="S52" s="337"/>
      <c r="T52" s="492"/>
      <c r="U52" s="223"/>
      <c r="V52" s="223"/>
      <c r="W52" s="223"/>
      <c r="X52" s="223"/>
      <c r="Y52" s="223"/>
      <c r="Z52" s="223"/>
      <c r="AA52" s="223"/>
      <c r="AB52" s="223"/>
      <c r="AC52" s="223"/>
      <c r="AD52" s="223"/>
      <c r="AE52" s="223"/>
      <c r="AF52" s="223"/>
      <c r="AG52" s="223"/>
      <c r="AH52" s="223"/>
      <c r="AI52" s="223"/>
      <c r="AJ52" s="223"/>
      <c r="AK52" s="223"/>
      <c r="AL52" s="224"/>
    </row>
    <row r="53" spans="1:38" x14ac:dyDescent="0.2">
      <c r="A53" s="334"/>
      <c r="B53" s="333"/>
      <c r="C53" s="333"/>
      <c r="D53" s="333"/>
      <c r="E53" s="333"/>
      <c r="F53" s="333"/>
      <c r="G53" s="333"/>
      <c r="H53" s="333"/>
      <c r="I53" s="333"/>
      <c r="J53" s="333"/>
      <c r="K53" s="333"/>
      <c r="L53" s="333"/>
      <c r="M53" s="333"/>
      <c r="N53" s="333"/>
      <c r="O53" s="333"/>
      <c r="P53" s="333"/>
      <c r="Q53" s="333"/>
      <c r="R53" s="333"/>
      <c r="S53" s="337"/>
      <c r="T53" s="492"/>
      <c r="U53" s="223"/>
      <c r="V53" s="223"/>
      <c r="W53" s="223"/>
      <c r="X53" s="223"/>
      <c r="Y53" s="223"/>
      <c r="Z53" s="223"/>
      <c r="AA53" s="223"/>
      <c r="AB53" s="223"/>
      <c r="AC53" s="223"/>
      <c r="AD53" s="223"/>
      <c r="AE53" s="223"/>
      <c r="AF53" s="223"/>
      <c r="AG53" s="223"/>
      <c r="AH53" s="223"/>
      <c r="AI53" s="223"/>
      <c r="AJ53" s="223"/>
      <c r="AK53" s="223"/>
      <c r="AL53" s="224"/>
    </row>
    <row r="54" spans="1:38" x14ac:dyDescent="0.2">
      <c r="A54" s="334"/>
      <c r="B54" s="333"/>
      <c r="C54" s="333"/>
      <c r="D54" s="333"/>
      <c r="E54" s="333"/>
      <c r="F54" s="333"/>
      <c r="G54" s="333"/>
      <c r="H54" s="333"/>
      <c r="I54" s="333"/>
      <c r="J54" s="333"/>
      <c r="K54" s="333"/>
      <c r="L54" s="333"/>
      <c r="M54" s="333"/>
      <c r="N54" s="333"/>
      <c r="O54" s="333"/>
      <c r="P54" s="333"/>
      <c r="Q54" s="333"/>
      <c r="R54" s="333"/>
      <c r="S54" s="337"/>
      <c r="T54" s="492"/>
      <c r="U54" s="223"/>
      <c r="V54" s="223"/>
      <c r="W54" s="223"/>
      <c r="X54" s="223"/>
      <c r="Y54" s="223"/>
      <c r="Z54" s="223"/>
      <c r="AA54" s="223"/>
      <c r="AB54" s="223"/>
      <c r="AC54" s="223"/>
      <c r="AD54" s="223"/>
      <c r="AE54" s="223"/>
      <c r="AF54" s="223"/>
      <c r="AG54" s="223"/>
      <c r="AH54" s="223"/>
      <c r="AI54" s="223"/>
      <c r="AJ54" s="223"/>
      <c r="AK54" s="223"/>
      <c r="AL54" s="224"/>
    </row>
    <row r="55" spans="1:38" x14ac:dyDescent="0.2">
      <c r="A55" s="334"/>
      <c r="B55" s="333"/>
      <c r="C55" s="333"/>
      <c r="D55" s="333"/>
      <c r="E55" s="333"/>
      <c r="F55" s="333"/>
      <c r="G55" s="333"/>
      <c r="H55" s="333"/>
      <c r="I55" s="333"/>
      <c r="J55" s="333"/>
      <c r="K55" s="333"/>
      <c r="L55" s="333"/>
      <c r="M55" s="333"/>
      <c r="N55" s="333"/>
      <c r="O55" s="333"/>
      <c r="P55" s="333"/>
      <c r="Q55" s="333"/>
      <c r="R55" s="333"/>
      <c r="S55" s="337"/>
      <c r="T55" s="492"/>
      <c r="U55" s="223"/>
      <c r="V55" s="223"/>
      <c r="W55" s="223"/>
      <c r="X55" s="223"/>
      <c r="Y55" s="223"/>
      <c r="Z55" s="223"/>
      <c r="AA55" s="223"/>
      <c r="AB55" s="223"/>
      <c r="AC55" s="223"/>
      <c r="AD55" s="223"/>
      <c r="AE55" s="223"/>
      <c r="AF55" s="223"/>
      <c r="AG55" s="223"/>
      <c r="AH55" s="223"/>
      <c r="AI55" s="223"/>
      <c r="AJ55" s="223"/>
      <c r="AK55" s="223"/>
      <c r="AL55" s="224"/>
    </row>
    <row r="56" spans="1:38" x14ac:dyDescent="0.2">
      <c r="A56" s="334"/>
      <c r="B56" s="493" t="s">
        <v>307</v>
      </c>
      <c r="C56" s="333"/>
      <c r="D56" s="333"/>
      <c r="E56" s="333"/>
      <c r="F56" s="333"/>
      <c r="G56" s="333"/>
      <c r="H56" s="333"/>
      <c r="I56" s="333"/>
      <c r="J56" s="333"/>
      <c r="K56" s="333"/>
      <c r="L56" s="333"/>
      <c r="M56" s="333"/>
      <c r="N56" s="333"/>
      <c r="O56" s="333"/>
      <c r="P56" s="333"/>
      <c r="Q56" s="333"/>
      <c r="R56" s="333"/>
      <c r="S56" s="337"/>
      <c r="T56" s="492"/>
      <c r="U56" s="223"/>
      <c r="V56" s="223"/>
      <c r="W56" s="223"/>
      <c r="X56" s="223"/>
      <c r="Y56" s="223"/>
      <c r="Z56" s="223"/>
      <c r="AA56" s="223"/>
      <c r="AB56" s="223"/>
      <c r="AC56" s="223"/>
      <c r="AD56" s="223"/>
      <c r="AE56" s="223"/>
      <c r="AF56" s="223"/>
      <c r="AG56" s="223"/>
      <c r="AH56" s="223"/>
      <c r="AI56" s="223"/>
      <c r="AJ56" s="223"/>
      <c r="AK56" s="223"/>
      <c r="AL56" s="224"/>
    </row>
    <row r="57" spans="1:38" x14ac:dyDescent="0.2">
      <c r="A57" s="334"/>
      <c r="B57" s="493" t="s">
        <v>308</v>
      </c>
      <c r="C57" s="333"/>
      <c r="D57" s="333"/>
      <c r="E57" s="333"/>
      <c r="F57" s="333"/>
      <c r="G57" s="333"/>
      <c r="H57" s="333"/>
      <c r="I57" s="333"/>
      <c r="J57" s="333"/>
      <c r="K57" s="333"/>
      <c r="L57" s="333"/>
      <c r="M57" s="333"/>
      <c r="N57" s="333"/>
      <c r="O57" s="333"/>
      <c r="P57" s="333"/>
      <c r="Q57" s="333"/>
      <c r="R57" s="333"/>
      <c r="S57" s="337"/>
      <c r="T57" s="492"/>
      <c r="U57" s="223"/>
      <c r="V57" s="223"/>
      <c r="W57" s="223"/>
      <c r="X57" s="223"/>
      <c r="Y57" s="223"/>
      <c r="Z57" s="223"/>
      <c r="AA57" s="223"/>
      <c r="AB57" s="223"/>
      <c r="AC57" s="223"/>
      <c r="AD57" s="223"/>
      <c r="AE57" s="223"/>
      <c r="AF57" s="223"/>
      <c r="AG57" s="223"/>
      <c r="AH57" s="223"/>
      <c r="AI57" s="223"/>
      <c r="AJ57" s="223"/>
      <c r="AK57" s="223"/>
      <c r="AL57" s="224"/>
    </row>
    <row r="58" spans="1:38" x14ac:dyDescent="0.2">
      <c r="A58" s="494"/>
      <c r="B58" s="339"/>
      <c r="C58" s="339"/>
      <c r="D58" s="339"/>
      <c r="E58" s="339"/>
      <c r="F58" s="339"/>
      <c r="G58" s="339"/>
      <c r="H58" s="339"/>
      <c r="I58" s="339"/>
      <c r="J58" s="339"/>
      <c r="K58" s="339"/>
      <c r="L58" s="339"/>
      <c r="M58" s="339"/>
      <c r="N58" s="339"/>
      <c r="O58" s="339"/>
      <c r="P58" s="339"/>
      <c r="Q58" s="339"/>
      <c r="R58" s="339"/>
      <c r="S58" s="341"/>
      <c r="T58" s="495"/>
      <c r="U58" s="226"/>
      <c r="V58" s="226"/>
      <c r="W58" s="226"/>
      <c r="X58" s="226"/>
      <c r="Y58" s="226"/>
      <c r="Z58" s="226"/>
      <c r="AA58" s="226"/>
      <c r="AB58" s="226"/>
      <c r="AC58" s="226"/>
      <c r="AD58" s="226"/>
      <c r="AE58" s="226"/>
      <c r="AF58" s="226"/>
      <c r="AG58" s="226"/>
      <c r="AH58" s="226"/>
      <c r="AI58" s="226"/>
      <c r="AJ58" s="226"/>
      <c r="AK58" s="226"/>
      <c r="AL58" s="227"/>
    </row>
  </sheetData>
  <sheetProtection password="E10F" sheet="1" objects="1" scenarios="1"/>
  <mergeCells count="1">
    <mergeCell ref="A1:S1"/>
  </mergeCells>
  <phoneticPr fontId="0" type="noConversion"/>
  <hyperlinks>
    <hyperlink ref="V39" location="'T2.11.5 T2.6 MHoop Brace Spt'!A1" display="BACK" xr:uid="{00000000-0004-0000-27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7">
    <pageSetUpPr fitToPage="1"/>
  </sheetPr>
  <dimension ref="A1:AL57"/>
  <sheetViews>
    <sheetView showGridLines="0" view="pageBreakPreview" zoomScaleNormal="100" zoomScaleSheetLayoutView="100" workbookViewId="0">
      <selection sqref="A1:S1"/>
    </sheetView>
  </sheetViews>
  <sheetFormatPr baseColWidth="10" defaultColWidth="9.140625" defaultRowHeight="12.75" x14ac:dyDescent="0.2"/>
  <cols>
    <col min="1" max="1" width="5" customWidth="1"/>
    <col min="2" max="2" width="6.140625" customWidth="1"/>
    <col min="3" max="38" width="5" customWidth="1"/>
  </cols>
  <sheetData>
    <row r="1" spans="1:38" x14ac:dyDescent="0.2">
      <c r="A1" s="773" t="s">
        <v>546</v>
      </c>
      <c r="B1" s="773"/>
      <c r="C1" s="773"/>
      <c r="D1" s="773"/>
      <c r="E1" s="773"/>
      <c r="F1" s="773"/>
      <c r="G1" s="773"/>
      <c r="H1" s="773"/>
      <c r="I1" s="773"/>
      <c r="J1" s="773"/>
      <c r="K1" s="773"/>
      <c r="L1" s="773"/>
      <c r="M1" s="773"/>
      <c r="N1" s="773"/>
      <c r="O1" s="773"/>
      <c r="P1" s="773"/>
      <c r="Q1" s="773"/>
      <c r="R1" s="773"/>
      <c r="S1" s="773"/>
      <c r="T1" s="399"/>
      <c r="U1" s="400"/>
      <c r="V1" s="400"/>
      <c r="W1" s="400"/>
      <c r="X1" s="400"/>
      <c r="Y1" s="400"/>
      <c r="Z1" s="400"/>
      <c r="AA1" s="400"/>
      <c r="AB1" s="400"/>
      <c r="AC1" s="400"/>
      <c r="AD1" s="400"/>
      <c r="AE1" s="400"/>
      <c r="AF1" s="400"/>
      <c r="AG1" s="400"/>
      <c r="AH1" s="400"/>
      <c r="AI1" s="400"/>
      <c r="AJ1" s="400"/>
      <c r="AK1" s="400"/>
      <c r="AL1" s="400"/>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2"/>
    </row>
    <row r="3" spans="1:38" x14ac:dyDescent="0.2">
      <c r="A3" s="334"/>
      <c r="B3" s="493" t="s">
        <v>481</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2"/>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2"/>
    </row>
    <row r="5" spans="1:38" x14ac:dyDescent="0.2">
      <c r="A5" s="334"/>
      <c r="B5" s="493" t="s">
        <v>318</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2"/>
    </row>
    <row r="6" spans="1:38" x14ac:dyDescent="0.2">
      <c r="A6" s="334"/>
      <c r="B6" s="493" t="s">
        <v>319</v>
      </c>
      <c r="C6" s="333"/>
      <c r="D6" s="333"/>
      <c r="E6" s="333"/>
      <c r="F6" s="333"/>
      <c r="G6" s="333"/>
      <c r="H6" s="333"/>
      <c r="I6" s="333"/>
      <c r="J6" s="333"/>
      <c r="K6" s="333"/>
      <c r="L6" s="333"/>
      <c r="M6" s="333"/>
      <c r="N6" s="333"/>
      <c r="O6" s="333"/>
      <c r="P6" s="333"/>
      <c r="Q6" s="333"/>
      <c r="R6" s="333"/>
      <c r="S6" s="337"/>
      <c r="T6" s="271"/>
      <c r="U6" s="272"/>
      <c r="V6" s="272"/>
      <c r="W6" s="272"/>
      <c r="X6" s="272"/>
      <c r="Y6" s="272"/>
      <c r="Z6" s="272"/>
      <c r="AA6" s="272"/>
      <c r="AB6" s="272"/>
      <c r="AC6" s="272"/>
      <c r="AD6" s="272"/>
      <c r="AE6" s="272"/>
      <c r="AF6" s="272"/>
      <c r="AG6" s="272"/>
      <c r="AH6" s="272"/>
      <c r="AI6" s="272"/>
      <c r="AJ6" s="272"/>
      <c r="AK6" s="272"/>
      <c r="AL6" s="272"/>
    </row>
    <row r="7" spans="1:38" x14ac:dyDescent="0.2">
      <c r="A7" s="334"/>
      <c r="B7" s="493" t="s">
        <v>320</v>
      </c>
      <c r="C7" s="333"/>
      <c r="D7" s="333"/>
      <c r="E7" s="333"/>
      <c r="F7" s="333"/>
      <c r="G7" s="333"/>
      <c r="H7" s="333"/>
      <c r="I7" s="333"/>
      <c r="J7" s="333"/>
      <c r="K7" s="333"/>
      <c r="L7" s="333"/>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2"/>
    </row>
    <row r="8" spans="1:38" x14ac:dyDescent="0.2">
      <c r="A8" s="334"/>
      <c r="B8" s="493"/>
      <c r="C8" s="333"/>
      <c r="D8" s="333"/>
      <c r="E8" s="333"/>
      <c r="F8" s="333"/>
      <c r="G8" s="333"/>
      <c r="H8" s="333"/>
      <c r="I8" s="333"/>
      <c r="J8" s="333"/>
      <c r="K8" s="333"/>
      <c r="L8" s="336"/>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2"/>
    </row>
    <row r="9" spans="1:38" x14ac:dyDescent="0.2">
      <c r="A9" s="334"/>
      <c r="B9" s="493" t="s">
        <v>321</v>
      </c>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2"/>
    </row>
    <row r="10" spans="1:38" x14ac:dyDescent="0.2">
      <c r="A10" s="334"/>
      <c r="B10" s="493" t="s">
        <v>322</v>
      </c>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2"/>
    </row>
    <row r="11" spans="1:38" x14ac:dyDescent="0.2">
      <c r="A11" s="334"/>
      <c r="B11" s="493"/>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2"/>
    </row>
    <row r="12" spans="1:38" x14ac:dyDescent="0.2">
      <c r="A12" s="334"/>
      <c r="B12" s="493" t="s">
        <v>323</v>
      </c>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2"/>
    </row>
    <row r="13" spans="1:38" x14ac:dyDescent="0.2">
      <c r="A13" s="334"/>
      <c r="B13" s="493" t="s">
        <v>324</v>
      </c>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2"/>
    </row>
    <row r="14" spans="1:38" x14ac:dyDescent="0.2">
      <c r="A14" s="334"/>
      <c r="B14" s="333"/>
      <c r="C14" s="333"/>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2"/>
    </row>
    <row r="15" spans="1:38" x14ac:dyDescent="0.2">
      <c r="A15" s="334"/>
      <c r="B15" s="142" t="s">
        <v>299</v>
      </c>
      <c r="C15" s="333"/>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2"/>
    </row>
    <row r="16" spans="1:38" x14ac:dyDescent="0.2">
      <c r="A16" s="334"/>
      <c r="B16" s="142" t="s">
        <v>325</v>
      </c>
      <c r="C16" s="333"/>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2"/>
    </row>
    <row r="17" spans="1:38" x14ac:dyDescent="0.2">
      <c r="A17" s="334"/>
      <c r="B17" s="56"/>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2"/>
    </row>
    <row r="18" spans="1:38" x14ac:dyDescent="0.2">
      <c r="A18" s="334"/>
      <c r="B18" s="493" t="s">
        <v>300</v>
      </c>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2"/>
    </row>
    <row r="19" spans="1:38" x14ac:dyDescent="0.2">
      <c r="A19" s="334"/>
      <c r="B19" s="493" t="s">
        <v>301</v>
      </c>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2"/>
    </row>
    <row r="20" spans="1:38" x14ac:dyDescent="0.2">
      <c r="A20" s="334"/>
      <c r="B20" s="333"/>
      <c r="C20" s="33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2"/>
    </row>
    <row r="21" spans="1:38" x14ac:dyDescent="0.2">
      <c r="A21" s="334"/>
      <c r="B21" s="496" t="s">
        <v>326</v>
      </c>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2"/>
    </row>
    <row r="22" spans="1:38" x14ac:dyDescent="0.2">
      <c r="A22" s="334"/>
      <c r="B22" s="493"/>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2"/>
    </row>
    <row r="23" spans="1:38" x14ac:dyDescent="0.2">
      <c r="A23" s="334"/>
      <c r="B23" s="333"/>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2"/>
    </row>
    <row r="24" spans="1:38" x14ac:dyDescent="0.2">
      <c r="A24" s="334"/>
      <c r="B24" s="493"/>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2"/>
    </row>
    <row r="25" spans="1:38" x14ac:dyDescent="0.2">
      <c r="A25" s="334"/>
      <c r="B25" s="493"/>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2"/>
    </row>
    <row r="26" spans="1:38" x14ac:dyDescent="0.2">
      <c r="A26" s="334"/>
      <c r="B26" s="493"/>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2"/>
    </row>
    <row r="27" spans="1:38" x14ac:dyDescent="0.2">
      <c r="A27" s="334"/>
      <c r="B27" s="56"/>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2"/>
    </row>
    <row r="28" spans="1:38" x14ac:dyDescent="0.2">
      <c r="A28" s="334"/>
      <c r="B28" s="56"/>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2"/>
    </row>
    <row r="29" spans="1:38" x14ac:dyDescent="0.2">
      <c r="A29" s="334"/>
      <c r="B29" s="56"/>
      <c r="C29" s="33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2"/>
    </row>
    <row r="30" spans="1:38" x14ac:dyDescent="0.2">
      <c r="A30" s="334"/>
      <c r="B30" s="333"/>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2"/>
    </row>
    <row r="31" spans="1:38" x14ac:dyDescent="0.2">
      <c r="A31" s="334"/>
      <c r="B31" s="333"/>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2"/>
    </row>
    <row r="32" spans="1:38" x14ac:dyDescent="0.2">
      <c r="A32" s="334"/>
      <c r="B32" s="333"/>
      <c r="C32" s="33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2"/>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2"/>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2"/>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2"/>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2"/>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2"/>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2"/>
    </row>
    <row r="39" spans="1:38" x14ac:dyDescent="0.2">
      <c r="A39" s="334"/>
      <c r="B39" s="333"/>
      <c r="C39" s="333"/>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2"/>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2"/>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2"/>
    </row>
    <row r="42" spans="1:38" x14ac:dyDescent="0.2">
      <c r="A42" s="334"/>
      <c r="B42" s="493" t="s">
        <v>307</v>
      </c>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2"/>
    </row>
    <row r="43" spans="1:38" x14ac:dyDescent="0.2">
      <c r="A43" s="334"/>
      <c r="B43" s="493" t="s">
        <v>308</v>
      </c>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2"/>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2"/>
    </row>
    <row r="45" spans="1:38" x14ac:dyDescent="0.2">
      <c r="A45" s="334"/>
      <c r="B45" s="484" t="s">
        <v>540</v>
      </c>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2"/>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2"/>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2"/>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2"/>
    </row>
    <row r="49" spans="1:38" x14ac:dyDescent="0.2">
      <c r="A49" s="334"/>
      <c r="B49" s="49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2"/>
    </row>
    <row r="50" spans="1:38" x14ac:dyDescent="0.2">
      <c r="A50" s="334"/>
      <c r="B50" s="49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2"/>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2"/>
    </row>
    <row r="52" spans="1:38" x14ac:dyDescent="0.2">
      <c r="A52" s="334"/>
      <c r="B52" s="33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2"/>
    </row>
    <row r="53" spans="1:38" x14ac:dyDescent="0.2">
      <c r="A53" s="334"/>
      <c r="B53" s="33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2"/>
    </row>
    <row r="54" spans="1:38" x14ac:dyDescent="0.2">
      <c r="A54" s="334"/>
      <c r="B54" s="333"/>
      <c r="C54" s="333"/>
      <c r="D54" s="333"/>
      <c r="E54" s="333"/>
      <c r="F54" s="333"/>
      <c r="G54" s="333"/>
      <c r="H54" s="333"/>
      <c r="I54" s="333"/>
      <c r="J54" s="333"/>
      <c r="K54" s="333"/>
      <c r="L54" s="333"/>
      <c r="M54" s="333"/>
      <c r="N54" s="333"/>
      <c r="O54" s="333"/>
      <c r="P54" s="333"/>
      <c r="Q54" s="333"/>
      <c r="R54" s="333"/>
      <c r="S54" s="337"/>
      <c r="T54" s="271"/>
      <c r="U54" s="272"/>
      <c r="V54" s="272"/>
      <c r="W54" s="272"/>
      <c r="X54" s="272"/>
      <c r="Y54" s="272"/>
      <c r="Z54" s="272"/>
      <c r="AA54" s="272"/>
      <c r="AB54" s="272"/>
      <c r="AC54" s="272"/>
      <c r="AD54" s="272"/>
      <c r="AE54" s="272"/>
      <c r="AF54" s="272"/>
      <c r="AG54" s="272"/>
      <c r="AH54" s="272"/>
      <c r="AI54" s="272"/>
      <c r="AJ54" s="272"/>
      <c r="AK54" s="272"/>
      <c r="AL54" s="272"/>
    </row>
    <row r="55" spans="1:38" x14ac:dyDescent="0.2">
      <c r="A55" s="334"/>
      <c r="B55" s="493"/>
      <c r="C55" s="333"/>
      <c r="D55" s="333"/>
      <c r="E55" s="333"/>
      <c r="F55" s="333"/>
      <c r="G55" s="333"/>
      <c r="H55" s="333"/>
      <c r="I55" s="333"/>
      <c r="J55" s="333"/>
      <c r="K55" s="333"/>
      <c r="L55" s="333"/>
      <c r="M55" s="333"/>
      <c r="N55" s="333"/>
      <c r="O55" s="333"/>
      <c r="P55" s="333"/>
      <c r="Q55" s="333"/>
      <c r="R55" s="333"/>
      <c r="S55" s="337"/>
      <c r="T55" s="271"/>
      <c r="U55" s="272"/>
      <c r="V55" s="272"/>
      <c r="W55" s="272"/>
      <c r="X55" s="272"/>
      <c r="Y55" s="272"/>
      <c r="Z55" s="272"/>
      <c r="AA55" s="272"/>
      <c r="AB55" s="272"/>
      <c r="AC55" s="272"/>
      <c r="AD55" s="272"/>
      <c r="AE55" s="272"/>
      <c r="AF55" s="272"/>
      <c r="AG55" s="272"/>
      <c r="AH55" s="272"/>
      <c r="AI55" s="272"/>
      <c r="AJ55" s="272"/>
      <c r="AK55" s="272"/>
      <c r="AL55" s="272"/>
    </row>
    <row r="56" spans="1:38" x14ac:dyDescent="0.2">
      <c r="A56" s="334"/>
      <c r="B56" s="493"/>
      <c r="C56" s="333"/>
      <c r="D56" s="333"/>
      <c r="E56" s="333"/>
      <c r="F56" s="333"/>
      <c r="G56" s="333"/>
      <c r="H56" s="333"/>
      <c r="I56" s="333"/>
      <c r="J56" s="333"/>
      <c r="K56" s="333"/>
      <c r="L56" s="333"/>
      <c r="M56" s="333"/>
      <c r="N56" s="333"/>
      <c r="O56" s="333"/>
      <c r="P56" s="333"/>
      <c r="Q56" s="333"/>
      <c r="R56" s="333"/>
      <c r="S56" s="337"/>
      <c r="T56" s="271"/>
      <c r="U56" s="272"/>
      <c r="V56" s="272"/>
      <c r="W56" s="272"/>
      <c r="X56" s="272"/>
      <c r="Y56" s="272"/>
      <c r="Z56" s="272"/>
      <c r="AA56" s="272"/>
      <c r="AB56" s="272"/>
      <c r="AC56" s="272"/>
      <c r="AD56" s="272"/>
      <c r="AE56" s="272"/>
      <c r="AF56" s="272"/>
      <c r="AG56" s="272"/>
      <c r="AH56" s="272"/>
      <c r="AI56" s="272"/>
      <c r="AJ56" s="272"/>
      <c r="AK56" s="272"/>
      <c r="AL56" s="272"/>
    </row>
    <row r="57" spans="1:38" x14ac:dyDescent="0.2">
      <c r="A57" s="494"/>
      <c r="B57" s="339"/>
      <c r="C57" s="339"/>
      <c r="D57" s="339"/>
      <c r="E57" s="339"/>
      <c r="F57" s="339"/>
      <c r="G57" s="339"/>
      <c r="H57" s="339"/>
      <c r="I57" s="339"/>
      <c r="J57" s="339"/>
      <c r="K57" s="339"/>
      <c r="L57" s="339"/>
      <c r="M57" s="339"/>
      <c r="N57" s="339"/>
      <c r="O57" s="339"/>
      <c r="P57" s="339"/>
      <c r="Q57" s="339"/>
      <c r="R57" s="339"/>
      <c r="S57" s="341"/>
      <c r="T57" s="271"/>
      <c r="U57" s="272"/>
      <c r="V57" s="272"/>
      <c r="W57" s="272"/>
      <c r="X57" s="272"/>
      <c r="Y57" s="272"/>
      <c r="Z57" s="272"/>
      <c r="AA57" s="272"/>
      <c r="AB57" s="272"/>
      <c r="AC57" s="272"/>
      <c r="AD57" s="272"/>
      <c r="AE57" s="272"/>
      <c r="AF57" s="272"/>
      <c r="AG57" s="272"/>
      <c r="AH57" s="272"/>
      <c r="AI57" s="272"/>
      <c r="AJ57" s="272"/>
      <c r="AK57" s="272"/>
      <c r="AL57" s="272"/>
    </row>
  </sheetData>
  <sheetProtection password="E10F" sheet="1" objects="1" scenarios="1"/>
  <mergeCells count="1">
    <mergeCell ref="A1:S1"/>
  </mergeCells>
  <phoneticPr fontId="0" type="noConversion"/>
  <hyperlinks>
    <hyperlink ref="B45" location="'T2.12 T2.6 FHoop Bracing'!A1" display="BACK" xr:uid="{00000000-0004-0000-28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8">
    <pageSetUpPr fitToPage="1"/>
  </sheetPr>
  <dimension ref="A1:AL57"/>
  <sheetViews>
    <sheetView showGridLines="0" view="pageBreakPreview" zoomScaleNormal="100" zoomScaleSheetLayoutView="100" workbookViewId="0">
      <selection sqref="A1:S1"/>
    </sheetView>
  </sheetViews>
  <sheetFormatPr baseColWidth="10" defaultColWidth="9.140625" defaultRowHeight="12.75" x14ac:dyDescent="0.2"/>
  <cols>
    <col min="1" max="21" width="5" customWidth="1"/>
    <col min="22" max="22" width="6.42578125" customWidth="1"/>
    <col min="23" max="38" width="5" customWidth="1"/>
  </cols>
  <sheetData>
    <row r="1" spans="1:38" x14ac:dyDescent="0.2">
      <c r="A1" s="773" t="s">
        <v>545</v>
      </c>
      <c r="B1" s="773"/>
      <c r="C1" s="773"/>
      <c r="D1" s="773"/>
      <c r="E1" s="773"/>
      <c r="F1" s="773"/>
      <c r="G1" s="773"/>
      <c r="H1" s="773"/>
      <c r="I1" s="773"/>
      <c r="J1" s="773"/>
      <c r="K1" s="773"/>
      <c r="L1" s="773"/>
      <c r="M1" s="773"/>
      <c r="N1" s="773"/>
      <c r="O1" s="773"/>
      <c r="P1" s="773"/>
      <c r="Q1" s="773"/>
      <c r="R1" s="773"/>
      <c r="S1" s="773"/>
      <c r="T1" s="486"/>
      <c r="U1" s="487"/>
      <c r="V1" s="487"/>
      <c r="W1" s="487"/>
      <c r="X1" s="487"/>
      <c r="Y1" s="487"/>
      <c r="Z1" s="487"/>
      <c r="AA1" s="487"/>
      <c r="AB1" s="487"/>
      <c r="AC1" s="487"/>
      <c r="AD1" s="487"/>
      <c r="AE1" s="487"/>
      <c r="AF1" s="487"/>
      <c r="AG1" s="487"/>
      <c r="AH1" s="487"/>
      <c r="AI1" s="487"/>
      <c r="AJ1" s="487"/>
      <c r="AK1" s="487"/>
      <c r="AL1" s="488"/>
    </row>
    <row r="2" spans="1:38" x14ac:dyDescent="0.2">
      <c r="A2" s="489"/>
      <c r="B2" s="490"/>
      <c r="C2" s="490"/>
      <c r="D2" s="490"/>
      <c r="E2" s="490"/>
      <c r="F2" s="490"/>
      <c r="G2" s="490"/>
      <c r="H2" s="490"/>
      <c r="I2" s="490"/>
      <c r="J2" s="490"/>
      <c r="K2" s="490"/>
      <c r="L2" s="490"/>
      <c r="M2" s="490"/>
      <c r="N2" s="490"/>
      <c r="O2" s="490"/>
      <c r="P2" s="490"/>
      <c r="Q2" s="490"/>
      <c r="R2" s="490"/>
      <c r="S2" s="491"/>
      <c r="T2" s="492"/>
      <c r="U2" s="56"/>
      <c r="V2" s="56"/>
      <c r="W2" s="56"/>
      <c r="X2" s="56"/>
      <c r="Y2" s="56"/>
      <c r="Z2" s="56"/>
      <c r="AA2" s="56"/>
      <c r="AB2" s="56"/>
      <c r="AC2" s="56"/>
      <c r="AD2" s="56"/>
      <c r="AE2" s="56"/>
      <c r="AF2" s="56"/>
      <c r="AG2" s="56"/>
      <c r="AH2" s="56"/>
      <c r="AI2" s="56"/>
      <c r="AJ2" s="56"/>
      <c r="AK2" s="56"/>
      <c r="AL2" s="224"/>
    </row>
    <row r="3" spans="1:38" x14ac:dyDescent="0.2">
      <c r="A3" s="334"/>
      <c r="B3" s="493" t="s">
        <v>331</v>
      </c>
      <c r="C3" s="333"/>
      <c r="D3" s="333"/>
      <c r="E3" s="333"/>
      <c r="F3" s="333"/>
      <c r="G3" s="333"/>
      <c r="H3" s="333"/>
      <c r="I3" s="333"/>
      <c r="J3" s="333"/>
      <c r="K3" s="333"/>
      <c r="L3" s="333"/>
      <c r="M3" s="333"/>
      <c r="N3" s="333"/>
      <c r="O3" s="333"/>
      <c r="P3" s="333"/>
      <c r="Q3" s="333"/>
      <c r="R3" s="333"/>
      <c r="S3" s="337"/>
      <c r="T3" s="492"/>
      <c r="U3" s="56"/>
      <c r="V3" s="56"/>
      <c r="W3" s="56"/>
      <c r="X3" s="56"/>
      <c r="Y3" s="56"/>
      <c r="Z3" s="56"/>
      <c r="AA3" s="56"/>
      <c r="AB3" s="56"/>
      <c r="AC3" s="56"/>
      <c r="AD3" s="56"/>
      <c r="AE3" s="56"/>
      <c r="AF3" s="56"/>
      <c r="AG3" s="56"/>
      <c r="AH3" s="56"/>
      <c r="AI3" s="56"/>
      <c r="AJ3" s="56"/>
      <c r="AK3" s="56"/>
      <c r="AL3" s="224"/>
    </row>
    <row r="4" spans="1:38" x14ac:dyDescent="0.2">
      <c r="A4" s="334"/>
      <c r="B4" s="493"/>
      <c r="C4" s="333"/>
      <c r="D4" s="333"/>
      <c r="E4" s="333"/>
      <c r="F4" s="333"/>
      <c r="G4" s="333"/>
      <c r="H4" s="333"/>
      <c r="I4" s="333"/>
      <c r="J4" s="333"/>
      <c r="K4" s="333"/>
      <c r="L4" s="333"/>
      <c r="M4" s="333"/>
      <c r="N4" s="333"/>
      <c r="O4" s="333"/>
      <c r="P4" s="333"/>
      <c r="Q4" s="333"/>
      <c r="R4" s="333"/>
      <c r="S4" s="337"/>
      <c r="T4" s="492"/>
      <c r="U4" s="56"/>
      <c r="V4" s="56"/>
      <c r="W4" s="56"/>
      <c r="X4" s="56"/>
      <c r="Y4" s="56"/>
      <c r="Z4" s="56"/>
      <c r="AA4" s="56"/>
      <c r="AB4" s="56"/>
      <c r="AC4" s="56"/>
      <c r="AD4" s="56"/>
      <c r="AE4" s="56"/>
      <c r="AF4" s="56"/>
      <c r="AG4" s="56"/>
      <c r="AH4" s="56"/>
      <c r="AI4" s="56"/>
      <c r="AJ4" s="56"/>
      <c r="AK4" s="56"/>
      <c r="AL4" s="224"/>
    </row>
    <row r="5" spans="1:38" x14ac:dyDescent="0.2">
      <c r="A5" s="334"/>
      <c r="B5" s="493" t="s">
        <v>332</v>
      </c>
      <c r="C5" s="333"/>
      <c r="D5" s="333"/>
      <c r="E5" s="333"/>
      <c r="F5" s="333"/>
      <c r="G5" s="333"/>
      <c r="H5" s="333"/>
      <c r="I5" s="333"/>
      <c r="J5" s="333"/>
      <c r="K5" s="333"/>
      <c r="L5" s="333"/>
      <c r="M5" s="333"/>
      <c r="N5" s="333"/>
      <c r="O5" s="333"/>
      <c r="P5" s="333"/>
      <c r="Q5" s="333"/>
      <c r="R5" s="333"/>
      <c r="S5" s="337"/>
      <c r="T5" s="492"/>
      <c r="U5" s="56"/>
      <c r="V5" s="56"/>
      <c r="W5" s="56"/>
      <c r="X5" s="56"/>
      <c r="Y5" s="56"/>
      <c r="Z5" s="56"/>
      <c r="AA5" s="56"/>
      <c r="AB5" s="56"/>
      <c r="AC5" s="56"/>
      <c r="AD5" s="56"/>
      <c r="AE5" s="56"/>
      <c r="AF5" s="56"/>
      <c r="AG5" s="56"/>
      <c r="AH5" s="56"/>
      <c r="AI5" s="56"/>
      <c r="AJ5" s="56"/>
      <c r="AK5" s="56"/>
      <c r="AL5" s="224"/>
    </row>
    <row r="6" spans="1:38" x14ac:dyDescent="0.2">
      <c r="A6" s="334"/>
      <c r="B6" s="493" t="s">
        <v>333</v>
      </c>
      <c r="C6" s="333"/>
      <c r="D6" s="333"/>
      <c r="E6" s="333"/>
      <c r="F6" s="333"/>
      <c r="G6" s="333"/>
      <c r="H6" s="333"/>
      <c r="I6" s="333"/>
      <c r="J6" s="333"/>
      <c r="K6" s="333"/>
      <c r="L6" s="333"/>
      <c r="M6" s="333"/>
      <c r="N6" s="333"/>
      <c r="O6" s="333"/>
      <c r="P6" s="333"/>
      <c r="Q6" s="333"/>
      <c r="R6" s="333"/>
      <c r="S6" s="337"/>
      <c r="T6" s="492"/>
      <c r="U6" s="56"/>
      <c r="V6" s="56"/>
      <c r="W6" s="56"/>
      <c r="X6" s="56"/>
      <c r="Y6" s="56"/>
      <c r="Z6" s="56"/>
      <c r="AA6" s="56"/>
      <c r="AB6" s="56"/>
      <c r="AC6" s="56"/>
      <c r="AD6" s="56"/>
      <c r="AE6" s="56"/>
      <c r="AF6" s="56"/>
      <c r="AG6" s="56"/>
      <c r="AH6" s="56"/>
      <c r="AI6" s="56"/>
      <c r="AJ6" s="56"/>
      <c r="AK6" s="56"/>
      <c r="AL6" s="224"/>
    </row>
    <row r="7" spans="1:38" x14ac:dyDescent="0.2">
      <c r="A7" s="334"/>
      <c r="B7" s="493"/>
      <c r="C7" s="333"/>
      <c r="D7" s="333"/>
      <c r="E7" s="333"/>
      <c r="F7" s="333"/>
      <c r="G7" s="333"/>
      <c r="H7" s="333"/>
      <c r="I7" s="333"/>
      <c r="J7" s="333"/>
      <c r="K7" s="333"/>
      <c r="L7" s="336"/>
      <c r="M7" s="333"/>
      <c r="N7" s="333"/>
      <c r="O7" s="333"/>
      <c r="P7" s="333"/>
      <c r="Q7" s="333"/>
      <c r="R7" s="333"/>
      <c r="S7" s="337"/>
      <c r="T7" s="492"/>
      <c r="U7" s="56"/>
      <c r="V7" s="56"/>
      <c r="W7" s="56"/>
      <c r="X7" s="56"/>
      <c r="Y7" s="56"/>
      <c r="Z7" s="56"/>
      <c r="AA7" s="56"/>
      <c r="AB7" s="56"/>
      <c r="AC7" s="56"/>
      <c r="AD7" s="56"/>
      <c r="AE7" s="56"/>
      <c r="AF7" s="56"/>
      <c r="AG7" s="56"/>
      <c r="AH7" s="56"/>
      <c r="AI7" s="56"/>
      <c r="AJ7" s="56"/>
      <c r="AK7" s="56"/>
      <c r="AL7" s="224"/>
    </row>
    <row r="8" spans="1:38" x14ac:dyDescent="0.2">
      <c r="A8" s="334"/>
      <c r="B8" s="493" t="s">
        <v>321</v>
      </c>
      <c r="C8" s="333"/>
      <c r="D8" s="333"/>
      <c r="E8" s="333"/>
      <c r="F8" s="333"/>
      <c r="G8" s="333"/>
      <c r="H8" s="333"/>
      <c r="I8" s="333"/>
      <c r="J8" s="333"/>
      <c r="K8" s="333"/>
      <c r="L8" s="333"/>
      <c r="M8" s="333"/>
      <c r="N8" s="333"/>
      <c r="O8" s="333"/>
      <c r="P8" s="333"/>
      <c r="Q8" s="333"/>
      <c r="R8" s="333"/>
      <c r="S8" s="337"/>
      <c r="T8" s="492"/>
      <c r="U8" s="56"/>
      <c r="V8" s="56"/>
      <c r="W8" s="56"/>
      <c r="X8" s="56"/>
      <c r="Y8" s="56"/>
      <c r="Z8" s="56"/>
      <c r="AA8" s="56"/>
      <c r="AB8" s="56"/>
      <c r="AC8" s="56"/>
      <c r="AD8" s="56"/>
      <c r="AE8" s="56"/>
      <c r="AF8" s="56"/>
      <c r="AG8" s="56"/>
      <c r="AH8" s="56"/>
      <c r="AI8" s="56"/>
      <c r="AJ8" s="56"/>
      <c r="AK8" s="56"/>
      <c r="AL8" s="224"/>
    </row>
    <row r="9" spans="1:38" x14ac:dyDescent="0.2">
      <c r="A9" s="334"/>
      <c r="B9" s="493" t="s">
        <v>334</v>
      </c>
      <c r="C9" s="333"/>
      <c r="D9" s="333"/>
      <c r="E9" s="333"/>
      <c r="F9" s="333"/>
      <c r="G9" s="333"/>
      <c r="H9" s="333"/>
      <c r="I9" s="333"/>
      <c r="J9" s="333"/>
      <c r="K9" s="333"/>
      <c r="L9" s="333"/>
      <c r="M9" s="333"/>
      <c r="N9" s="333"/>
      <c r="O9" s="333"/>
      <c r="P9" s="333"/>
      <c r="Q9" s="333"/>
      <c r="R9" s="333"/>
      <c r="S9" s="337"/>
      <c r="T9" s="492"/>
      <c r="U9" s="56"/>
      <c r="V9" s="56"/>
      <c r="W9" s="56"/>
      <c r="X9" s="56"/>
      <c r="Y9" s="56"/>
      <c r="Z9" s="56"/>
      <c r="AA9" s="56"/>
      <c r="AB9" s="56"/>
      <c r="AC9" s="56"/>
      <c r="AD9" s="56"/>
      <c r="AE9" s="56"/>
      <c r="AF9" s="56"/>
      <c r="AG9" s="56"/>
      <c r="AH9" s="56"/>
      <c r="AI9" s="56"/>
      <c r="AJ9" s="56"/>
      <c r="AK9" s="56"/>
      <c r="AL9" s="224"/>
    </row>
    <row r="10" spans="1:38" x14ac:dyDescent="0.2">
      <c r="A10" s="334"/>
      <c r="B10" s="493"/>
      <c r="C10" s="333"/>
      <c r="D10" s="333"/>
      <c r="E10" s="333"/>
      <c r="F10" s="333"/>
      <c r="G10" s="333"/>
      <c r="H10" s="333"/>
      <c r="I10" s="333"/>
      <c r="J10" s="333"/>
      <c r="K10" s="333"/>
      <c r="L10" s="333"/>
      <c r="M10" s="333"/>
      <c r="N10" s="333"/>
      <c r="O10" s="333"/>
      <c r="P10" s="333"/>
      <c r="Q10" s="333"/>
      <c r="R10" s="333"/>
      <c r="S10" s="337"/>
      <c r="T10" s="492"/>
      <c r="U10" s="56"/>
      <c r="V10" s="56"/>
      <c r="W10" s="56"/>
      <c r="X10" s="56"/>
      <c r="Y10" s="56"/>
      <c r="Z10" s="56"/>
      <c r="AA10" s="56"/>
      <c r="AB10" s="56"/>
      <c r="AC10" s="56"/>
      <c r="AD10" s="56"/>
      <c r="AE10" s="56"/>
      <c r="AF10" s="56"/>
      <c r="AG10" s="56"/>
      <c r="AH10" s="56"/>
      <c r="AI10" s="56"/>
      <c r="AJ10" s="56"/>
      <c r="AK10" s="56"/>
      <c r="AL10" s="224"/>
    </row>
    <row r="11" spans="1:38" x14ac:dyDescent="0.2">
      <c r="A11" s="334"/>
      <c r="B11" s="493"/>
      <c r="C11" s="333"/>
      <c r="D11" s="333"/>
      <c r="E11" s="333"/>
      <c r="F11" s="333"/>
      <c r="G11" s="333"/>
      <c r="H11" s="333"/>
      <c r="I11" s="333"/>
      <c r="J11" s="333"/>
      <c r="K11" s="333"/>
      <c r="L11" s="333"/>
      <c r="M11" s="333"/>
      <c r="N11" s="333"/>
      <c r="O11" s="333"/>
      <c r="P11" s="333"/>
      <c r="Q11" s="333"/>
      <c r="R11" s="333"/>
      <c r="S11" s="337"/>
      <c r="T11" s="492"/>
      <c r="U11" s="56"/>
      <c r="V11" s="56"/>
      <c r="W11" s="56"/>
      <c r="X11" s="56"/>
      <c r="Y11" s="56"/>
      <c r="Z11" s="56"/>
      <c r="AA11" s="56"/>
      <c r="AB11" s="56"/>
      <c r="AC11" s="56"/>
      <c r="AD11" s="56"/>
      <c r="AE11" s="56"/>
      <c r="AF11" s="56"/>
      <c r="AG11" s="56"/>
      <c r="AH11" s="56"/>
      <c r="AI11" s="56"/>
      <c r="AJ11" s="56"/>
      <c r="AK11" s="56"/>
      <c r="AL11" s="224"/>
    </row>
    <row r="12" spans="1:38" x14ac:dyDescent="0.2">
      <c r="A12" s="334"/>
      <c r="B12" s="493"/>
      <c r="C12" s="333"/>
      <c r="D12" s="333"/>
      <c r="E12" s="333"/>
      <c r="F12" s="333"/>
      <c r="G12" s="333"/>
      <c r="H12" s="333"/>
      <c r="I12" s="333"/>
      <c r="J12" s="333"/>
      <c r="K12" s="333"/>
      <c r="L12" s="333"/>
      <c r="M12" s="333"/>
      <c r="N12" s="333"/>
      <c r="O12" s="333"/>
      <c r="P12" s="333"/>
      <c r="Q12" s="333"/>
      <c r="R12" s="333"/>
      <c r="S12" s="337"/>
      <c r="T12" s="492"/>
      <c r="U12" s="56"/>
      <c r="V12" s="56"/>
      <c r="W12" s="56"/>
      <c r="X12" s="56"/>
      <c r="Y12" s="56"/>
      <c r="Z12" s="56"/>
      <c r="AA12" s="56"/>
      <c r="AB12" s="56"/>
      <c r="AC12" s="56"/>
      <c r="AD12" s="56"/>
      <c r="AE12" s="56"/>
      <c r="AF12" s="56"/>
      <c r="AG12" s="56"/>
      <c r="AH12" s="56"/>
      <c r="AI12" s="56"/>
      <c r="AJ12" s="56"/>
      <c r="AK12" s="56"/>
      <c r="AL12" s="224"/>
    </row>
    <row r="13" spans="1:38" x14ac:dyDescent="0.2">
      <c r="A13" s="334"/>
      <c r="B13" s="493"/>
      <c r="C13" s="333"/>
      <c r="D13" s="333"/>
      <c r="E13" s="333"/>
      <c r="F13" s="333"/>
      <c r="G13" s="333"/>
      <c r="H13" s="333"/>
      <c r="I13" s="333"/>
      <c r="J13" s="333"/>
      <c r="K13" s="333"/>
      <c r="L13" s="333"/>
      <c r="M13" s="333"/>
      <c r="N13" s="333"/>
      <c r="O13" s="333"/>
      <c r="P13" s="333"/>
      <c r="Q13" s="333"/>
      <c r="R13" s="333"/>
      <c r="S13" s="337"/>
      <c r="T13" s="492"/>
      <c r="U13" s="56"/>
      <c r="V13" s="56"/>
      <c r="W13" s="56"/>
      <c r="X13" s="56"/>
      <c r="Y13" s="56"/>
      <c r="Z13" s="56"/>
      <c r="AA13" s="56"/>
      <c r="AB13" s="56"/>
      <c r="AC13" s="56"/>
      <c r="AD13" s="56"/>
      <c r="AE13" s="56"/>
      <c r="AF13" s="56"/>
      <c r="AG13" s="56"/>
      <c r="AH13" s="56"/>
      <c r="AI13" s="56"/>
      <c r="AJ13" s="56"/>
      <c r="AK13" s="56"/>
      <c r="AL13" s="224"/>
    </row>
    <row r="14" spans="1:38" x14ac:dyDescent="0.2">
      <c r="A14" s="334"/>
      <c r="B14" s="493"/>
      <c r="C14" s="333"/>
      <c r="D14" s="333"/>
      <c r="E14" s="333"/>
      <c r="F14" s="333"/>
      <c r="G14" s="333"/>
      <c r="H14" s="333"/>
      <c r="I14" s="333"/>
      <c r="J14" s="333"/>
      <c r="K14" s="333"/>
      <c r="L14" s="333"/>
      <c r="M14" s="333"/>
      <c r="N14" s="333"/>
      <c r="O14" s="333"/>
      <c r="P14" s="333"/>
      <c r="Q14" s="333"/>
      <c r="R14" s="333"/>
      <c r="S14" s="337"/>
      <c r="T14" s="492"/>
      <c r="U14" s="56"/>
      <c r="V14" s="56"/>
      <c r="W14" s="56"/>
      <c r="X14" s="56"/>
      <c r="Y14" s="56"/>
      <c r="Z14" s="56"/>
      <c r="AA14" s="56"/>
      <c r="AB14" s="56"/>
      <c r="AC14" s="56"/>
      <c r="AD14" s="56"/>
      <c r="AE14" s="56"/>
      <c r="AF14" s="56"/>
      <c r="AG14" s="56"/>
      <c r="AH14" s="56"/>
      <c r="AI14" s="56"/>
      <c r="AJ14" s="56"/>
      <c r="AK14" s="56"/>
      <c r="AL14" s="224"/>
    </row>
    <row r="15" spans="1:38" x14ac:dyDescent="0.2">
      <c r="A15" s="334"/>
      <c r="B15" s="333"/>
      <c r="C15" s="333"/>
      <c r="D15" s="333"/>
      <c r="E15" s="333"/>
      <c r="F15" s="333"/>
      <c r="G15" s="333"/>
      <c r="H15" s="333"/>
      <c r="I15" s="333"/>
      <c r="J15" s="333"/>
      <c r="K15" s="333"/>
      <c r="L15" s="333"/>
      <c r="M15" s="333"/>
      <c r="N15" s="333"/>
      <c r="O15" s="333"/>
      <c r="P15" s="333"/>
      <c r="Q15" s="333"/>
      <c r="R15" s="333"/>
      <c r="S15" s="337"/>
      <c r="T15" s="492"/>
      <c r="U15" s="56"/>
      <c r="V15" s="56"/>
      <c r="W15" s="56"/>
      <c r="X15" s="56"/>
      <c r="Y15" s="56"/>
      <c r="Z15" s="56"/>
      <c r="AA15" s="56"/>
      <c r="AB15" s="56"/>
      <c r="AC15" s="56"/>
      <c r="AD15" s="56"/>
      <c r="AE15" s="56"/>
      <c r="AF15" s="56"/>
      <c r="AG15" s="56"/>
      <c r="AH15" s="56"/>
      <c r="AI15" s="56"/>
      <c r="AJ15" s="56"/>
      <c r="AK15" s="56"/>
      <c r="AL15" s="224"/>
    </row>
    <row r="16" spans="1:38" x14ac:dyDescent="0.2">
      <c r="A16" s="334"/>
      <c r="B16" s="142"/>
      <c r="C16" s="333"/>
      <c r="D16" s="333"/>
      <c r="E16" s="333"/>
      <c r="F16" s="333"/>
      <c r="G16" s="333"/>
      <c r="H16" s="333"/>
      <c r="I16" s="333"/>
      <c r="J16" s="333"/>
      <c r="K16" s="333"/>
      <c r="L16" s="333"/>
      <c r="M16" s="333"/>
      <c r="N16" s="333"/>
      <c r="O16" s="333"/>
      <c r="P16" s="333"/>
      <c r="Q16" s="333"/>
      <c r="R16" s="333"/>
      <c r="S16" s="337"/>
      <c r="T16" s="492"/>
      <c r="U16" s="56"/>
      <c r="V16" s="56"/>
      <c r="W16" s="56"/>
      <c r="X16" s="56"/>
      <c r="Y16" s="56"/>
      <c r="Z16" s="56"/>
      <c r="AA16" s="56"/>
      <c r="AB16" s="56"/>
      <c r="AC16" s="56"/>
      <c r="AD16" s="56"/>
      <c r="AE16" s="56"/>
      <c r="AF16" s="56"/>
      <c r="AG16" s="56"/>
      <c r="AH16" s="56"/>
      <c r="AI16" s="56"/>
      <c r="AJ16" s="56"/>
      <c r="AK16" s="56"/>
      <c r="AL16" s="224"/>
    </row>
    <row r="17" spans="1:38" x14ac:dyDescent="0.2">
      <c r="A17" s="334"/>
      <c r="B17" s="142"/>
      <c r="C17" s="333"/>
      <c r="D17" s="333"/>
      <c r="E17" s="333"/>
      <c r="F17" s="333"/>
      <c r="G17" s="333"/>
      <c r="H17" s="333"/>
      <c r="I17" s="333"/>
      <c r="J17" s="333"/>
      <c r="K17" s="333"/>
      <c r="L17" s="333"/>
      <c r="M17" s="333"/>
      <c r="N17" s="333"/>
      <c r="O17" s="333"/>
      <c r="P17" s="333"/>
      <c r="Q17" s="333"/>
      <c r="R17" s="333"/>
      <c r="S17" s="337"/>
      <c r="T17" s="492"/>
      <c r="U17" s="56"/>
      <c r="V17" s="56"/>
      <c r="W17" s="56"/>
      <c r="X17" s="56"/>
      <c r="Y17" s="56"/>
      <c r="Z17" s="56"/>
      <c r="AA17" s="56"/>
      <c r="AB17" s="56"/>
      <c r="AC17" s="56"/>
      <c r="AD17" s="56"/>
      <c r="AE17" s="56"/>
      <c r="AF17" s="56"/>
      <c r="AG17" s="56"/>
      <c r="AH17" s="56"/>
      <c r="AI17" s="56"/>
      <c r="AJ17" s="56"/>
      <c r="AK17" s="56"/>
      <c r="AL17" s="224"/>
    </row>
    <row r="18" spans="1:38" x14ac:dyDescent="0.2">
      <c r="A18" s="334"/>
      <c r="B18" s="56"/>
      <c r="C18" s="333"/>
      <c r="D18" s="333"/>
      <c r="E18" s="333"/>
      <c r="F18" s="333"/>
      <c r="G18" s="333"/>
      <c r="H18" s="333"/>
      <c r="I18" s="333"/>
      <c r="J18" s="333"/>
      <c r="K18" s="333"/>
      <c r="L18" s="333"/>
      <c r="M18" s="333"/>
      <c r="N18" s="333"/>
      <c r="O18" s="333"/>
      <c r="P18" s="333"/>
      <c r="Q18" s="333"/>
      <c r="R18" s="333"/>
      <c r="S18" s="337"/>
      <c r="T18" s="492"/>
      <c r="U18" s="56"/>
      <c r="V18" s="56"/>
      <c r="W18" s="56"/>
      <c r="X18" s="56"/>
      <c r="Y18" s="56"/>
      <c r="Z18" s="56"/>
      <c r="AA18" s="56"/>
      <c r="AB18" s="56"/>
      <c r="AC18" s="56"/>
      <c r="AD18" s="56"/>
      <c r="AE18" s="56"/>
      <c r="AF18" s="56"/>
      <c r="AG18" s="56"/>
      <c r="AH18" s="56"/>
      <c r="AI18" s="56"/>
      <c r="AJ18" s="56"/>
      <c r="AK18" s="56"/>
      <c r="AL18" s="224"/>
    </row>
    <row r="19" spans="1:38" x14ac:dyDescent="0.2">
      <c r="A19" s="334"/>
      <c r="B19" s="493"/>
      <c r="C19" s="333"/>
      <c r="D19" s="333"/>
      <c r="E19" s="333"/>
      <c r="F19" s="333"/>
      <c r="G19" s="333"/>
      <c r="H19" s="333"/>
      <c r="I19" s="333"/>
      <c r="J19" s="333"/>
      <c r="K19" s="333"/>
      <c r="L19" s="333"/>
      <c r="M19" s="333"/>
      <c r="N19" s="333"/>
      <c r="O19" s="333"/>
      <c r="P19" s="333"/>
      <c r="Q19" s="333"/>
      <c r="R19" s="333"/>
      <c r="S19" s="337"/>
      <c r="T19" s="492"/>
      <c r="U19" s="56"/>
      <c r="V19" s="56"/>
      <c r="W19" s="56"/>
      <c r="X19" s="56"/>
      <c r="Y19" s="56"/>
      <c r="Z19" s="56"/>
      <c r="AA19" s="56"/>
      <c r="AB19" s="56"/>
      <c r="AC19" s="56"/>
      <c r="AD19" s="56"/>
      <c r="AE19" s="56"/>
      <c r="AF19" s="56"/>
      <c r="AG19" s="56"/>
      <c r="AH19" s="56"/>
      <c r="AI19" s="56"/>
      <c r="AJ19" s="56"/>
      <c r="AK19" s="56"/>
      <c r="AL19" s="224"/>
    </row>
    <row r="20" spans="1:38" x14ac:dyDescent="0.2">
      <c r="A20" s="334"/>
      <c r="B20" s="493"/>
      <c r="C20" s="333"/>
      <c r="D20" s="333"/>
      <c r="E20" s="333"/>
      <c r="F20" s="333"/>
      <c r="G20" s="333"/>
      <c r="H20" s="333"/>
      <c r="I20" s="333"/>
      <c r="J20" s="333"/>
      <c r="K20" s="333"/>
      <c r="L20" s="333"/>
      <c r="M20" s="333"/>
      <c r="N20" s="333"/>
      <c r="O20" s="333"/>
      <c r="P20" s="333"/>
      <c r="Q20" s="333"/>
      <c r="R20" s="333"/>
      <c r="S20" s="337"/>
      <c r="T20" s="492"/>
      <c r="U20" s="56"/>
      <c r="V20" s="56"/>
      <c r="W20" s="56"/>
      <c r="X20" s="56"/>
      <c r="Y20" s="56"/>
      <c r="Z20" s="56"/>
      <c r="AA20" s="56"/>
      <c r="AB20" s="56"/>
      <c r="AC20" s="56"/>
      <c r="AD20" s="56"/>
      <c r="AE20" s="56"/>
      <c r="AF20" s="56"/>
      <c r="AG20" s="56"/>
      <c r="AH20" s="56"/>
      <c r="AI20" s="56"/>
      <c r="AJ20" s="56"/>
      <c r="AK20" s="56"/>
      <c r="AL20" s="224"/>
    </row>
    <row r="21" spans="1:38" x14ac:dyDescent="0.2">
      <c r="A21" s="334"/>
      <c r="B21" s="333"/>
      <c r="C21" s="333"/>
      <c r="D21" s="333"/>
      <c r="E21" s="333"/>
      <c r="F21" s="333"/>
      <c r="G21" s="333"/>
      <c r="H21" s="333"/>
      <c r="I21" s="333"/>
      <c r="J21" s="333"/>
      <c r="K21" s="333"/>
      <c r="L21" s="333"/>
      <c r="M21" s="333"/>
      <c r="N21" s="333"/>
      <c r="O21" s="333"/>
      <c r="P21" s="333"/>
      <c r="Q21" s="333"/>
      <c r="R21" s="333"/>
      <c r="S21" s="337"/>
      <c r="T21" s="492"/>
      <c r="U21" s="56"/>
      <c r="V21" s="56"/>
      <c r="W21" s="56"/>
      <c r="X21" s="56"/>
      <c r="Y21" s="56"/>
      <c r="Z21" s="56"/>
      <c r="AA21" s="56"/>
      <c r="AB21" s="56"/>
      <c r="AC21" s="56"/>
      <c r="AD21" s="56"/>
      <c r="AE21" s="56"/>
      <c r="AF21" s="56"/>
      <c r="AG21" s="56"/>
      <c r="AH21" s="56"/>
      <c r="AI21" s="56"/>
      <c r="AJ21" s="56"/>
      <c r="AK21" s="56"/>
      <c r="AL21" s="224"/>
    </row>
    <row r="22" spans="1:38" x14ac:dyDescent="0.2">
      <c r="A22" s="334"/>
      <c r="B22" s="493"/>
      <c r="C22" s="333"/>
      <c r="D22" s="333"/>
      <c r="E22" s="333"/>
      <c r="F22" s="333"/>
      <c r="G22" s="333"/>
      <c r="H22" s="333"/>
      <c r="I22" s="333"/>
      <c r="J22" s="333"/>
      <c r="K22" s="333"/>
      <c r="L22" s="333"/>
      <c r="M22" s="333"/>
      <c r="N22" s="333"/>
      <c r="O22" s="333"/>
      <c r="P22" s="333"/>
      <c r="Q22" s="333"/>
      <c r="R22" s="333"/>
      <c r="S22" s="337"/>
      <c r="T22" s="492"/>
      <c r="U22" s="56"/>
      <c r="V22" s="56"/>
      <c r="W22" s="56"/>
      <c r="X22" s="56"/>
      <c r="Y22" s="56"/>
      <c r="Z22" s="56"/>
      <c r="AA22" s="56"/>
      <c r="AB22" s="56"/>
      <c r="AC22" s="56"/>
      <c r="AD22" s="56"/>
      <c r="AE22" s="56"/>
      <c r="AF22" s="56"/>
      <c r="AG22" s="56"/>
      <c r="AH22" s="56"/>
      <c r="AI22" s="56"/>
      <c r="AJ22" s="56"/>
      <c r="AK22" s="56"/>
      <c r="AL22" s="224"/>
    </row>
    <row r="23" spans="1:38" x14ac:dyDescent="0.2">
      <c r="A23" s="334"/>
      <c r="B23" s="493"/>
      <c r="C23" s="333"/>
      <c r="D23" s="333"/>
      <c r="E23" s="333"/>
      <c r="F23" s="333"/>
      <c r="G23" s="333"/>
      <c r="H23" s="333"/>
      <c r="I23" s="333"/>
      <c r="J23" s="333"/>
      <c r="K23" s="333"/>
      <c r="L23" s="333"/>
      <c r="M23" s="333"/>
      <c r="N23" s="333"/>
      <c r="O23" s="333"/>
      <c r="P23" s="333"/>
      <c r="Q23" s="333"/>
      <c r="R23" s="333"/>
      <c r="S23" s="337"/>
      <c r="T23" s="492"/>
      <c r="U23" s="223"/>
      <c r="V23" s="223"/>
      <c r="W23" s="223"/>
      <c r="X23" s="223"/>
      <c r="Y23" s="223"/>
      <c r="Z23" s="223"/>
      <c r="AA23" s="223"/>
      <c r="AB23" s="223"/>
      <c r="AC23" s="223"/>
      <c r="AD23" s="223"/>
      <c r="AE23" s="223"/>
      <c r="AF23" s="223"/>
      <c r="AG23" s="223"/>
      <c r="AH23" s="223"/>
      <c r="AI23" s="223"/>
      <c r="AJ23" s="223"/>
      <c r="AK23" s="223"/>
      <c r="AL23" s="224"/>
    </row>
    <row r="24" spans="1:38" x14ac:dyDescent="0.2">
      <c r="A24" s="334"/>
      <c r="B24" s="333"/>
      <c r="C24" s="333"/>
      <c r="D24" s="333"/>
      <c r="E24" s="333"/>
      <c r="F24" s="333"/>
      <c r="G24" s="333"/>
      <c r="H24" s="333"/>
      <c r="I24" s="333"/>
      <c r="J24" s="333"/>
      <c r="K24" s="333"/>
      <c r="L24" s="333"/>
      <c r="M24" s="333"/>
      <c r="N24" s="333"/>
      <c r="O24" s="333"/>
      <c r="P24" s="333"/>
      <c r="Q24" s="333"/>
      <c r="R24" s="333"/>
      <c r="S24" s="337"/>
      <c r="T24" s="492"/>
      <c r="U24" s="223"/>
      <c r="V24" s="223"/>
      <c r="W24" s="223"/>
      <c r="X24" s="223"/>
      <c r="Y24" s="223"/>
      <c r="Z24" s="223"/>
      <c r="AA24" s="223"/>
      <c r="AB24" s="223"/>
      <c r="AC24" s="223"/>
      <c r="AD24" s="223"/>
      <c r="AE24" s="223"/>
      <c r="AF24" s="223"/>
      <c r="AG24" s="223"/>
      <c r="AH24" s="223"/>
      <c r="AI24" s="223"/>
      <c r="AJ24" s="223"/>
      <c r="AK24" s="223"/>
      <c r="AL24" s="224"/>
    </row>
    <row r="25" spans="1:38" x14ac:dyDescent="0.2">
      <c r="A25" s="334"/>
      <c r="B25" s="493"/>
      <c r="C25" s="333"/>
      <c r="D25" s="333"/>
      <c r="E25" s="333"/>
      <c r="F25" s="333"/>
      <c r="G25" s="333"/>
      <c r="H25" s="333"/>
      <c r="I25" s="333"/>
      <c r="J25" s="333"/>
      <c r="K25" s="333"/>
      <c r="L25" s="333"/>
      <c r="M25" s="333"/>
      <c r="N25" s="333"/>
      <c r="O25" s="333"/>
      <c r="P25" s="333"/>
      <c r="Q25" s="333"/>
      <c r="R25" s="333"/>
      <c r="S25" s="337"/>
      <c r="T25" s="492"/>
      <c r="U25" s="223"/>
      <c r="V25" s="223"/>
      <c r="W25" s="223"/>
      <c r="X25" s="223"/>
      <c r="Y25" s="223"/>
      <c r="Z25" s="223"/>
      <c r="AA25" s="223"/>
      <c r="AB25" s="223"/>
      <c r="AC25" s="223"/>
      <c r="AD25" s="223"/>
      <c r="AE25" s="223"/>
      <c r="AF25" s="223"/>
      <c r="AG25" s="223"/>
      <c r="AH25" s="223"/>
      <c r="AI25" s="223"/>
      <c r="AJ25" s="223"/>
      <c r="AK25" s="223"/>
      <c r="AL25" s="224"/>
    </row>
    <row r="26" spans="1:38" x14ac:dyDescent="0.2">
      <c r="A26" s="334"/>
      <c r="B26" s="493"/>
      <c r="C26" s="333"/>
      <c r="D26" s="333"/>
      <c r="E26" s="333"/>
      <c r="F26" s="333"/>
      <c r="G26" s="333"/>
      <c r="H26" s="333"/>
      <c r="I26" s="333"/>
      <c r="J26" s="333"/>
      <c r="K26" s="333"/>
      <c r="L26" s="333"/>
      <c r="M26" s="333"/>
      <c r="N26" s="333"/>
      <c r="O26" s="333"/>
      <c r="P26" s="333"/>
      <c r="Q26" s="333"/>
      <c r="R26" s="333"/>
      <c r="S26" s="337"/>
      <c r="T26" s="492"/>
      <c r="U26" s="223"/>
      <c r="V26" s="223"/>
      <c r="W26" s="223"/>
      <c r="X26" s="223"/>
      <c r="Y26" s="223"/>
      <c r="Z26" s="223"/>
      <c r="AA26" s="223"/>
      <c r="AB26" s="223"/>
      <c r="AC26" s="223"/>
      <c r="AD26" s="223"/>
      <c r="AE26" s="223"/>
      <c r="AF26" s="223"/>
      <c r="AG26" s="223"/>
      <c r="AH26" s="223"/>
      <c r="AI26" s="223"/>
      <c r="AJ26" s="223"/>
      <c r="AK26" s="223"/>
      <c r="AL26" s="224"/>
    </row>
    <row r="27" spans="1:38" x14ac:dyDescent="0.2">
      <c r="A27" s="334"/>
      <c r="B27" s="493"/>
      <c r="C27" s="333"/>
      <c r="D27" s="333"/>
      <c r="E27" s="333"/>
      <c r="F27" s="333"/>
      <c r="G27" s="333"/>
      <c r="H27" s="333"/>
      <c r="I27" s="333"/>
      <c r="J27" s="333"/>
      <c r="K27" s="333"/>
      <c r="L27" s="333"/>
      <c r="M27" s="333"/>
      <c r="N27" s="333"/>
      <c r="O27" s="333"/>
      <c r="P27" s="333"/>
      <c r="Q27" s="333"/>
      <c r="R27" s="333"/>
      <c r="S27" s="337"/>
      <c r="T27" s="492"/>
      <c r="U27" s="223"/>
      <c r="V27" s="223"/>
      <c r="W27" s="223"/>
      <c r="X27" s="223"/>
      <c r="Y27" s="223"/>
      <c r="Z27" s="223"/>
      <c r="AA27" s="223"/>
      <c r="AB27" s="223"/>
      <c r="AC27" s="223"/>
      <c r="AD27" s="223"/>
      <c r="AE27" s="223"/>
      <c r="AF27" s="223"/>
      <c r="AG27" s="223"/>
      <c r="AH27" s="223"/>
      <c r="AI27" s="223"/>
      <c r="AJ27" s="223"/>
      <c r="AK27" s="223"/>
      <c r="AL27" s="224"/>
    </row>
    <row r="28" spans="1:38" x14ac:dyDescent="0.2">
      <c r="A28" s="334"/>
      <c r="B28" s="56"/>
      <c r="C28" s="333"/>
      <c r="D28" s="333"/>
      <c r="E28" s="333"/>
      <c r="F28" s="333"/>
      <c r="G28" s="333"/>
      <c r="H28" s="333"/>
      <c r="I28" s="333"/>
      <c r="J28" s="333"/>
      <c r="K28" s="333"/>
      <c r="L28" s="333"/>
      <c r="M28" s="333"/>
      <c r="N28" s="333"/>
      <c r="O28" s="333"/>
      <c r="P28" s="333"/>
      <c r="Q28" s="333"/>
      <c r="R28" s="333"/>
      <c r="S28" s="337"/>
      <c r="T28" s="492"/>
      <c r="U28" s="223"/>
      <c r="V28" s="223"/>
      <c r="W28" s="223"/>
      <c r="X28" s="223"/>
      <c r="Y28" s="223"/>
      <c r="Z28" s="223"/>
      <c r="AA28" s="223"/>
      <c r="AB28" s="223"/>
      <c r="AC28" s="223"/>
      <c r="AD28" s="223"/>
      <c r="AE28" s="223"/>
      <c r="AF28" s="223"/>
      <c r="AG28" s="223"/>
      <c r="AH28" s="223"/>
      <c r="AI28" s="223"/>
      <c r="AJ28" s="223"/>
      <c r="AK28" s="223"/>
      <c r="AL28" s="224"/>
    </row>
    <row r="29" spans="1:38" x14ac:dyDescent="0.2">
      <c r="A29" s="334"/>
      <c r="B29" s="493" t="s">
        <v>336</v>
      </c>
      <c r="C29" s="333"/>
      <c r="D29" s="333"/>
      <c r="E29" s="333"/>
      <c r="F29" s="333"/>
      <c r="G29" s="333"/>
      <c r="H29" s="333"/>
      <c r="I29" s="333"/>
      <c r="J29" s="333"/>
      <c r="K29" s="333"/>
      <c r="L29" s="333"/>
      <c r="M29" s="333"/>
      <c r="N29" s="333"/>
      <c r="O29" s="333"/>
      <c r="P29" s="333"/>
      <c r="Q29" s="333"/>
      <c r="R29" s="333"/>
      <c r="S29" s="337"/>
      <c r="T29" s="492"/>
      <c r="U29" s="223"/>
      <c r="V29" s="223"/>
      <c r="W29" s="223"/>
      <c r="X29" s="223"/>
      <c r="Y29" s="223"/>
      <c r="Z29" s="223"/>
      <c r="AA29" s="223"/>
      <c r="AB29" s="223"/>
      <c r="AC29" s="223"/>
      <c r="AD29" s="223"/>
      <c r="AE29" s="223"/>
      <c r="AF29" s="223"/>
      <c r="AG29" s="223"/>
      <c r="AH29" s="223"/>
      <c r="AI29" s="223"/>
      <c r="AJ29" s="223"/>
      <c r="AK29" s="223"/>
      <c r="AL29" s="224"/>
    </row>
    <row r="30" spans="1:38" x14ac:dyDescent="0.2">
      <c r="A30" s="334"/>
      <c r="B30" s="493" t="s">
        <v>335</v>
      </c>
      <c r="C30" s="333"/>
      <c r="D30" s="333"/>
      <c r="E30" s="333"/>
      <c r="F30" s="333"/>
      <c r="G30" s="333"/>
      <c r="H30" s="333"/>
      <c r="I30" s="333"/>
      <c r="J30" s="333"/>
      <c r="K30" s="333"/>
      <c r="L30" s="333"/>
      <c r="M30" s="333"/>
      <c r="N30" s="333"/>
      <c r="O30" s="333"/>
      <c r="P30" s="333"/>
      <c r="Q30" s="333"/>
      <c r="R30" s="333"/>
      <c r="S30" s="337"/>
      <c r="T30" s="492"/>
      <c r="U30" s="223"/>
      <c r="V30" s="223"/>
      <c r="W30" s="223"/>
      <c r="X30" s="223"/>
      <c r="Y30" s="223"/>
      <c r="Z30" s="223"/>
      <c r="AA30" s="223"/>
      <c r="AB30" s="223"/>
      <c r="AC30" s="223"/>
      <c r="AD30" s="223"/>
      <c r="AE30" s="223"/>
      <c r="AF30" s="223"/>
      <c r="AG30" s="223"/>
      <c r="AH30" s="223"/>
      <c r="AI30" s="223"/>
      <c r="AJ30" s="223"/>
      <c r="AK30" s="223"/>
      <c r="AL30" s="224"/>
    </row>
    <row r="31" spans="1:38" x14ac:dyDescent="0.2">
      <c r="A31" s="334"/>
      <c r="B31" s="493" t="s">
        <v>338</v>
      </c>
      <c r="C31" s="333"/>
      <c r="D31" s="333"/>
      <c r="E31" s="333"/>
      <c r="F31" s="333"/>
      <c r="G31" s="333"/>
      <c r="H31" s="333"/>
      <c r="I31" s="333"/>
      <c r="J31" s="333"/>
      <c r="K31" s="333"/>
      <c r="L31" s="333"/>
      <c r="M31" s="333"/>
      <c r="N31" s="333"/>
      <c r="O31" s="333"/>
      <c r="P31" s="333"/>
      <c r="Q31" s="333"/>
      <c r="R31" s="333"/>
      <c r="S31" s="337"/>
      <c r="T31" s="492"/>
      <c r="U31" s="223"/>
      <c r="V31" s="223"/>
      <c r="W31" s="223"/>
      <c r="X31" s="223"/>
      <c r="Y31" s="223"/>
      <c r="Z31" s="223"/>
      <c r="AA31" s="223"/>
      <c r="AB31" s="223"/>
      <c r="AC31" s="223"/>
      <c r="AD31" s="223"/>
      <c r="AE31" s="223"/>
      <c r="AF31" s="223"/>
      <c r="AG31" s="223"/>
      <c r="AH31" s="223"/>
      <c r="AI31" s="223"/>
      <c r="AJ31" s="223"/>
      <c r="AK31" s="223"/>
      <c r="AL31" s="224"/>
    </row>
    <row r="32" spans="1:38" x14ac:dyDescent="0.2">
      <c r="A32" s="334"/>
      <c r="B32" s="493" t="s">
        <v>337</v>
      </c>
      <c r="C32" s="333"/>
      <c r="D32" s="333"/>
      <c r="E32" s="333"/>
      <c r="F32" s="333"/>
      <c r="G32" s="333"/>
      <c r="H32" s="333"/>
      <c r="I32" s="333"/>
      <c r="J32" s="333"/>
      <c r="K32" s="333"/>
      <c r="L32" s="333"/>
      <c r="M32" s="333"/>
      <c r="N32" s="333"/>
      <c r="O32" s="333"/>
      <c r="P32" s="333"/>
      <c r="Q32" s="333"/>
      <c r="R32" s="333"/>
      <c r="S32" s="337"/>
      <c r="T32" s="492"/>
      <c r="U32" s="223"/>
      <c r="V32" s="223"/>
      <c r="W32" s="223"/>
      <c r="X32" s="223"/>
      <c r="Y32" s="223"/>
      <c r="Z32" s="223"/>
      <c r="AA32" s="223"/>
      <c r="AB32" s="223"/>
      <c r="AC32" s="223"/>
      <c r="AD32" s="223"/>
      <c r="AE32" s="223"/>
      <c r="AF32" s="223"/>
      <c r="AG32" s="223"/>
      <c r="AH32" s="223"/>
      <c r="AI32" s="223"/>
      <c r="AJ32" s="223"/>
      <c r="AK32" s="223"/>
      <c r="AL32" s="224"/>
    </row>
    <row r="33" spans="1:38" x14ac:dyDescent="0.2">
      <c r="A33" s="334"/>
      <c r="B33" s="333"/>
      <c r="C33" s="333"/>
      <c r="D33" s="333"/>
      <c r="E33" s="333"/>
      <c r="F33" s="333"/>
      <c r="G33" s="333"/>
      <c r="H33" s="333"/>
      <c r="I33" s="333"/>
      <c r="J33" s="333"/>
      <c r="K33" s="333"/>
      <c r="L33" s="333"/>
      <c r="M33" s="333"/>
      <c r="N33" s="333"/>
      <c r="O33" s="333"/>
      <c r="P33" s="333"/>
      <c r="Q33" s="333"/>
      <c r="R33" s="333"/>
      <c r="S33" s="337"/>
      <c r="T33" s="492"/>
      <c r="U33" s="223"/>
      <c r="V33" s="223"/>
      <c r="W33" s="223"/>
      <c r="X33" s="223"/>
      <c r="Y33" s="223"/>
      <c r="Z33" s="223"/>
      <c r="AA33" s="223"/>
      <c r="AB33" s="223"/>
      <c r="AC33" s="223"/>
      <c r="AD33" s="223"/>
      <c r="AE33" s="223"/>
      <c r="AF33" s="223"/>
      <c r="AG33" s="223"/>
      <c r="AH33" s="223"/>
      <c r="AI33" s="223"/>
      <c r="AJ33" s="223"/>
      <c r="AK33" s="223"/>
      <c r="AL33" s="224"/>
    </row>
    <row r="34" spans="1:38" x14ac:dyDescent="0.2">
      <c r="A34" s="334"/>
      <c r="B34" s="142" t="s">
        <v>299</v>
      </c>
      <c r="C34" s="333"/>
      <c r="D34" s="333"/>
      <c r="E34" s="333"/>
      <c r="F34" s="333"/>
      <c r="G34" s="333"/>
      <c r="H34" s="333"/>
      <c r="I34" s="333"/>
      <c r="J34" s="333"/>
      <c r="K34" s="333"/>
      <c r="L34" s="333"/>
      <c r="M34" s="333"/>
      <c r="N34" s="333"/>
      <c r="O34" s="333"/>
      <c r="P34" s="333"/>
      <c r="Q34" s="333"/>
      <c r="R34" s="333"/>
      <c r="S34" s="337"/>
      <c r="T34" s="492"/>
      <c r="U34" s="223"/>
      <c r="V34" s="270" t="s">
        <v>540</v>
      </c>
      <c r="W34" s="223"/>
      <c r="X34" s="223"/>
      <c r="Y34" s="223"/>
      <c r="Z34" s="223"/>
      <c r="AA34" s="223"/>
      <c r="AB34" s="223"/>
      <c r="AC34" s="223"/>
      <c r="AD34" s="223"/>
      <c r="AE34" s="223"/>
      <c r="AF34" s="223"/>
      <c r="AG34" s="223"/>
      <c r="AH34" s="223"/>
      <c r="AI34" s="223"/>
      <c r="AJ34" s="223"/>
      <c r="AK34" s="223"/>
      <c r="AL34" s="224"/>
    </row>
    <row r="35" spans="1:38" x14ac:dyDescent="0.2">
      <c r="A35" s="334"/>
      <c r="B35" s="142" t="s">
        <v>325</v>
      </c>
      <c r="C35" s="333"/>
      <c r="D35" s="333"/>
      <c r="E35" s="333"/>
      <c r="F35" s="333"/>
      <c r="G35" s="333"/>
      <c r="H35" s="333"/>
      <c r="I35" s="333"/>
      <c r="J35" s="333"/>
      <c r="K35" s="333"/>
      <c r="L35" s="333"/>
      <c r="M35" s="333"/>
      <c r="N35" s="333"/>
      <c r="O35" s="333"/>
      <c r="P35" s="333"/>
      <c r="Q35" s="333"/>
      <c r="R35" s="333"/>
      <c r="S35" s="337"/>
      <c r="T35" s="492"/>
      <c r="U35" s="223"/>
      <c r="V35" s="223"/>
      <c r="W35" s="223"/>
      <c r="X35" s="223"/>
      <c r="Y35" s="223"/>
      <c r="Z35" s="223"/>
      <c r="AA35" s="223"/>
      <c r="AB35" s="223"/>
      <c r="AC35" s="223"/>
      <c r="AD35" s="223"/>
      <c r="AE35" s="223"/>
      <c r="AF35" s="223"/>
      <c r="AG35" s="223"/>
      <c r="AH35" s="223"/>
      <c r="AI35" s="223"/>
      <c r="AJ35" s="223"/>
      <c r="AK35" s="223"/>
      <c r="AL35" s="224"/>
    </row>
    <row r="36" spans="1:38" x14ac:dyDescent="0.2">
      <c r="A36" s="334"/>
      <c r="B36" s="56"/>
      <c r="C36" s="333"/>
      <c r="D36" s="333"/>
      <c r="E36" s="333"/>
      <c r="F36" s="333"/>
      <c r="G36" s="333"/>
      <c r="H36" s="333"/>
      <c r="I36" s="333"/>
      <c r="J36" s="333"/>
      <c r="K36" s="333"/>
      <c r="L36" s="333"/>
      <c r="M36" s="333"/>
      <c r="N36" s="333"/>
      <c r="O36" s="333"/>
      <c r="P36" s="333"/>
      <c r="Q36" s="333"/>
      <c r="R36" s="333"/>
      <c r="S36" s="337"/>
      <c r="T36" s="492"/>
      <c r="U36" s="223"/>
      <c r="V36" s="223"/>
      <c r="W36" s="223"/>
      <c r="X36" s="223"/>
      <c r="Y36" s="223"/>
      <c r="Z36" s="223"/>
      <c r="AA36" s="223"/>
      <c r="AB36" s="223"/>
      <c r="AC36" s="223"/>
      <c r="AD36" s="223"/>
      <c r="AE36" s="223"/>
      <c r="AF36" s="223"/>
      <c r="AG36" s="223"/>
      <c r="AH36" s="223"/>
      <c r="AI36" s="223"/>
      <c r="AJ36" s="223"/>
      <c r="AK36" s="223"/>
      <c r="AL36" s="224"/>
    </row>
    <row r="37" spans="1:38" x14ac:dyDescent="0.2">
      <c r="A37" s="334"/>
      <c r="B37" s="493" t="s">
        <v>300</v>
      </c>
      <c r="C37" s="333"/>
      <c r="D37" s="333"/>
      <c r="E37" s="333"/>
      <c r="F37" s="333"/>
      <c r="G37" s="333"/>
      <c r="H37" s="333"/>
      <c r="I37" s="333"/>
      <c r="J37" s="333"/>
      <c r="K37" s="333"/>
      <c r="L37" s="333"/>
      <c r="M37" s="333"/>
      <c r="N37" s="333"/>
      <c r="O37" s="333"/>
      <c r="P37" s="333"/>
      <c r="Q37" s="333"/>
      <c r="R37" s="333"/>
      <c r="S37" s="337"/>
      <c r="T37" s="492"/>
      <c r="U37" s="223"/>
      <c r="V37" s="223"/>
      <c r="W37" s="223"/>
      <c r="X37" s="223"/>
      <c r="Y37" s="223"/>
      <c r="Z37" s="223"/>
      <c r="AA37" s="223"/>
      <c r="AB37" s="223"/>
      <c r="AC37" s="223"/>
      <c r="AD37" s="223"/>
      <c r="AE37" s="223"/>
      <c r="AF37" s="223"/>
      <c r="AG37" s="223"/>
      <c r="AH37" s="223"/>
      <c r="AI37" s="223"/>
      <c r="AJ37" s="223"/>
      <c r="AK37" s="223"/>
      <c r="AL37" s="224"/>
    </row>
    <row r="38" spans="1:38" x14ac:dyDescent="0.2">
      <c r="A38" s="334"/>
      <c r="B38" s="493" t="s">
        <v>301</v>
      </c>
      <c r="C38" s="333"/>
      <c r="D38" s="333"/>
      <c r="E38" s="333"/>
      <c r="F38" s="333"/>
      <c r="G38" s="333"/>
      <c r="H38" s="333"/>
      <c r="I38" s="333"/>
      <c r="J38" s="333"/>
      <c r="K38" s="333"/>
      <c r="L38" s="333"/>
      <c r="M38" s="333"/>
      <c r="N38" s="333"/>
      <c r="O38" s="333"/>
      <c r="P38" s="333"/>
      <c r="Q38" s="333"/>
      <c r="R38" s="333"/>
      <c r="S38" s="337"/>
      <c r="T38" s="492"/>
      <c r="U38" s="223"/>
      <c r="V38" s="223"/>
      <c r="W38" s="223"/>
      <c r="X38" s="223"/>
      <c r="Y38" s="223"/>
      <c r="Z38" s="223"/>
      <c r="AA38" s="223"/>
      <c r="AB38" s="223"/>
      <c r="AC38" s="223"/>
      <c r="AD38" s="223"/>
      <c r="AE38" s="223"/>
      <c r="AF38" s="223"/>
      <c r="AG38" s="223"/>
      <c r="AH38" s="223"/>
      <c r="AI38" s="223"/>
      <c r="AJ38" s="223"/>
      <c r="AK38" s="223"/>
      <c r="AL38" s="224"/>
    </row>
    <row r="39" spans="1:38" x14ac:dyDescent="0.2">
      <c r="A39" s="334"/>
      <c r="B39" s="333"/>
      <c r="C39" s="333"/>
      <c r="D39" s="333"/>
      <c r="E39" s="333"/>
      <c r="F39" s="333"/>
      <c r="G39" s="333"/>
      <c r="H39" s="333"/>
      <c r="I39" s="333"/>
      <c r="J39" s="333"/>
      <c r="K39" s="333"/>
      <c r="L39" s="333"/>
      <c r="M39" s="333"/>
      <c r="N39" s="333"/>
      <c r="O39" s="333"/>
      <c r="P39" s="333"/>
      <c r="Q39" s="333"/>
      <c r="R39" s="333"/>
      <c r="S39" s="337"/>
      <c r="T39" s="492"/>
      <c r="U39" s="223"/>
      <c r="V39" s="223"/>
      <c r="W39" s="223"/>
      <c r="X39" s="223"/>
      <c r="Y39" s="223"/>
      <c r="Z39" s="223"/>
      <c r="AA39" s="223"/>
      <c r="AB39" s="223"/>
      <c r="AC39" s="223"/>
      <c r="AD39" s="223"/>
      <c r="AE39" s="223"/>
      <c r="AF39" s="223"/>
      <c r="AG39" s="223"/>
      <c r="AH39" s="223"/>
      <c r="AI39" s="223"/>
      <c r="AJ39" s="223"/>
      <c r="AK39" s="223"/>
      <c r="AL39" s="224"/>
    </row>
    <row r="40" spans="1:38" x14ac:dyDescent="0.2">
      <c r="A40" s="334"/>
      <c r="B40" s="493" t="s">
        <v>304</v>
      </c>
      <c r="C40" s="333"/>
      <c r="D40" s="333"/>
      <c r="E40" s="333"/>
      <c r="F40" s="333"/>
      <c r="G40" s="333"/>
      <c r="H40" s="333"/>
      <c r="I40" s="333"/>
      <c r="J40" s="333"/>
      <c r="K40" s="333"/>
      <c r="L40" s="333"/>
      <c r="M40" s="333"/>
      <c r="N40" s="333"/>
      <c r="O40" s="333"/>
      <c r="P40" s="333"/>
      <c r="Q40" s="333"/>
      <c r="R40" s="333"/>
      <c r="S40" s="337"/>
      <c r="T40" s="492"/>
      <c r="U40" s="223"/>
      <c r="V40" s="223"/>
      <c r="W40" s="223"/>
      <c r="X40" s="223"/>
      <c r="Y40" s="223"/>
      <c r="Z40" s="223"/>
      <c r="AA40" s="223"/>
      <c r="AB40" s="223"/>
      <c r="AC40" s="223"/>
      <c r="AD40" s="223"/>
      <c r="AE40" s="223"/>
      <c r="AF40" s="223"/>
      <c r="AG40" s="223"/>
      <c r="AH40" s="223"/>
      <c r="AI40" s="223"/>
      <c r="AJ40" s="223"/>
      <c r="AK40" s="223"/>
      <c r="AL40" s="224"/>
    </row>
    <row r="41" spans="1:38" x14ac:dyDescent="0.2">
      <c r="A41" s="334"/>
      <c r="B41" s="493" t="s">
        <v>302</v>
      </c>
      <c r="C41" s="333"/>
      <c r="D41" s="333"/>
      <c r="E41" s="333"/>
      <c r="F41" s="333"/>
      <c r="G41" s="333"/>
      <c r="H41" s="333"/>
      <c r="I41" s="333"/>
      <c r="J41" s="333"/>
      <c r="K41" s="333"/>
      <c r="L41" s="333"/>
      <c r="M41" s="333"/>
      <c r="N41" s="333"/>
      <c r="O41" s="333"/>
      <c r="P41" s="333"/>
      <c r="Q41" s="333"/>
      <c r="R41" s="333"/>
      <c r="S41" s="337"/>
      <c r="T41" s="492"/>
      <c r="U41" s="223"/>
      <c r="V41" s="223"/>
      <c r="W41" s="223"/>
      <c r="X41" s="223"/>
      <c r="Y41" s="223"/>
      <c r="Z41" s="223"/>
      <c r="AA41" s="223"/>
      <c r="AB41" s="223"/>
      <c r="AC41" s="223"/>
      <c r="AD41" s="223"/>
      <c r="AE41" s="223"/>
      <c r="AF41" s="223"/>
      <c r="AG41" s="223"/>
      <c r="AH41" s="223"/>
      <c r="AI41" s="223"/>
      <c r="AJ41" s="223"/>
      <c r="AK41" s="223"/>
      <c r="AL41" s="224"/>
    </row>
    <row r="42" spans="1:38" x14ac:dyDescent="0.2">
      <c r="A42" s="334"/>
      <c r="B42" s="333"/>
      <c r="C42" s="333"/>
      <c r="D42" s="333"/>
      <c r="E42" s="333"/>
      <c r="F42" s="333"/>
      <c r="G42" s="333"/>
      <c r="H42" s="333"/>
      <c r="I42" s="333"/>
      <c r="J42" s="333"/>
      <c r="K42" s="333"/>
      <c r="L42" s="333"/>
      <c r="M42" s="333"/>
      <c r="N42" s="333"/>
      <c r="O42" s="333"/>
      <c r="P42" s="333"/>
      <c r="Q42" s="333"/>
      <c r="R42" s="333"/>
      <c r="S42" s="337"/>
      <c r="T42" s="492"/>
      <c r="U42" s="223"/>
      <c r="V42" s="223"/>
      <c r="W42" s="223"/>
      <c r="X42" s="223"/>
      <c r="Y42" s="223"/>
      <c r="Z42" s="223"/>
      <c r="AA42" s="223"/>
      <c r="AB42" s="223"/>
      <c r="AC42" s="223"/>
      <c r="AD42" s="223"/>
      <c r="AE42" s="223"/>
      <c r="AF42" s="223"/>
      <c r="AG42" s="223"/>
      <c r="AH42" s="223"/>
      <c r="AI42" s="223"/>
      <c r="AJ42" s="223"/>
      <c r="AK42" s="223"/>
      <c r="AL42" s="224"/>
    </row>
    <row r="43" spans="1:38" x14ac:dyDescent="0.2">
      <c r="A43" s="334"/>
      <c r="B43" s="493" t="s">
        <v>305</v>
      </c>
      <c r="C43" s="333"/>
      <c r="D43" s="333"/>
      <c r="E43" s="333"/>
      <c r="F43" s="333"/>
      <c r="G43" s="333"/>
      <c r="H43" s="333"/>
      <c r="I43" s="333"/>
      <c r="J43" s="333"/>
      <c r="K43" s="333"/>
      <c r="L43" s="333"/>
      <c r="M43" s="333"/>
      <c r="N43" s="333"/>
      <c r="O43" s="333"/>
      <c r="P43" s="333"/>
      <c r="Q43" s="333"/>
      <c r="R43" s="333"/>
      <c r="S43" s="337"/>
      <c r="T43" s="492"/>
      <c r="U43" s="223"/>
      <c r="V43" s="223"/>
      <c r="W43" s="223"/>
      <c r="X43" s="223"/>
      <c r="Y43" s="223"/>
      <c r="Z43" s="223"/>
      <c r="AA43" s="223"/>
      <c r="AB43" s="223"/>
      <c r="AC43" s="223"/>
      <c r="AD43" s="223"/>
      <c r="AE43" s="223"/>
      <c r="AF43" s="223"/>
      <c r="AG43" s="223"/>
      <c r="AH43" s="223"/>
      <c r="AI43" s="223"/>
      <c r="AJ43" s="223"/>
      <c r="AK43" s="223"/>
      <c r="AL43" s="224"/>
    </row>
    <row r="44" spans="1:38" x14ac:dyDescent="0.2">
      <c r="A44" s="334"/>
      <c r="B44" s="493" t="s">
        <v>306</v>
      </c>
      <c r="C44" s="333"/>
      <c r="D44" s="333"/>
      <c r="E44" s="333"/>
      <c r="F44" s="333"/>
      <c r="G44" s="333"/>
      <c r="H44" s="333"/>
      <c r="I44" s="333"/>
      <c r="J44" s="333"/>
      <c r="K44" s="333"/>
      <c r="L44" s="333"/>
      <c r="M44" s="333"/>
      <c r="N44" s="333"/>
      <c r="O44" s="333"/>
      <c r="P44" s="333"/>
      <c r="Q44" s="333"/>
      <c r="R44" s="333"/>
      <c r="S44" s="337"/>
      <c r="T44" s="492"/>
      <c r="U44" s="223"/>
      <c r="V44" s="223"/>
      <c r="W44" s="223"/>
      <c r="X44" s="223"/>
      <c r="Y44" s="223"/>
      <c r="Z44" s="223"/>
      <c r="AA44" s="223"/>
      <c r="AB44" s="223"/>
      <c r="AC44" s="223"/>
      <c r="AD44" s="223"/>
      <c r="AE44" s="223"/>
      <c r="AF44" s="223"/>
      <c r="AG44" s="223"/>
      <c r="AH44" s="223"/>
      <c r="AI44" s="223"/>
      <c r="AJ44" s="223"/>
      <c r="AK44" s="223"/>
      <c r="AL44" s="224"/>
    </row>
    <row r="45" spans="1:38" x14ac:dyDescent="0.2">
      <c r="A45" s="334"/>
      <c r="B45" s="493" t="s">
        <v>303</v>
      </c>
      <c r="C45" s="333"/>
      <c r="D45" s="333"/>
      <c r="E45" s="333"/>
      <c r="F45" s="333"/>
      <c r="G45" s="333"/>
      <c r="H45" s="333"/>
      <c r="I45" s="333"/>
      <c r="J45" s="333"/>
      <c r="K45" s="333"/>
      <c r="L45" s="333"/>
      <c r="M45" s="333"/>
      <c r="N45" s="333"/>
      <c r="O45" s="333"/>
      <c r="P45" s="333"/>
      <c r="Q45" s="333"/>
      <c r="R45" s="333"/>
      <c r="S45" s="337"/>
      <c r="T45" s="492"/>
      <c r="U45" s="223"/>
      <c r="V45" s="223"/>
      <c r="W45" s="223"/>
      <c r="X45" s="223"/>
      <c r="Y45" s="223"/>
      <c r="Z45" s="223"/>
      <c r="AA45" s="223"/>
      <c r="AB45" s="223"/>
      <c r="AC45" s="223"/>
      <c r="AD45" s="223"/>
      <c r="AE45" s="223"/>
      <c r="AF45" s="223"/>
      <c r="AG45" s="223"/>
      <c r="AH45" s="223"/>
      <c r="AI45" s="223"/>
      <c r="AJ45" s="223"/>
      <c r="AK45" s="223"/>
      <c r="AL45" s="224"/>
    </row>
    <row r="46" spans="1:38" x14ac:dyDescent="0.2">
      <c r="A46" s="334"/>
      <c r="B46" s="223"/>
      <c r="C46" s="223"/>
      <c r="D46" s="223"/>
      <c r="E46" s="223"/>
      <c r="F46" s="223"/>
      <c r="G46" s="223"/>
      <c r="H46" s="223"/>
      <c r="I46" s="223"/>
      <c r="J46" s="223"/>
      <c r="K46" s="223"/>
      <c r="L46" s="223"/>
      <c r="M46" s="223"/>
      <c r="N46" s="223"/>
      <c r="O46" s="223"/>
      <c r="P46" s="223"/>
      <c r="Q46" s="223"/>
      <c r="R46" s="223"/>
      <c r="S46" s="337"/>
      <c r="T46" s="492"/>
      <c r="U46" s="223"/>
      <c r="V46" s="223"/>
      <c r="W46" s="223"/>
      <c r="X46" s="223"/>
      <c r="Y46" s="223"/>
      <c r="Z46" s="223"/>
      <c r="AA46" s="223"/>
      <c r="AB46" s="223"/>
      <c r="AC46" s="223"/>
      <c r="AD46" s="223"/>
      <c r="AE46" s="223"/>
      <c r="AF46" s="223"/>
      <c r="AG46" s="223"/>
      <c r="AH46" s="223"/>
      <c r="AI46" s="223"/>
      <c r="AJ46" s="223"/>
      <c r="AK46" s="223"/>
      <c r="AL46" s="224"/>
    </row>
    <row r="47" spans="1:38" x14ac:dyDescent="0.2">
      <c r="A47" s="334"/>
      <c r="B47" s="493" t="s">
        <v>307</v>
      </c>
      <c r="C47" s="223"/>
      <c r="D47" s="223"/>
      <c r="E47" s="223"/>
      <c r="F47" s="223"/>
      <c r="G47" s="223"/>
      <c r="H47" s="223"/>
      <c r="I47" s="223"/>
      <c r="J47" s="223"/>
      <c r="K47" s="223"/>
      <c r="L47" s="223"/>
      <c r="M47" s="223"/>
      <c r="N47" s="223"/>
      <c r="O47" s="223"/>
      <c r="P47" s="223"/>
      <c r="Q47" s="223"/>
      <c r="R47" s="223"/>
      <c r="S47" s="337"/>
      <c r="T47" s="492"/>
      <c r="U47" s="223"/>
      <c r="V47" s="223"/>
      <c r="W47" s="223"/>
      <c r="X47" s="223"/>
      <c r="Y47" s="223"/>
      <c r="Z47" s="223"/>
      <c r="AA47" s="223"/>
      <c r="AB47" s="223"/>
      <c r="AC47" s="223"/>
      <c r="AD47" s="223"/>
      <c r="AE47" s="223"/>
      <c r="AF47" s="223"/>
      <c r="AG47" s="223"/>
      <c r="AH47" s="223"/>
      <c r="AI47" s="223"/>
      <c r="AJ47" s="223"/>
      <c r="AK47" s="223"/>
      <c r="AL47" s="224"/>
    </row>
    <row r="48" spans="1:38" x14ac:dyDescent="0.2">
      <c r="A48" s="334"/>
      <c r="B48" s="493" t="s">
        <v>308</v>
      </c>
      <c r="C48" s="223"/>
      <c r="D48" s="223"/>
      <c r="E48" s="223"/>
      <c r="F48" s="223"/>
      <c r="G48" s="223"/>
      <c r="H48" s="223"/>
      <c r="I48" s="223"/>
      <c r="J48" s="223"/>
      <c r="K48" s="223"/>
      <c r="L48" s="223"/>
      <c r="M48" s="223"/>
      <c r="N48" s="223"/>
      <c r="O48" s="223"/>
      <c r="P48" s="223"/>
      <c r="Q48" s="223"/>
      <c r="R48" s="223"/>
      <c r="S48" s="337"/>
      <c r="T48" s="492"/>
      <c r="U48" s="223"/>
      <c r="V48" s="223"/>
      <c r="W48" s="223"/>
      <c r="X48" s="223"/>
      <c r="Y48" s="223"/>
      <c r="Z48" s="223"/>
      <c r="AA48" s="223"/>
      <c r="AB48" s="223"/>
      <c r="AC48" s="223"/>
      <c r="AD48" s="223"/>
      <c r="AE48" s="223"/>
      <c r="AF48" s="223"/>
      <c r="AG48" s="223"/>
      <c r="AH48" s="223"/>
      <c r="AI48" s="223"/>
      <c r="AJ48" s="223"/>
      <c r="AK48" s="223"/>
      <c r="AL48" s="224"/>
    </row>
    <row r="49" spans="1:38" x14ac:dyDescent="0.2">
      <c r="A49" s="334"/>
      <c r="B49" s="223"/>
      <c r="C49" s="223"/>
      <c r="D49" s="223"/>
      <c r="E49" s="223"/>
      <c r="F49" s="223"/>
      <c r="G49" s="223"/>
      <c r="H49" s="223"/>
      <c r="I49" s="223"/>
      <c r="J49" s="223"/>
      <c r="K49" s="223"/>
      <c r="L49" s="223"/>
      <c r="M49" s="223"/>
      <c r="N49" s="223"/>
      <c r="O49" s="223"/>
      <c r="P49" s="223"/>
      <c r="Q49" s="223"/>
      <c r="R49" s="223"/>
      <c r="S49" s="337"/>
      <c r="T49" s="492"/>
      <c r="U49" s="223"/>
      <c r="V49" s="223"/>
      <c r="W49" s="223"/>
      <c r="X49" s="223"/>
      <c r="Y49" s="223"/>
      <c r="Z49" s="223"/>
      <c r="AA49" s="223"/>
      <c r="AB49" s="223"/>
      <c r="AC49" s="223"/>
      <c r="AD49" s="223"/>
      <c r="AE49" s="223"/>
      <c r="AF49" s="223"/>
      <c r="AG49" s="223"/>
      <c r="AH49" s="223"/>
      <c r="AI49" s="223"/>
      <c r="AJ49" s="223"/>
      <c r="AK49" s="223"/>
      <c r="AL49" s="224"/>
    </row>
    <row r="50" spans="1:38" x14ac:dyDescent="0.2">
      <c r="A50" s="334"/>
      <c r="B50" s="333"/>
      <c r="C50" s="333"/>
      <c r="D50" s="333"/>
      <c r="E50" s="333"/>
      <c r="F50" s="333"/>
      <c r="G50" s="333"/>
      <c r="H50" s="333"/>
      <c r="I50" s="333"/>
      <c r="J50" s="333"/>
      <c r="K50" s="333"/>
      <c r="L50" s="333"/>
      <c r="M50" s="333"/>
      <c r="N50" s="333"/>
      <c r="O50" s="333"/>
      <c r="P50" s="333"/>
      <c r="Q50" s="333"/>
      <c r="R50" s="333"/>
      <c r="S50" s="337"/>
      <c r="T50" s="492"/>
      <c r="U50" s="223"/>
      <c r="V50" s="223"/>
      <c r="W50" s="223"/>
      <c r="X50" s="223"/>
      <c r="Y50" s="223"/>
      <c r="Z50" s="223"/>
      <c r="AA50" s="223"/>
      <c r="AB50" s="223"/>
      <c r="AC50" s="223"/>
      <c r="AD50" s="223"/>
      <c r="AE50" s="223"/>
      <c r="AF50" s="223"/>
      <c r="AG50" s="223"/>
      <c r="AH50" s="223"/>
      <c r="AI50" s="223"/>
      <c r="AJ50" s="223"/>
      <c r="AK50" s="223"/>
      <c r="AL50" s="224"/>
    </row>
    <row r="51" spans="1:38" x14ac:dyDescent="0.2">
      <c r="A51" s="334"/>
      <c r="B51" s="333"/>
      <c r="C51" s="333"/>
      <c r="D51" s="333"/>
      <c r="E51" s="333"/>
      <c r="F51" s="333"/>
      <c r="G51" s="333"/>
      <c r="H51" s="333"/>
      <c r="I51" s="333"/>
      <c r="J51" s="333"/>
      <c r="K51" s="333"/>
      <c r="L51" s="333"/>
      <c r="M51" s="333"/>
      <c r="N51" s="333"/>
      <c r="O51" s="333"/>
      <c r="P51" s="333"/>
      <c r="Q51" s="333"/>
      <c r="R51" s="333"/>
      <c r="S51" s="337"/>
      <c r="T51" s="492"/>
      <c r="U51" s="223"/>
      <c r="V51" s="223"/>
      <c r="W51" s="223"/>
      <c r="X51" s="223"/>
      <c r="Y51" s="223"/>
      <c r="Z51" s="223"/>
      <c r="AA51" s="223"/>
      <c r="AB51" s="223"/>
      <c r="AC51" s="223"/>
      <c r="AD51" s="223"/>
      <c r="AE51" s="223"/>
      <c r="AF51" s="223"/>
      <c r="AG51" s="223"/>
      <c r="AH51" s="223"/>
      <c r="AI51" s="223"/>
      <c r="AJ51" s="223"/>
      <c r="AK51" s="223"/>
      <c r="AL51" s="224"/>
    </row>
    <row r="52" spans="1:38" x14ac:dyDescent="0.2">
      <c r="A52" s="334"/>
      <c r="B52" s="333"/>
      <c r="C52" s="333"/>
      <c r="D52" s="333"/>
      <c r="E52" s="333"/>
      <c r="F52" s="333"/>
      <c r="G52" s="333"/>
      <c r="H52" s="333"/>
      <c r="I52" s="333"/>
      <c r="J52" s="333"/>
      <c r="K52" s="333"/>
      <c r="L52" s="333"/>
      <c r="M52" s="333"/>
      <c r="N52" s="333"/>
      <c r="O52" s="333"/>
      <c r="P52" s="333"/>
      <c r="Q52" s="333"/>
      <c r="R52" s="333"/>
      <c r="S52" s="337"/>
      <c r="T52" s="492"/>
      <c r="U52" s="223"/>
      <c r="V52" s="223"/>
      <c r="W52" s="223"/>
      <c r="X52" s="223"/>
      <c r="Y52" s="223"/>
      <c r="Z52" s="223"/>
      <c r="AA52" s="223"/>
      <c r="AB52" s="223"/>
      <c r="AC52" s="223"/>
      <c r="AD52" s="223"/>
      <c r="AE52" s="223"/>
      <c r="AF52" s="223"/>
      <c r="AG52" s="223"/>
      <c r="AH52" s="223"/>
      <c r="AI52" s="223"/>
      <c r="AJ52" s="223"/>
      <c r="AK52" s="223"/>
      <c r="AL52" s="224"/>
    </row>
    <row r="53" spans="1:38" x14ac:dyDescent="0.2">
      <c r="A53" s="334"/>
      <c r="B53" s="333"/>
      <c r="C53" s="333"/>
      <c r="D53" s="333"/>
      <c r="E53" s="333"/>
      <c r="F53" s="333"/>
      <c r="G53" s="333"/>
      <c r="H53" s="333"/>
      <c r="I53" s="333"/>
      <c r="J53" s="333"/>
      <c r="K53" s="333"/>
      <c r="L53" s="333"/>
      <c r="M53" s="333"/>
      <c r="N53" s="333"/>
      <c r="O53" s="333"/>
      <c r="P53" s="333"/>
      <c r="Q53" s="333"/>
      <c r="R53" s="333"/>
      <c r="S53" s="337"/>
      <c r="T53" s="492"/>
      <c r="U53" s="223"/>
      <c r="V53" s="223"/>
      <c r="W53" s="223"/>
      <c r="X53" s="223"/>
      <c r="Y53" s="223"/>
      <c r="Z53" s="223"/>
      <c r="AA53" s="223"/>
      <c r="AB53" s="223"/>
      <c r="AC53" s="223"/>
      <c r="AD53" s="223"/>
      <c r="AE53" s="223"/>
      <c r="AF53" s="223"/>
      <c r="AG53" s="223"/>
      <c r="AH53" s="223"/>
      <c r="AI53" s="223"/>
      <c r="AJ53" s="223"/>
      <c r="AK53" s="223"/>
      <c r="AL53" s="224"/>
    </row>
    <row r="54" spans="1:38" x14ac:dyDescent="0.2">
      <c r="A54" s="334"/>
      <c r="B54" s="333"/>
      <c r="C54" s="333"/>
      <c r="D54" s="333"/>
      <c r="E54" s="333"/>
      <c r="F54" s="333"/>
      <c r="G54" s="333"/>
      <c r="H54" s="333"/>
      <c r="I54" s="333"/>
      <c r="J54" s="333"/>
      <c r="K54" s="333"/>
      <c r="L54" s="333"/>
      <c r="M54" s="333"/>
      <c r="N54" s="333"/>
      <c r="O54" s="333"/>
      <c r="P54" s="333"/>
      <c r="Q54" s="333"/>
      <c r="R54" s="333"/>
      <c r="S54" s="337"/>
      <c r="T54" s="492"/>
      <c r="U54" s="223"/>
      <c r="V54" s="223"/>
      <c r="W54" s="223"/>
      <c r="X54" s="223"/>
      <c r="Y54" s="223"/>
      <c r="Z54" s="223"/>
      <c r="AA54" s="223"/>
      <c r="AB54" s="223"/>
      <c r="AC54" s="223"/>
      <c r="AD54" s="223"/>
      <c r="AE54" s="223"/>
      <c r="AF54" s="223"/>
      <c r="AG54" s="223"/>
      <c r="AH54" s="223"/>
      <c r="AI54" s="223"/>
      <c r="AJ54" s="223"/>
      <c r="AK54" s="223"/>
      <c r="AL54" s="224"/>
    </row>
    <row r="55" spans="1:38" x14ac:dyDescent="0.2">
      <c r="A55" s="334"/>
      <c r="B55" s="493"/>
      <c r="C55" s="333"/>
      <c r="D55" s="333"/>
      <c r="E55" s="333"/>
      <c r="F55" s="333"/>
      <c r="G55" s="333"/>
      <c r="H55" s="333"/>
      <c r="I55" s="333"/>
      <c r="J55" s="333"/>
      <c r="K55" s="333"/>
      <c r="L55" s="333"/>
      <c r="M55" s="333"/>
      <c r="N55" s="333"/>
      <c r="O55" s="333"/>
      <c r="P55" s="333"/>
      <c r="Q55" s="333"/>
      <c r="R55" s="333"/>
      <c r="S55" s="337"/>
      <c r="T55" s="492"/>
      <c r="U55" s="223"/>
      <c r="V55" s="223"/>
      <c r="W55" s="223"/>
      <c r="X55" s="223"/>
      <c r="Y55" s="223"/>
      <c r="Z55" s="223"/>
      <c r="AA55" s="223"/>
      <c r="AB55" s="223"/>
      <c r="AC55" s="223"/>
      <c r="AD55" s="223"/>
      <c r="AE55" s="223"/>
      <c r="AF55" s="223"/>
      <c r="AG55" s="223"/>
      <c r="AH55" s="223"/>
      <c r="AI55" s="223"/>
      <c r="AJ55" s="223"/>
      <c r="AK55" s="223"/>
      <c r="AL55" s="224"/>
    </row>
    <row r="56" spans="1:38" x14ac:dyDescent="0.2">
      <c r="A56" s="334"/>
      <c r="B56" s="493"/>
      <c r="C56" s="333"/>
      <c r="D56" s="333"/>
      <c r="E56" s="333"/>
      <c r="F56" s="333"/>
      <c r="G56" s="333"/>
      <c r="H56" s="333"/>
      <c r="I56" s="333"/>
      <c r="J56" s="333"/>
      <c r="K56" s="333"/>
      <c r="L56" s="333"/>
      <c r="M56" s="333"/>
      <c r="N56" s="333"/>
      <c r="O56" s="333"/>
      <c r="P56" s="333"/>
      <c r="Q56" s="333"/>
      <c r="R56" s="333"/>
      <c r="S56" s="337"/>
      <c r="T56" s="492"/>
      <c r="U56" s="223"/>
      <c r="V56" s="223"/>
      <c r="W56" s="223"/>
      <c r="X56" s="223"/>
      <c r="Y56" s="223"/>
      <c r="Z56" s="223"/>
      <c r="AA56" s="223"/>
      <c r="AB56" s="223"/>
      <c r="AC56" s="223"/>
      <c r="AD56" s="223"/>
      <c r="AE56" s="223"/>
      <c r="AF56" s="223"/>
      <c r="AG56" s="223"/>
      <c r="AH56" s="223"/>
      <c r="AI56" s="223"/>
      <c r="AJ56" s="223"/>
      <c r="AK56" s="223"/>
      <c r="AL56" s="224"/>
    </row>
    <row r="57" spans="1:38" x14ac:dyDescent="0.2">
      <c r="A57" s="494"/>
      <c r="B57" s="339"/>
      <c r="C57" s="339"/>
      <c r="D57" s="339"/>
      <c r="E57" s="339"/>
      <c r="F57" s="339"/>
      <c r="G57" s="339"/>
      <c r="H57" s="339"/>
      <c r="I57" s="339"/>
      <c r="J57" s="339"/>
      <c r="K57" s="339"/>
      <c r="L57" s="339"/>
      <c r="M57" s="339"/>
      <c r="N57" s="339"/>
      <c r="O57" s="339"/>
      <c r="P57" s="339"/>
      <c r="Q57" s="339"/>
      <c r="R57" s="339"/>
      <c r="S57" s="341"/>
      <c r="T57" s="495"/>
      <c r="U57" s="226"/>
      <c r="V57" s="226"/>
      <c r="W57" s="226"/>
      <c r="X57" s="226"/>
      <c r="Y57" s="226"/>
      <c r="Z57" s="226"/>
      <c r="AA57" s="226"/>
      <c r="AB57" s="226"/>
      <c r="AC57" s="226"/>
      <c r="AD57" s="226"/>
      <c r="AE57" s="226"/>
      <c r="AF57" s="226"/>
      <c r="AG57" s="226"/>
      <c r="AH57" s="226"/>
      <c r="AI57" s="226"/>
      <c r="AJ57" s="226"/>
      <c r="AK57" s="226"/>
      <c r="AL57" s="227"/>
    </row>
  </sheetData>
  <sheetProtection password="E10F" sheet="1" objects="1" scenarios="1"/>
  <mergeCells count="1">
    <mergeCell ref="A1:S1"/>
  </mergeCells>
  <phoneticPr fontId="0" type="noConversion"/>
  <hyperlinks>
    <hyperlink ref="V34" location="'T2.15 T2.6 FBH S''pt Structure'!A1" display="BACK" xr:uid="{00000000-0004-0000-2900-000000000000}"/>
  </hyperlinks>
  <pageMargins left="0.39370078740157483" right="0.39370078740157483" top="0.39370078740157483" bottom="0.39370078740157483" header="0.51181102362204722" footer="0.51181102362204722"/>
  <pageSetup paperSize="9" scale="51" orientation="portrait" r:id="rId1"/>
  <headerFooter alignWithMargins="0"/>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0">
    <pageSetUpPr fitToPage="1"/>
  </sheetPr>
  <dimension ref="A1:AL57"/>
  <sheetViews>
    <sheetView showGridLines="0" view="pageBreakPreview" zoomScaleNormal="100" zoomScaleSheetLayoutView="100" workbookViewId="0">
      <selection activeCell="B3" sqref="B3"/>
    </sheetView>
  </sheetViews>
  <sheetFormatPr baseColWidth="10" defaultColWidth="9.140625" defaultRowHeight="12.75" x14ac:dyDescent="0.2"/>
  <cols>
    <col min="1" max="1" width="5" customWidth="1"/>
    <col min="2" max="2" width="6.28515625" customWidth="1"/>
    <col min="3" max="38" width="5" customWidth="1"/>
  </cols>
  <sheetData>
    <row r="1" spans="1:38" x14ac:dyDescent="0.2">
      <c r="A1" s="773" t="s">
        <v>544</v>
      </c>
      <c r="B1" s="773"/>
      <c r="C1" s="773"/>
      <c r="D1" s="773"/>
      <c r="E1" s="773"/>
      <c r="F1" s="773"/>
      <c r="G1" s="773"/>
      <c r="H1" s="773"/>
      <c r="I1" s="773"/>
      <c r="J1" s="773"/>
      <c r="K1" s="773"/>
      <c r="L1" s="773"/>
      <c r="M1" s="773"/>
      <c r="N1" s="773"/>
      <c r="O1" s="773"/>
      <c r="P1" s="773"/>
      <c r="Q1" s="773"/>
      <c r="R1" s="773"/>
      <c r="S1" s="773"/>
      <c r="T1" s="277"/>
      <c r="U1" s="278"/>
      <c r="V1" s="278"/>
      <c r="W1" s="278"/>
      <c r="X1" s="278"/>
      <c r="Y1" s="278"/>
      <c r="Z1" s="278"/>
      <c r="AA1" s="278"/>
      <c r="AB1" s="278"/>
      <c r="AC1" s="278"/>
      <c r="AD1" s="278"/>
      <c r="AE1" s="278"/>
      <c r="AF1" s="278"/>
      <c r="AG1" s="278"/>
      <c r="AH1" s="278"/>
      <c r="AI1" s="278"/>
      <c r="AJ1" s="278"/>
      <c r="AK1" s="278"/>
      <c r="AL1" s="279"/>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3"/>
    </row>
    <row r="3" spans="1:38" x14ac:dyDescent="0.2">
      <c r="A3" s="334"/>
      <c r="B3" s="493" t="s">
        <v>355</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3"/>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3"/>
    </row>
    <row r="5" spans="1:38" x14ac:dyDescent="0.2">
      <c r="A5" s="334"/>
      <c r="B5" s="493" t="s">
        <v>356</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3"/>
    </row>
    <row r="6" spans="1:38" x14ac:dyDescent="0.2">
      <c r="A6" s="334"/>
      <c r="B6" s="493"/>
      <c r="C6" s="333"/>
      <c r="D6" s="333"/>
      <c r="E6" s="333"/>
      <c r="F6" s="333"/>
      <c r="G6" s="333"/>
      <c r="H6" s="333"/>
      <c r="I6" s="333"/>
      <c r="J6" s="333"/>
      <c r="K6" s="333"/>
      <c r="L6" s="333"/>
      <c r="M6" s="333"/>
      <c r="N6" s="333"/>
      <c r="O6" s="333"/>
      <c r="P6" s="333"/>
      <c r="Q6" s="333"/>
      <c r="R6" s="333"/>
      <c r="S6" s="337"/>
      <c r="T6" s="271"/>
      <c r="U6" s="272"/>
      <c r="V6" s="272"/>
      <c r="W6" s="272"/>
      <c r="X6" s="272"/>
      <c r="Y6" s="272"/>
      <c r="Z6" s="272"/>
      <c r="AA6" s="272"/>
      <c r="AB6" s="272"/>
      <c r="AC6" s="272"/>
      <c r="AD6" s="272"/>
      <c r="AE6" s="272"/>
      <c r="AF6" s="272"/>
      <c r="AG6" s="272"/>
      <c r="AH6" s="272"/>
      <c r="AI6" s="272"/>
      <c r="AJ6" s="272"/>
      <c r="AK6" s="272"/>
      <c r="AL6" s="273"/>
    </row>
    <row r="7" spans="1:38" x14ac:dyDescent="0.2">
      <c r="A7" s="334"/>
      <c r="B7" s="493" t="s">
        <v>472</v>
      </c>
      <c r="C7" s="333"/>
      <c r="D7" s="333"/>
      <c r="E7" s="333"/>
      <c r="F7" s="333"/>
      <c r="G7" s="333"/>
      <c r="H7" s="333"/>
      <c r="I7" s="333"/>
      <c r="J7" s="333"/>
      <c r="K7" s="333"/>
      <c r="L7" s="336"/>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3"/>
    </row>
    <row r="8" spans="1:38" x14ac:dyDescent="0.2">
      <c r="A8" s="334"/>
      <c r="B8" s="56"/>
      <c r="C8" s="333"/>
      <c r="D8" s="333"/>
      <c r="E8" s="333"/>
      <c r="F8" s="333"/>
      <c r="G8" s="333"/>
      <c r="H8" s="333"/>
      <c r="I8" s="333"/>
      <c r="J8" s="333"/>
      <c r="K8" s="333"/>
      <c r="L8" s="333"/>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3"/>
    </row>
    <row r="9" spans="1:38" x14ac:dyDescent="0.2">
      <c r="A9" s="334"/>
      <c r="B9" s="493" t="s">
        <v>357</v>
      </c>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3"/>
    </row>
    <row r="10" spans="1:38" x14ac:dyDescent="0.2">
      <c r="A10" s="334"/>
      <c r="B10" s="493" t="s">
        <v>358</v>
      </c>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3"/>
    </row>
    <row r="11" spans="1:38" x14ac:dyDescent="0.2">
      <c r="A11" s="334"/>
      <c r="B11" s="56"/>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3"/>
    </row>
    <row r="12" spans="1:38" x14ac:dyDescent="0.2">
      <c r="A12" s="334"/>
      <c r="B12" s="493" t="s">
        <v>360</v>
      </c>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3"/>
    </row>
    <row r="13" spans="1:38" x14ac:dyDescent="0.2">
      <c r="A13" s="334"/>
      <c r="B13" s="56"/>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3"/>
    </row>
    <row r="14" spans="1:38" x14ac:dyDescent="0.2">
      <c r="A14" s="334"/>
      <c r="B14" s="498" t="s">
        <v>359</v>
      </c>
      <c r="C14" s="333"/>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3"/>
    </row>
    <row r="15" spans="1:38" x14ac:dyDescent="0.2">
      <c r="A15" s="334"/>
      <c r="B15" s="498" t="s">
        <v>361</v>
      </c>
      <c r="C15" s="333"/>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3"/>
    </row>
    <row r="16" spans="1:38" x14ac:dyDescent="0.2">
      <c r="A16" s="334"/>
      <c r="B16" s="499" t="s">
        <v>362</v>
      </c>
      <c r="C16" s="333"/>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3"/>
    </row>
    <row r="17" spans="1:38" x14ac:dyDescent="0.2">
      <c r="A17" s="334"/>
      <c r="B17" s="142"/>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3"/>
    </row>
    <row r="18" spans="1:38" x14ac:dyDescent="0.2">
      <c r="A18" s="334"/>
      <c r="B18" s="142" t="s">
        <v>363</v>
      </c>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3"/>
    </row>
    <row r="19" spans="1:38" x14ac:dyDescent="0.2">
      <c r="A19" s="334"/>
      <c r="B19" s="493"/>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3"/>
    </row>
    <row r="20" spans="1:38" x14ac:dyDescent="0.2">
      <c r="A20" s="334"/>
      <c r="B20" s="493" t="s">
        <v>364</v>
      </c>
      <c r="C20" s="49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3"/>
    </row>
    <row r="21" spans="1:38" x14ac:dyDescent="0.2">
      <c r="A21" s="334"/>
      <c r="B21" s="333"/>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3"/>
    </row>
    <row r="22" spans="1:38" x14ac:dyDescent="0.2">
      <c r="A22" s="334"/>
      <c r="B22" s="493" t="s">
        <v>365</v>
      </c>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3"/>
    </row>
    <row r="23" spans="1:38" x14ac:dyDescent="0.2">
      <c r="A23" s="334"/>
      <c r="B23" s="493"/>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3"/>
    </row>
    <row r="24" spans="1:38" x14ac:dyDescent="0.2">
      <c r="A24" s="334"/>
      <c r="B24" s="493" t="s">
        <v>360</v>
      </c>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3"/>
    </row>
    <row r="25" spans="1:38" x14ac:dyDescent="0.2">
      <c r="A25" s="334"/>
      <c r="B25" s="56"/>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3"/>
    </row>
    <row r="26" spans="1:38" x14ac:dyDescent="0.2">
      <c r="A26" s="334"/>
      <c r="B26" s="498" t="s">
        <v>366</v>
      </c>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3"/>
    </row>
    <row r="27" spans="1:38" x14ac:dyDescent="0.2">
      <c r="A27" s="334"/>
      <c r="B27" s="498" t="s">
        <v>367</v>
      </c>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3"/>
    </row>
    <row r="28" spans="1:38" x14ac:dyDescent="0.2">
      <c r="A28" s="334"/>
      <c r="B28" s="499" t="s">
        <v>368</v>
      </c>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3"/>
    </row>
    <row r="29" spans="1:38" x14ac:dyDescent="0.2">
      <c r="A29" s="334"/>
      <c r="B29" s="142"/>
      <c r="C29" s="33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3"/>
    </row>
    <row r="30" spans="1:38" x14ac:dyDescent="0.2">
      <c r="A30" s="334"/>
      <c r="B30" s="142"/>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3"/>
    </row>
    <row r="31" spans="1:38" x14ac:dyDescent="0.2">
      <c r="A31" s="334"/>
      <c r="B31" s="485" t="s">
        <v>540</v>
      </c>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3"/>
    </row>
    <row r="32" spans="1:38" x14ac:dyDescent="0.2">
      <c r="A32" s="334"/>
      <c r="B32" s="493"/>
      <c r="C32" s="49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3"/>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3"/>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3"/>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3"/>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3"/>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3"/>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3"/>
    </row>
    <row r="39" spans="1:38" x14ac:dyDescent="0.2">
      <c r="A39" s="334"/>
      <c r="B39" s="333"/>
      <c r="C39" s="333"/>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3"/>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3"/>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3"/>
    </row>
    <row r="42" spans="1:38" x14ac:dyDescent="0.2">
      <c r="A42" s="334"/>
      <c r="B42" s="333"/>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3"/>
    </row>
    <row r="43" spans="1:38" x14ac:dyDescent="0.2">
      <c r="A43" s="334"/>
      <c r="B43" s="333"/>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3"/>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3"/>
    </row>
    <row r="45" spans="1:38" x14ac:dyDescent="0.2">
      <c r="A45" s="334"/>
      <c r="B45" s="333"/>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3"/>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3"/>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3"/>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3"/>
    </row>
    <row r="49" spans="1:38" x14ac:dyDescent="0.2">
      <c r="A49" s="334"/>
      <c r="B49" s="33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3"/>
    </row>
    <row r="50" spans="1:38" x14ac:dyDescent="0.2">
      <c r="A50" s="334"/>
      <c r="B50" s="33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3"/>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3"/>
    </row>
    <row r="52" spans="1:38" x14ac:dyDescent="0.2">
      <c r="A52" s="334"/>
      <c r="B52" s="33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3"/>
    </row>
    <row r="53" spans="1:38" x14ac:dyDescent="0.2">
      <c r="A53" s="334"/>
      <c r="B53" s="33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3"/>
    </row>
    <row r="54" spans="1:38" x14ac:dyDescent="0.2">
      <c r="A54" s="334"/>
      <c r="B54" s="333"/>
      <c r="C54" s="333"/>
      <c r="D54" s="333"/>
      <c r="E54" s="333"/>
      <c r="F54" s="333"/>
      <c r="G54" s="333"/>
      <c r="H54" s="333"/>
      <c r="I54" s="333"/>
      <c r="J54" s="333"/>
      <c r="K54" s="333"/>
      <c r="L54" s="333"/>
      <c r="M54" s="333"/>
      <c r="N54" s="333"/>
      <c r="O54" s="333"/>
      <c r="P54" s="333"/>
      <c r="Q54" s="333"/>
      <c r="R54" s="333"/>
      <c r="S54" s="337"/>
      <c r="T54" s="271"/>
      <c r="U54" s="272"/>
      <c r="V54" s="272"/>
      <c r="W54" s="272"/>
      <c r="X54" s="272"/>
      <c r="Y54" s="272"/>
      <c r="Z54" s="272"/>
      <c r="AA54" s="272"/>
      <c r="AB54" s="272"/>
      <c r="AC54" s="272"/>
      <c r="AD54" s="272"/>
      <c r="AE54" s="272"/>
      <c r="AF54" s="272"/>
      <c r="AG54" s="272"/>
      <c r="AH54" s="272"/>
      <c r="AI54" s="272"/>
      <c r="AJ54" s="272"/>
      <c r="AK54" s="272"/>
      <c r="AL54" s="273"/>
    </row>
    <row r="55" spans="1:38" x14ac:dyDescent="0.2">
      <c r="A55" s="334"/>
      <c r="B55" s="493"/>
      <c r="C55" s="333"/>
      <c r="D55" s="333"/>
      <c r="E55" s="333"/>
      <c r="F55" s="333"/>
      <c r="G55" s="333"/>
      <c r="H55" s="333"/>
      <c r="I55" s="333"/>
      <c r="J55" s="333"/>
      <c r="K55" s="333"/>
      <c r="L55" s="333"/>
      <c r="M55" s="333"/>
      <c r="N55" s="333"/>
      <c r="O55" s="333"/>
      <c r="P55" s="333"/>
      <c r="Q55" s="333"/>
      <c r="R55" s="333"/>
      <c r="S55" s="337"/>
      <c r="T55" s="271"/>
      <c r="U55" s="272"/>
      <c r="V55" s="272"/>
      <c r="W55" s="272"/>
      <c r="X55" s="272"/>
      <c r="Y55" s="272"/>
      <c r="Z55" s="272"/>
      <c r="AA55" s="272"/>
      <c r="AB55" s="272"/>
      <c r="AC55" s="272"/>
      <c r="AD55" s="272"/>
      <c r="AE55" s="272"/>
      <c r="AF55" s="272"/>
      <c r="AG55" s="272"/>
      <c r="AH55" s="272"/>
      <c r="AI55" s="272"/>
      <c r="AJ55" s="272"/>
      <c r="AK55" s="272"/>
      <c r="AL55" s="273"/>
    </row>
    <row r="56" spans="1:38" x14ac:dyDescent="0.2">
      <c r="A56" s="334"/>
      <c r="B56" s="493"/>
      <c r="C56" s="333"/>
      <c r="D56" s="333"/>
      <c r="E56" s="333"/>
      <c r="F56" s="333"/>
      <c r="G56" s="333"/>
      <c r="H56" s="333"/>
      <c r="I56" s="333"/>
      <c r="J56" s="333"/>
      <c r="K56" s="333"/>
      <c r="L56" s="333"/>
      <c r="M56" s="333"/>
      <c r="N56" s="333"/>
      <c r="O56" s="333"/>
      <c r="P56" s="333"/>
      <c r="Q56" s="333"/>
      <c r="R56" s="333"/>
      <c r="S56" s="337"/>
      <c r="T56" s="271"/>
      <c r="U56" s="272"/>
      <c r="V56" s="272"/>
      <c r="W56" s="272"/>
      <c r="X56" s="272"/>
      <c r="Y56" s="272"/>
      <c r="Z56" s="272"/>
      <c r="AA56" s="272"/>
      <c r="AB56" s="272"/>
      <c r="AC56" s="272"/>
      <c r="AD56" s="272"/>
      <c r="AE56" s="272"/>
      <c r="AF56" s="272"/>
      <c r="AG56" s="272"/>
      <c r="AH56" s="272"/>
      <c r="AI56" s="272"/>
      <c r="AJ56" s="272"/>
      <c r="AK56" s="272"/>
      <c r="AL56" s="273"/>
    </row>
    <row r="57" spans="1:38" x14ac:dyDescent="0.2">
      <c r="A57" s="494"/>
      <c r="B57" s="339"/>
      <c r="C57" s="339"/>
      <c r="D57" s="339"/>
      <c r="E57" s="339"/>
      <c r="F57" s="339"/>
      <c r="G57" s="339"/>
      <c r="H57" s="339"/>
      <c r="I57" s="339"/>
      <c r="J57" s="339"/>
      <c r="K57" s="339"/>
      <c r="L57" s="339"/>
      <c r="M57" s="339"/>
      <c r="N57" s="339"/>
      <c r="O57" s="339"/>
      <c r="P57" s="339"/>
      <c r="Q57" s="339"/>
      <c r="R57" s="339"/>
      <c r="S57" s="341"/>
      <c r="T57" s="274"/>
      <c r="U57" s="275"/>
      <c r="V57" s="275"/>
      <c r="W57" s="275"/>
      <c r="X57" s="275"/>
      <c r="Y57" s="275"/>
      <c r="Z57" s="275"/>
      <c r="AA57" s="275"/>
      <c r="AB57" s="275"/>
      <c r="AC57" s="275"/>
      <c r="AD57" s="275"/>
      <c r="AE57" s="275"/>
      <c r="AF57" s="275"/>
      <c r="AG57" s="275"/>
      <c r="AH57" s="275"/>
      <c r="AI57" s="275"/>
      <c r="AJ57" s="275"/>
      <c r="AK57" s="275"/>
      <c r="AL57" s="276"/>
    </row>
  </sheetData>
  <sheetProtection password="E10F" sheet="1" objects="1" scenarios="1"/>
  <mergeCells count="1">
    <mergeCell ref="A1:S1"/>
  </mergeCells>
  <phoneticPr fontId="0" type="noConversion"/>
  <hyperlinks>
    <hyperlink ref="B31" location="'T2.20 IA AI Plate'!A1" display="BACK" xr:uid="{00000000-0004-0000-2A00-000000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pageSetUpPr fitToPage="1"/>
  </sheetPr>
  <dimension ref="A1:AL54"/>
  <sheetViews>
    <sheetView showGridLines="0" view="pageBreakPreview" zoomScaleNormal="100" zoomScaleSheetLayoutView="100" workbookViewId="0">
      <selection sqref="A1:S1"/>
    </sheetView>
  </sheetViews>
  <sheetFormatPr baseColWidth="10" defaultColWidth="9.140625" defaultRowHeight="12.75" x14ac:dyDescent="0.2"/>
  <cols>
    <col min="1" max="1" width="5" customWidth="1"/>
    <col min="2" max="2" width="5.85546875" customWidth="1"/>
    <col min="3" max="38" width="5" customWidth="1"/>
  </cols>
  <sheetData>
    <row r="1" spans="1:38" x14ac:dyDescent="0.2">
      <c r="A1" s="773" t="s">
        <v>543</v>
      </c>
      <c r="B1" s="773"/>
      <c r="C1" s="773"/>
      <c r="D1" s="773"/>
      <c r="E1" s="773"/>
      <c r="F1" s="773"/>
      <c r="G1" s="773"/>
      <c r="H1" s="773"/>
      <c r="I1" s="773"/>
      <c r="J1" s="773"/>
      <c r="K1" s="773"/>
      <c r="L1" s="773"/>
      <c r="M1" s="773"/>
      <c r="N1" s="773"/>
      <c r="O1" s="773"/>
      <c r="P1" s="773"/>
      <c r="Q1" s="773"/>
      <c r="R1" s="773"/>
      <c r="S1" s="773"/>
      <c r="T1" s="277"/>
      <c r="U1" s="278"/>
      <c r="V1" s="278"/>
      <c r="W1" s="278"/>
      <c r="X1" s="278"/>
      <c r="Y1" s="278"/>
      <c r="Z1" s="278"/>
      <c r="AA1" s="278"/>
      <c r="AB1" s="278"/>
      <c r="AC1" s="278"/>
      <c r="AD1" s="278"/>
      <c r="AE1" s="278"/>
      <c r="AF1" s="278"/>
      <c r="AG1" s="278"/>
      <c r="AH1" s="278"/>
      <c r="AI1" s="278"/>
      <c r="AJ1" s="278"/>
      <c r="AK1" s="278"/>
      <c r="AL1" s="279"/>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3"/>
    </row>
    <row r="3" spans="1:38" x14ac:dyDescent="0.2">
      <c r="A3" s="334"/>
      <c r="B3" s="493" t="s">
        <v>393</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3"/>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3"/>
    </row>
    <row r="5" spans="1:38" x14ac:dyDescent="0.2">
      <c r="A5" s="334"/>
      <c r="B5" s="500" t="s">
        <v>392</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3"/>
    </row>
    <row r="6" spans="1:38" x14ac:dyDescent="0.2">
      <c r="A6" s="334"/>
      <c r="B6" s="493"/>
      <c r="C6" s="333"/>
      <c r="D6" s="333"/>
      <c r="E6" s="333"/>
      <c r="F6" s="333"/>
      <c r="G6" s="333"/>
      <c r="H6" s="333"/>
      <c r="I6" s="333"/>
      <c r="J6" s="333"/>
      <c r="K6" s="333"/>
      <c r="L6" s="333"/>
      <c r="M6" s="333"/>
      <c r="N6" s="333"/>
      <c r="O6" s="333"/>
      <c r="P6" s="333"/>
      <c r="Q6" s="333"/>
      <c r="R6" s="333"/>
      <c r="S6" s="337"/>
      <c r="T6" s="271"/>
      <c r="U6" s="283"/>
      <c r="V6" s="272"/>
      <c r="W6" s="272"/>
      <c r="X6" s="272"/>
      <c r="Y6" s="272"/>
      <c r="Z6" s="272"/>
      <c r="AA6" s="272"/>
      <c r="AB6" s="272"/>
      <c r="AC6" s="272"/>
      <c r="AD6" s="272"/>
      <c r="AE6" s="272"/>
      <c r="AF6" s="272"/>
      <c r="AG6" s="272"/>
      <c r="AH6" s="272"/>
      <c r="AI6" s="272"/>
      <c r="AJ6" s="272"/>
      <c r="AK6" s="272"/>
      <c r="AL6" s="273"/>
    </row>
    <row r="7" spans="1:38" x14ac:dyDescent="0.2">
      <c r="A7" s="334"/>
      <c r="B7" s="493"/>
      <c r="C7" s="333"/>
      <c r="D7" s="333"/>
      <c r="E7" s="333"/>
      <c r="F7" s="333"/>
      <c r="G7" s="333"/>
      <c r="H7" s="333"/>
      <c r="I7" s="333"/>
      <c r="J7" s="333"/>
      <c r="K7" s="333"/>
      <c r="L7" s="336"/>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3"/>
    </row>
    <row r="8" spans="1:38" x14ac:dyDescent="0.2">
      <c r="A8" s="334"/>
      <c r="B8" s="493" t="s">
        <v>384</v>
      </c>
      <c r="C8" s="333"/>
      <c r="D8" s="333"/>
      <c r="E8" s="333"/>
      <c r="F8" s="333"/>
      <c r="G8" s="333"/>
      <c r="H8" s="333"/>
      <c r="I8" s="333"/>
      <c r="J8" s="333"/>
      <c r="K8" s="333"/>
      <c r="L8" s="333"/>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3"/>
    </row>
    <row r="9" spans="1:38" x14ac:dyDescent="0.2">
      <c r="A9" s="334"/>
      <c r="B9" s="493" t="s">
        <v>385</v>
      </c>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3"/>
    </row>
    <row r="10" spans="1:38" x14ac:dyDescent="0.2">
      <c r="A10" s="334"/>
      <c r="B10" s="493"/>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3"/>
    </row>
    <row r="11" spans="1:38" x14ac:dyDescent="0.2">
      <c r="A11" s="334"/>
      <c r="B11" s="493" t="s">
        <v>386</v>
      </c>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3"/>
    </row>
    <row r="12" spans="1:38" x14ac:dyDescent="0.2">
      <c r="A12" s="334"/>
      <c r="B12" s="493" t="s">
        <v>387</v>
      </c>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3"/>
    </row>
    <row r="13" spans="1:38" x14ac:dyDescent="0.2">
      <c r="A13" s="334"/>
      <c r="B13" s="56"/>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3"/>
    </row>
    <row r="14" spans="1:38" x14ac:dyDescent="0.2">
      <c r="A14" s="334"/>
      <c r="B14" s="498"/>
      <c r="C14" s="493" t="s">
        <v>388</v>
      </c>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3"/>
    </row>
    <row r="15" spans="1:38" x14ac:dyDescent="0.2">
      <c r="A15" s="334"/>
      <c r="B15" s="498"/>
      <c r="C15" s="493" t="s">
        <v>610</v>
      </c>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3"/>
    </row>
    <row r="16" spans="1:38" x14ac:dyDescent="0.2">
      <c r="A16" s="334"/>
      <c r="B16" s="499"/>
      <c r="C16" s="493" t="s">
        <v>389</v>
      </c>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3"/>
    </row>
    <row r="17" spans="1:38" x14ac:dyDescent="0.2">
      <c r="A17" s="334"/>
      <c r="B17" s="142"/>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3"/>
    </row>
    <row r="18" spans="1:38" x14ac:dyDescent="0.2">
      <c r="A18" s="334"/>
      <c r="B18" s="499" t="s">
        <v>390</v>
      </c>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3"/>
    </row>
    <row r="19" spans="1:38" x14ac:dyDescent="0.2">
      <c r="A19" s="334"/>
      <c r="B19" s="493" t="s">
        <v>391</v>
      </c>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3"/>
    </row>
    <row r="20" spans="1:38" x14ac:dyDescent="0.2">
      <c r="A20" s="334"/>
      <c r="B20" s="493"/>
      <c r="C20" s="33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3"/>
    </row>
    <row r="21" spans="1:38" x14ac:dyDescent="0.2">
      <c r="A21" s="334"/>
      <c r="B21" s="493" t="s">
        <v>434</v>
      </c>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3"/>
    </row>
    <row r="22" spans="1:38" x14ac:dyDescent="0.2">
      <c r="A22" s="334"/>
      <c r="B22" s="56"/>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3"/>
    </row>
    <row r="23" spans="1:38" x14ac:dyDescent="0.2">
      <c r="A23" s="334"/>
      <c r="B23" s="498"/>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3"/>
    </row>
    <row r="24" spans="1:38" x14ac:dyDescent="0.2">
      <c r="A24" s="334"/>
      <c r="B24" s="498"/>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3"/>
    </row>
    <row r="25" spans="1:38" x14ac:dyDescent="0.2">
      <c r="A25" s="334"/>
      <c r="B25" s="467" t="s">
        <v>540</v>
      </c>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3"/>
    </row>
    <row r="26" spans="1:38" x14ac:dyDescent="0.2">
      <c r="A26" s="334"/>
      <c r="B26" s="142"/>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3"/>
    </row>
    <row r="27" spans="1:38" x14ac:dyDescent="0.2">
      <c r="A27" s="334"/>
      <c r="B27" s="142"/>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3"/>
    </row>
    <row r="28" spans="1:38" x14ac:dyDescent="0.2">
      <c r="A28" s="334"/>
      <c r="B28" s="493"/>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3"/>
    </row>
    <row r="29" spans="1:38" x14ac:dyDescent="0.2">
      <c r="A29" s="334"/>
      <c r="B29" s="493"/>
      <c r="C29" s="49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3"/>
    </row>
    <row r="30" spans="1:38" x14ac:dyDescent="0.2">
      <c r="A30" s="334"/>
      <c r="B30" s="333"/>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3"/>
    </row>
    <row r="31" spans="1:38" x14ac:dyDescent="0.2">
      <c r="A31" s="334"/>
      <c r="B31" s="333"/>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3"/>
    </row>
    <row r="32" spans="1:38" x14ac:dyDescent="0.2">
      <c r="A32" s="334"/>
      <c r="B32" s="333"/>
      <c r="C32" s="33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3"/>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3"/>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3"/>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3"/>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3"/>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3"/>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3"/>
    </row>
    <row r="39" spans="1:38" x14ac:dyDescent="0.2">
      <c r="A39" s="334"/>
      <c r="B39" s="333"/>
      <c r="C39" s="333"/>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3"/>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3"/>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3"/>
    </row>
    <row r="42" spans="1:38" x14ac:dyDescent="0.2">
      <c r="A42" s="334"/>
      <c r="B42" s="333"/>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3"/>
    </row>
    <row r="43" spans="1:38" x14ac:dyDescent="0.2">
      <c r="A43" s="334"/>
      <c r="B43" s="333"/>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3"/>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3"/>
    </row>
    <row r="45" spans="1:38" x14ac:dyDescent="0.2">
      <c r="A45" s="334"/>
      <c r="B45" s="333"/>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3"/>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3"/>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3"/>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3"/>
    </row>
    <row r="49" spans="1:38" x14ac:dyDescent="0.2">
      <c r="A49" s="334"/>
      <c r="B49" s="33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3"/>
    </row>
    <row r="50" spans="1:38" x14ac:dyDescent="0.2">
      <c r="A50" s="334"/>
      <c r="B50" s="33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3"/>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3"/>
    </row>
    <row r="52" spans="1:38" x14ac:dyDescent="0.2">
      <c r="A52" s="334"/>
      <c r="B52" s="49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3"/>
    </row>
    <row r="53" spans="1:38" x14ac:dyDescent="0.2">
      <c r="A53" s="334"/>
      <c r="B53" s="49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3"/>
    </row>
    <row r="54" spans="1:38" x14ac:dyDescent="0.2">
      <c r="A54" s="494"/>
      <c r="B54" s="339"/>
      <c r="C54" s="339"/>
      <c r="D54" s="339"/>
      <c r="E54" s="339"/>
      <c r="F54" s="339"/>
      <c r="G54" s="339"/>
      <c r="H54" s="339"/>
      <c r="I54" s="339"/>
      <c r="J54" s="339"/>
      <c r="K54" s="339"/>
      <c r="L54" s="339"/>
      <c r="M54" s="339"/>
      <c r="N54" s="339"/>
      <c r="O54" s="339"/>
      <c r="P54" s="339"/>
      <c r="Q54" s="339"/>
      <c r="R54" s="339"/>
      <c r="S54" s="341"/>
      <c r="T54" s="274"/>
      <c r="U54" s="275"/>
      <c r="V54" s="275"/>
      <c r="W54" s="275"/>
      <c r="X54" s="275"/>
      <c r="Y54" s="275"/>
      <c r="Z54" s="275"/>
      <c r="AA54" s="275"/>
      <c r="AB54" s="275"/>
      <c r="AC54" s="275"/>
      <c r="AD54" s="275"/>
      <c r="AE54" s="275"/>
      <c r="AF54" s="275"/>
      <c r="AG54" s="275"/>
      <c r="AH54" s="275"/>
      <c r="AI54" s="275"/>
      <c r="AJ54" s="275"/>
      <c r="AK54" s="275"/>
      <c r="AL54" s="276"/>
    </row>
  </sheetData>
  <sheetProtection password="E10F" sheet="1" objects="1" scenarios="1"/>
  <mergeCells count="1">
    <mergeCell ref="A1:S1"/>
  </mergeCells>
  <phoneticPr fontId="0" type="noConversion"/>
  <hyperlinks>
    <hyperlink ref="B25" location="'T2.16.1 T2.16.2 SIS'!A1" display="BACK" xr:uid="{00000000-0004-0000-2B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1">
    <pageSetUpPr fitToPage="1"/>
  </sheetPr>
  <dimension ref="A1:AL57"/>
  <sheetViews>
    <sheetView showGridLines="0" view="pageBreakPreview" topLeftCell="A13" zoomScaleNormal="100" zoomScaleSheetLayoutView="100" workbookViewId="0">
      <selection activeCell="C39" sqref="C39"/>
    </sheetView>
  </sheetViews>
  <sheetFormatPr baseColWidth="10" defaultColWidth="9.140625" defaultRowHeight="12.75" x14ac:dyDescent="0.2"/>
  <cols>
    <col min="1" max="2" width="5" customWidth="1"/>
    <col min="3" max="3" width="6.5703125" customWidth="1"/>
    <col min="4" max="38" width="5" customWidth="1"/>
  </cols>
  <sheetData>
    <row r="1" spans="1:38" x14ac:dyDescent="0.2">
      <c r="A1" s="773" t="s">
        <v>602</v>
      </c>
      <c r="B1" s="773"/>
      <c r="C1" s="773"/>
      <c r="D1" s="773"/>
      <c r="E1" s="773"/>
      <c r="F1" s="773"/>
      <c r="G1" s="773"/>
      <c r="H1" s="773"/>
      <c r="I1" s="773"/>
      <c r="J1" s="773"/>
      <c r="K1" s="773"/>
      <c r="L1" s="773"/>
      <c r="M1" s="773"/>
      <c r="N1" s="773"/>
      <c r="O1" s="773"/>
      <c r="P1" s="773"/>
      <c r="Q1" s="773"/>
      <c r="R1" s="773"/>
      <c r="S1" s="773"/>
      <c r="T1" s="277"/>
      <c r="U1" s="278"/>
      <c r="V1" s="278"/>
      <c r="W1" s="278"/>
      <c r="X1" s="278"/>
      <c r="Y1" s="278"/>
      <c r="Z1" s="278"/>
      <c r="AA1" s="278"/>
      <c r="AB1" s="278"/>
      <c r="AC1" s="278"/>
      <c r="AD1" s="278"/>
      <c r="AE1" s="278"/>
      <c r="AF1" s="278"/>
      <c r="AG1" s="278"/>
      <c r="AH1" s="278"/>
      <c r="AI1" s="278"/>
      <c r="AJ1" s="278"/>
      <c r="AK1" s="278"/>
      <c r="AL1" s="279"/>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3"/>
    </row>
    <row r="3" spans="1:38" x14ac:dyDescent="0.2">
      <c r="A3" s="334"/>
      <c r="B3" s="493" t="s">
        <v>383</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3"/>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3"/>
    </row>
    <row r="5" spans="1:38" x14ac:dyDescent="0.2">
      <c r="A5" s="334"/>
      <c r="B5" s="493" t="s">
        <v>470</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3"/>
    </row>
    <row r="6" spans="1:38" x14ac:dyDescent="0.2">
      <c r="A6" s="334"/>
      <c r="B6" s="493" t="s">
        <v>471</v>
      </c>
      <c r="C6" s="333"/>
      <c r="D6" s="333"/>
      <c r="E6" s="333"/>
      <c r="F6" s="333"/>
      <c r="G6" s="333"/>
      <c r="H6" s="333"/>
      <c r="I6" s="333"/>
      <c r="J6" s="333"/>
      <c r="K6" s="333"/>
      <c r="L6" s="333"/>
      <c r="M6" s="333"/>
      <c r="N6" s="333"/>
      <c r="O6" s="333"/>
      <c r="P6" s="333"/>
      <c r="Q6" s="333"/>
      <c r="R6" s="333"/>
      <c r="S6" s="337"/>
      <c r="T6" s="271"/>
      <c r="U6" s="272"/>
      <c r="V6" s="272"/>
      <c r="W6" s="272"/>
      <c r="X6" s="272"/>
      <c r="Y6" s="272"/>
      <c r="Z6" s="272"/>
      <c r="AA6" s="272"/>
      <c r="AB6" s="272"/>
      <c r="AC6" s="272"/>
      <c r="AD6" s="272"/>
      <c r="AE6" s="272"/>
      <c r="AF6" s="272"/>
      <c r="AG6" s="272"/>
      <c r="AH6" s="272"/>
      <c r="AI6" s="272"/>
      <c r="AJ6" s="272"/>
      <c r="AK6" s="272"/>
      <c r="AL6" s="273"/>
    </row>
    <row r="7" spans="1:38" x14ac:dyDescent="0.2">
      <c r="A7" s="334"/>
      <c r="B7" s="493"/>
      <c r="C7" s="333"/>
      <c r="D7" s="333"/>
      <c r="E7" s="333"/>
      <c r="F7" s="333"/>
      <c r="G7" s="333"/>
      <c r="H7" s="333"/>
      <c r="I7" s="333"/>
      <c r="J7" s="333"/>
      <c r="K7" s="333"/>
      <c r="L7" s="336"/>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3"/>
    </row>
    <row r="8" spans="1:38" x14ac:dyDescent="0.2">
      <c r="A8" s="334"/>
      <c r="B8" s="56"/>
      <c r="C8" s="333"/>
      <c r="D8" s="333"/>
      <c r="E8" s="333"/>
      <c r="F8" s="333"/>
      <c r="G8" s="333"/>
      <c r="H8" s="333"/>
      <c r="I8" s="333"/>
      <c r="J8" s="333"/>
      <c r="K8" s="333"/>
      <c r="L8" s="333"/>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3"/>
    </row>
    <row r="9" spans="1:38" x14ac:dyDescent="0.2">
      <c r="A9" s="334"/>
      <c r="B9" s="493"/>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3"/>
    </row>
    <row r="10" spans="1:38" x14ac:dyDescent="0.2">
      <c r="A10" s="334"/>
      <c r="B10" s="493"/>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3"/>
    </row>
    <row r="11" spans="1:38" x14ac:dyDescent="0.2">
      <c r="A11" s="334"/>
      <c r="B11" s="56"/>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3"/>
    </row>
    <row r="12" spans="1:38" x14ac:dyDescent="0.2">
      <c r="A12" s="334"/>
      <c r="B12" s="493"/>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3"/>
    </row>
    <row r="13" spans="1:38" x14ac:dyDescent="0.2">
      <c r="A13" s="334"/>
      <c r="B13" s="56"/>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3"/>
    </row>
    <row r="14" spans="1:38" x14ac:dyDescent="0.2">
      <c r="A14" s="334"/>
      <c r="B14" s="498"/>
      <c r="C14" s="333"/>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3"/>
    </row>
    <row r="15" spans="1:38" x14ac:dyDescent="0.2">
      <c r="A15" s="334"/>
      <c r="B15" s="498"/>
      <c r="C15" s="333"/>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3"/>
    </row>
    <row r="16" spans="1:38" x14ac:dyDescent="0.2">
      <c r="A16" s="334"/>
      <c r="B16" s="499"/>
      <c r="C16" s="333"/>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3"/>
    </row>
    <row r="17" spans="1:38" x14ac:dyDescent="0.2">
      <c r="A17" s="334"/>
      <c r="B17" s="142"/>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3"/>
    </row>
    <row r="18" spans="1:38" x14ac:dyDescent="0.2">
      <c r="A18" s="334"/>
      <c r="B18" s="142"/>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3"/>
    </row>
    <row r="19" spans="1:38" x14ac:dyDescent="0.2">
      <c r="A19" s="334"/>
      <c r="B19" s="493"/>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3"/>
    </row>
    <row r="20" spans="1:38" x14ac:dyDescent="0.2">
      <c r="A20" s="334"/>
      <c r="B20" s="493"/>
      <c r="C20" s="49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3"/>
    </row>
    <row r="21" spans="1:38" x14ac:dyDescent="0.2">
      <c r="A21" s="334"/>
      <c r="B21" s="333"/>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3"/>
    </row>
    <row r="22" spans="1:38" x14ac:dyDescent="0.2">
      <c r="A22" s="334"/>
      <c r="B22" s="493"/>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3"/>
    </row>
    <row r="23" spans="1:38" x14ac:dyDescent="0.2">
      <c r="A23" s="334"/>
      <c r="B23" s="493"/>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3"/>
    </row>
    <row r="24" spans="1:38" x14ac:dyDescent="0.2">
      <c r="A24" s="334"/>
      <c r="B24" s="493"/>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3"/>
    </row>
    <row r="25" spans="1:38" x14ac:dyDescent="0.2">
      <c r="A25" s="334"/>
      <c r="B25" s="56"/>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3"/>
    </row>
    <row r="26" spans="1:38" x14ac:dyDescent="0.2">
      <c r="A26" s="334"/>
      <c r="B26" s="498"/>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3"/>
    </row>
    <row r="27" spans="1:38" x14ac:dyDescent="0.2">
      <c r="A27" s="334"/>
      <c r="B27" s="498"/>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3"/>
    </row>
    <row r="28" spans="1:38" x14ac:dyDescent="0.2">
      <c r="A28" s="334"/>
      <c r="B28" s="499"/>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3"/>
    </row>
    <row r="29" spans="1:38" x14ac:dyDescent="0.2">
      <c r="A29" s="334"/>
      <c r="B29" s="142"/>
      <c r="C29" s="33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3"/>
    </row>
    <row r="30" spans="1:38" x14ac:dyDescent="0.2">
      <c r="A30" s="334"/>
      <c r="B30" s="142"/>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3"/>
    </row>
    <row r="31" spans="1:38" x14ac:dyDescent="0.2">
      <c r="A31" s="334"/>
      <c r="B31" s="493"/>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3"/>
    </row>
    <row r="32" spans="1:38" x14ac:dyDescent="0.2">
      <c r="A32" s="334"/>
      <c r="B32" s="493"/>
      <c r="C32" s="49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3"/>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3"/>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3"/>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3"/>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3"/>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3"/>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3"/>
    </row>
    <row r="39" spans="1:38" x14ac:dyDescent="0.2">
      <c r="A39" s="334"/>
      <c r="B39" s="333"/>
      <c r="C39" s="484" t="s">
        <v>540</v>
      </c>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3"/>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3"/>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3"/>
    </row>
    <row r="42" spans="1:38" x14ac:dyDescent="0.2">
      <c r="A42" s="334"/>
      <c r="B42" s="333"/>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3"/>
    </row>
    <row r="43" spans="1:38" x14ac:dyDescent="0.2">
      <c r="A43" s="334"/>
      <c r="B43" s="333"/>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3"/>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3"/>
    </row>
    <row r="45" spans="1:38" x14ac:dyDescent="0.2">
      <c r="A45" s="334"/>
      <c r="B45" s="333"/>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3"/>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3"/>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3"/>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3"/>
    </row>
    <row r="49" spans="1:38" x14ac:dyDescent="0.2">
      <c r="A49" s="334"/>
      <c r="B49" s="33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3"/>
    </row>
    <row r="50" spans="1:38" x14ac:dyDescent="0.2">
      <c r="A50" s="334"/>
      <c r="B50" s="33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3"/>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3"/>
    </row>
    <row r="52" spans="1:38" x14ac:dyDescent="0.2">
      <c r="A52" s="334"/>
      <c r="B52" s="33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3"/>
    </row>
    <row r="53" spans="1:38" x14ac:dyDescent="0.2">
      <c r="A53" s="334"/>
      <c r="B53" s="33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3"/>
    </row>
    <row r="54" spans="1:38" x14ac:dyDescent="0.2">
      <c r="A54" s="334"/>
      <c r="B54" s="333"/>
      <c r="C54" s="333"/>
      <c r="D54" s="333"/>
      <c r="E54" s="333"/>
      <c r="F54" s="333"/>
      <c r="G54" s="333"/>
      <c r="H54" s="333"/>
      <c r="I54" s="333"/>
      <c r="J54" s="333"/>
      <c r="K54" s="333"/>
      <c r="L54" s="333"/>
      <c r="M54" s="333"/>
      <c r="N54" s="333"/>
      <c r="O54" s="333"/>
      <c r="P54" s="333"/>
      <c r="Q54" s="333"/>
      <c r="R54" s="333"/>
      <c r="S54" s="337"/>
      <c r="T54" s="271"/>
      <c r="U54" s="272"/>
      <c r="V54" s="272"/>
      <c r="W54" s="272"/>
      <c r="X54" s="272"/>
      <c r="Y54" s="272"/>
      <c r="Z54" s="272"/>
      <c r="AA54" s="272"/>
      <c r="AB54" s="272"/>
      <c r="AC54" s="272"/>
      <c r="AD54" s="272"/>
      <c r="AE54" s="272"/>
      <c r="AF54" s="272"/>
      <c r="AG54" s="272"/>
      <c r="AH54" s="272"/>
      <c r="AI54" s="272"/>
      <c r="AJ54" s="272"/>
      <c r="AK54" s="272"/>
      <c r="AL54" s="273"/>
    </row>
    <row r="55" spans="1:38" x14ac:dyDescent="0.2">
      <c r="A55" s="334"/>
      <c r="B55" s="493"/>
      <c r="C55" s="333"/>
      <c r="D55" s="333"/>
      <c r="E55" s="333"/>
      <c r="F55" s="333"/>
      <c r="G55" s="333"/>
      <c r="H55" s="333"/>
      <c r="I55" s="333"/>
      <c r="J55" s="333"/>
      <c r="K55" s="333"/>
      <c r="L55" s="333"/>
      <c r="M55" s="333"/>
      <c r="N55" s="333"/>
      <c r="O55" s="333"/>
      <c r="P55" s="333"/>
      <c r="Q55" s="333"/>
      <c r="R55" s="333"/>
      <c r="S55" s="337"/>
      <c r="T55" s="271"/>
      <c r="U55" s="272"/>
      <c r="V55" s="272"/>
      <c r="W55" s="272"/>
      <c r="X55" s="272"/>
      <c r="Y55" s="272"/>
      <c r="Z55" s="272"/>
      <c r="AA55" s="272"/>
      <c r="AB55" s="272"/>
      <c r="AC55" s="272"/>
      <c r="AD55" s="272"/>
      <c r="AE55" s="272"/>
      <c r="AF55" s="272"/>
      <c r="AG55" s="272"/>
      <c r="AH55" s="272"/>
      <c r="AI55" s="272"/>
      <c r="AJ55" s="272"/>
      <c r="AK55" s="272"/>
      <c r="AL55" s="273"/>
    </row>
    <row r="56" spans="1:38" x14ac:dyDescent="0.2">
      <c r="A56" s="334"/>
      <c r="B56" s="493"/>
      <c r="C56" s="333"/>
      <c r="D56" s="333"/>
      <c r="E56" s="333"/>
      <c r="F56" s="333"/>
      <c r="G56" s="333"/>
      <c r="H56" s="333"/>
      <c r="I56" s="333"/>
      <c r="J56" s="333"/>
      <c r="K56" s="333"/>
      <c r="L56" s="333"/>
      <c r="M56" s="333"/>
      <c r="N56" s="333"/>
      <c r="O56" s="333"/>
      <c r="P56" s="333"/>
      <c r="Q56" s="333"/>
      <c r="R56" s="333"/>
      <c r="S56" s="337"/>
      <c r="T56" s="271"/>
      <c r="U56" s="272"/>
      <c r="V56" s="272"/>
      <c r="W56" s="272"/>
      <c r="X56" s="272"/>
      <c r="Y56" s="272"/>
      <c r="Z56" s="272"/>
      <c r="AA56" s="272"/>
      <c r="AB56" s="272"/>
      <c r="AC56" s="272"/>
      <c r="AD56" s="272"/>
      <c r="AE56" s="272"/>
      <c r="AF56" s="272"/>
      <c r="AG56" s="272"/>
      <c r="AH56" s="272"/>
      <c r="AI56" s="272"/>
      <c r="AJ56" s="272"/>
      <c r="AK56" s="272"/>
      <c r="AL56" s="273"/>
    </row>
    <row r="57" spans="1:38" x14ac:dyDescent="0.2">
      <c r="A57" s="494"/>
      <c r="B57" s="339"/>
      <c r="C57" s="339"/>
      <c r="D57" s="339"/>
      <c r="E57" s="339"/>
      <c r="F57" s="339"/>
      <c r="G57" s="339"/>
      <c r="H57" s="339"/>
      <c r="I57" s="339"/>
      <c r="J57" s="339"/>
      <c r="K57" s="339"/>
      <c r="L57" s="339"/>
      <c r="M57" s="339"/>
      <c r="N57" s="339"/>
      <c r="O57" s="339"/>
      <c r="P57" s="339"/>
      <c r="Q57" s="339"/>
      <c r="R57" s="339"/>
      <c r="S57" s="341"/>
      <c r="T57" s="274"/>
      <c r="U57" s="275"/>
      <c r="V57" s="275"/>
      <c r="W57" s="275"/>
      <c r="X57" s="275"/>
      <c r="Y57" s="275"/>
      <c r="Z57" s="275"/>
      <c r="AA57" s="275"/>
      <c r="AB57" s="275"/>
      <c r="AC57" s="275"/>
      <c r="AD57" s="275"/>
      <c r="AE57" s="275"/>
      <c r="AF57" s="275"/>
      <c r="AG57" s="275"/>
      <c r="AH57" s="275"/>
      <c r="AI57" s="275"/>
      <c r="AJ57" s="275"/>
      <c r="AK57" s="275"/>
      <c r="AL57" s="276"/>
    </row>
  </sheetData>
  <sheetProtection password="E10F" sheet="1" objects="1" scenarios="1"/>
  <mergeCells count="1">
    <mergeCell ref="A1:S1"/>
  </mergeCells>
  <phoneticPr fontId="0" type="noConversion"/>
  <hyperlinks>
    <hyperlink ref="C39" location="'T2.6.9 Shear Tests'!A1" display="BACK" xr:uid="{00000000-0004-0000-2C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3">
    <pageSetUpPr fitToPage="1"/>
  </sheetPr>
  <dimension ref="A1:AL57"/>
  <sheetViews>
    <sheetView showGridLines="0" view="pageBreakPreview" zoomScaleNormal="100" zoomScaleSheetLayoutView="100" workbookViewId="0">
      <selection activeCell="AB30" sqref="AB30"/>
    </sheetView>
  </sheetViews>
  <sheetFormatPr baseColWidth="10" defaultColWidth="9.140625" defaultRowHeight="12.75" x14ac:dyDescent="0.2"/>
  <cols>
    <col min="1" max="27" width="5" customWidth="1"/>
    <col min="28" max="28" width="6.140625" customWidth="1"/>
    <col min="29" max="38" width="5" customWidth="1"/>
  </cols>
  <sheetData>
    <row r="1" spans="1:38" x14ac:dyDescent="0.2">
      <c r="A1" s="773" t="s">
        <v>549</v>
      </c>
      <c r="B1" s="773"/>
      <c r="C1" s="773"/>
      <c r="D1" s="773"/>
      <c r="E1" s="773"/>
      <c r="F1" s="773"/>
      <c r="G1" s="773"/>
      <c r="H1" s="773"/>
      <c r="I1" s="773"/>
      <c r="J1" s="773"/>
      <c r="K1" s="773"/>
      <c r="L1" s="773"/>
      <c r="M1" s="773"/>
      <c r="N1" s="773"/>
      <c r="O1" s="773"/>
      <c r="P1" s="773"/>
      <c r="Q1" s="773"/>
      <c r="R1" s="773"/>
      <c r="S1" s="773"/>
      <c r="T1" s="486"/>
      <c r="U1" s="487"/>
      <c r="V1" s="487"/>
      <c r="W1" s="487"/>
      <c r="X1" s="487"/>
      <c r="Y1" s="487"/>
      <c r="Z1" s="487"/>
      <c r="AA1" s="487"/>
      <c r="AB1" s="487"/>
      <c r="AC1" s="487"/>
      <c r="AD1" s="487"/>
      <c r="AE1" s="487"/>
      <c r="AF1" s="487"/>
      <c r="AG1" s="487"/>
      <c r="AH1" s="487"/>
      <c r="AI1" s="487"/>
      <c r="AJ1" s="487"/>
      <c r="AK1" s="487"/>
      <c r="AL1" s="488"/>
    </row>
    <row r="2" spans="1:38" x14ac:dyDescent="0.2">
      <c r="A2" s="501"/>
      <c r="B2" s="502"/>
      <c r="C2" s="502"/>
      <c r="D2" s="502"/>
      <c r="E2" s="502"/>
      <c r="F2" s="502"/>
      <c r="G2" s="502"/>
      <c r="H2" s="502"/>
      <c r="I2" s="502"/>
      <c r="J2" s="502"/>
      <c r="K2" s="502"/>
      <c r="L2" s="502"/>
      <c r="M2" s="502"/>
      <c r="N2" s="502"/>
      <c r="O2" s="502"/>
      <c r="P2" s="502"/>
      <c r="Q2" s="502"/>
      <c r="R2" s="502"/>
      <c r="S2" s="503"/>
      <c r="T2" s="492"/>
      <c r="U2" s="497" t="s">
        <v>486</v>
      </c>
      <c r="V2" s="223"/>
      <c r="W2" s="223"/>
      <c r="X2" s="223"/>
      <c r="Y2" s="223"/>
      <c r="Z2" s="223"/>
      <c r="AA2" s="223"/>
      <c r="AB2" s="223"/>
      <c r="AC2" s="223"/>
      <c r="AD2" s="223"/>
      <c r="AE2" s="223"/>
      <c r="AF2" s="223"/>
      <c r="AG2" s="223"/>
      <c r="AH2" s="223"/>
      <c r="AI2" s="223"/>
      <c r="AJ2" s="223"/>
      <c r="AK2" s="223"/>
      <c r="AL2" s="224"/>
    </row>
    <row r="3" spans="1:38" x14ac:dyDescent="0.2">
      <c r="A3" s="504"/>
      <c r="B3" s="493" t="s">
        <v>410</v>
      </c>
      <c r="C3" s="493"/>
      <c r="D3" s="493"/>
      <c r="E3" s="493"/>
      <c r="F3" s="493"/>
      <c r="G3" s="493"/>
      <c r="H3" s="493"/>
      <c r="I3" s="493"/>
      <c r="J3" s="493"/>
      <c r="K3" s="493"/>
      <c r="L3" s="493"/>
      <c r="M3" s="493"/>
      <c r="N3" s="493"/>
      <c r="O3" s="493"/>
      <c r="P3" s="493"/>
      <c r="Q3" s="493"/>
      <c r="R3" s="493"/>
      <c r="S3" s="505"/>
      <c r="T3" s="492"/>
      <c r="U3" s="497" t="s">
        <v>487</v>
      </c>
      <c r="V3" s="223"/>
      <c r="W3" s="223"/>
      <c r="X3" s="223"/>
      <c r="Y3" s="223"/>
      <c r="Z3" s="223"/>
      <c r="AA3" s="223"/>
      <c r="AB3" s="223"/>
      <c r="AC3" s="223"/>
      <c r="AD3" s="223"/>
      <c r="AE3" s="223"/>
      <c r="AF3" s="223"/>
      <c r="AG3" s="223"/>
      <c r="AH3" s="223"/>
      <c r="AI3" s="223"/>
      <c r="AJ3" s="223"/>
      <c r="AK3" s="223"/>
      <c r="AL3" s="224"/>
    </row>
    <row r="4" spans="1:38" x14ac:dyDescent="0.2">
      <c r="A4" s="504"/>
      <c r="B4" s="493" t="s">
        <v>413</v>
      </c>
      <c r="C4" s="493"/>
      <c r="D4" s="493"/>
      <c r="E4" s="493"/>
      <c r="F4" s="493"/>
      <c r="G4" s="493"/>
      <c r="H4" s="493"/>
      <c r="I4" s="493"/>
      <c r="J4" s="493"/>
      <c r="K4" s="493"/>
      <c r="L4" s="493"/>
      <c r="M4" s="493"/>
      <c r="N4" s="493"/>
      <c r="O4" s="493"/>
      <c r="P4" s="493"/>
      <c r="Q4" s="493"/>
      <c r="R4" s="493"/>
      <c r="S4" s="505"/>
      <c r="T4" s="492"/>
      <c r="U4" s="56"/>
      <c r="V4" s="223"/>
      <c r="W4" s="223"/>
      <c r="X4" s="223"/>
      <c r="Y4" s="223"/>
      <c r="Z4" s="223"/>
      <c r="AA4" s="223"/>
      <c r="AB4" s="223"/>
      <c r="AC4" s="223"/>
      <c r="AD4" s="223"/>
      <c r="AE4" s="223"/>
      <c r="AF4" s="223"/>
      <c r="AG4" s="223"/>
      <c r="AH4" s="223"/>
      <c r="AI4" s="223"/>
      <c r="AJ4" s="223"/>
      <c r="AK4" s="223"/>
      <c r="AL4" s="224"/>
    </row>
    <row r="5" spans="1:38" x14ac:dyDescent="0.2">
      <c r="A5" s="504"/>
      <c r="B5" s="56"/>
      <c r="C5" s="493"/>
      <c r="D5" s="493"/>
      <c r="E5" s="493"/>
      <c r="F5" s="493"/>
      <c r="G5" s="493"/>
      <c r="H5" s="493"/>
      <c r="I5" s="493"/>
      <c r="J5" s="493"/>
      <c r="K5" s="493"/>
      <c r="L5" s="493"/>
      <c r="M5" s="493"/>
      <c r="N5" s="493"/>
      <c r="O5" s="493"/>
      <c r="P5" s="493"/>
      <c r="Q5" s="493"/>
      <c r="R5" s="493"/>
      <c r="S5" s="505"/>
      <c r="T5" s="492"/>
      <c r="U5" s="497" t="s">
        <v>485</v>
      </c>
      <c r="V5" s="223"/>
      <c r="W5" s="223"/>
      <c r="X5" s="223"/>
      <c r="Y5" s="223"/>
      <c r="Z5" s="223"/>
      <c r="AA5" s="223"/>
      <c r="AB5" s="223"/>
      <c r="AC5" s="223"/>
      <c r="AD5" s="223"/>
      <c r="AE5" s="223"/>
      <c r="AF5" s="223"/>
      <c r="AG5" s="223"/>
      <c r="AH5" s="223"/>
      <c r="AI5" s="223"/>
      <c r="AJ5" s="223"/>
      <c r="AK5" s="223"/>
      <c r="AL5" s="224"/>
    </row>
    <row r="6" spans="1:38" x14ac:dyDescent="0.2">
      <c r="A6" s="504"/>
      <c r="B6" s="493" t="s">
        <v>414</v>
      </c>
      <c r="C6" s="493"/>
      <c r="D6" s="493"/>
      <c r="E6" s="493"/>
      <c r="F6" s="493"/>
      <c r="G6" s="493"/>
      <c r="H6" s="493"/>
      <c r="I6" s="493"/>
      <c r="J6" s="493"/>
      <c r="K6" s="493"/>
      <c r="L6" s="493"/>
      <c r="M6" s="493"/>
      <c r="N6" s="493"/>
      <c r="O6" s="493"/>
      <c r="P6" s="493"/>
      <c r="Q6" s="493"/>
      <c r="R6" s="493"/>
      <c r="S6" s="505"/>
      <c r="T6" s="492"/>
      <c r="U6" s="223"/>
      <c r="V6" s="223"/>
      <c r="W6" s="223"/>
      <c r="X6" s="223"/>
      <c r="Y6" s="223"/>
      <c r="Z6" s="223"/>
      <c r="AA6" s="223"/>
      <c r="AB6" s="223"/>
      <c r="AC6" s="223"/>
      <c r="AD6" s="223"/>
      <c r="AE6" s="223"/>
      <c r="AF6" s="223"/>
      <c r="AG6" s="223"/>
      <c r="AH6" s="223"/>
      <c r="AI6" s="223"/>
      <c r="AJ6" s="223"/>
      <c r="AK6" s="223"/>
      <c r="AL6" s="224"/>
    </row>
    <row r="7" spans="1:38" x14ac:dyDescent="0.2">
      <c r="A7" s="504"/>
      <c r="B7" s="493" t="s">
        <v>415</v>
      </c>
      <c r="C7" s="493"/>
      <c r="D7" s="493"/>
      <c r="E7" s="493"/>
      <c r="F7" s="493"/>
      <c r="G7" s="493"/>
      <c r="H7" s="493"/>
      <c r="I7" s="493"/>
      <c r="J7" s="493"/>
      <c r="K7" s="493"/>
      <c r="L7" s="493"/>
      <c r="M7" s="493"/>
      <c r="N7" s="493"/>
      <c r="O7" s="493"/>
      <c r="P7" s="493"/>
      <c r="Q7" s="493"/>
      <c r="R7" s="493"/>
      <c r="S7" s="505"/>
      <c r="T7" s="492"/>
      <c r="U7" s="223"/>
      <c r="V7" s="223"/>
      <c r="W7" s="223"/>
      <c r="X7" s="223"/>
      <c r="Y7" s="223"/>
      <c r="Z7" s="223"/>
      <c r="AA7" s="223"/>
      <c r="AB7" s="223"/>
      <c r="AC7" s="223"/>
      <c r="AD7" s="223"/>
      <c r="AE7" s="223"/>
      <c r="AF7" s="223"/>
      <c r="AG7" s="223"/>
      <c r="AH7" s="223"/>
      <c r="AI7" s="223"/>
      <c r="AJ7" s="223"/>
      <c r="AK7" s="223"/>
      <c r="AL7" s="224"/>
    </row>
    <row r="8" spans="1:38" x14ac:dyDescent="0.2">
      <c r="A8" s="504"/>
      <c r="B8" s="56"/>
      <c r="C8" s="493"/>
      <c r="D8" s="493"/>
      <c r="E8" s="493"/>
      <c r="F8" s="493"/>
      <c r="G8" s="493"/>
      <c r="H8" s="493"/>
      <c r="I8" s="493"/>
      <c r="J8" s="493"/>
      <c r="K8" s="493"/>
      <c r="L8" s="493"/>
      <c r="M8" s="493"/>
      <c r="N8" s="493"/>
      <c r="O8" s="493"/>
      <c r="P8" s="493"/>
      <c r="Q8" s="493"/>
      <c r="R8" s="493"/>
      <c r="S8" s="505"/>
      <c r="T8" s="492"/>
      <c r="U8" s="223"/>
      <c r="V8" s="223"/>
      <c r="W8" s="223"/>
      <c r="X8" s="223"/>
      <c r="Y8" s="223"/>
      <c r="Z8" s="223"/>
      <c r="AA8" s="223"/>
      <c r="AB8" s="223"/>
      <c r="AC8" s="223"/>
      <c r="AD8" s="223"/>
      <c r="AE8" s="223"/>
      <c r="AF8" s="223"/>
      <c r="AG8" s="223"/>
      <c r="AH8" s="223"/>
      <c r="AI8" s="223"/>
      <c r="AJ8" s="223"/>
      <c r="AK8" s="223"/>
      <c r="AL8" s="224"/>
    </row>
    <row r="9" spans="1:38" x14ac:dyDescent="0.2">
      <c r="A9" s="504"/>
      <c r="B9" s="493" t="s">
        <v>416</v>
      </c>
      <c r="C9" s="493"/>
      <c r="D9" s="493" t="s">
        <v>431</v>
      </c>
      <c r="E9" s="493"/>
      <c r="F9" s="493"/>
      <c r="G9" s="493"/>
      <c r="H9" s="493"/>
      <c r="I9" s="493"/>
      <c r="J9" s="493"/>
      <c r="K9" s="493"/>
      <c r="L9" s="493"/>
      <c r="M9" s="493"/>
      <c r="N9" s="493"/>
      <c r="O9" s="493"/>
      <c r="P9" s="493"/>
      <c r="Q9" s="493"/>
      <c r="R9" s="493"/>
      <c r="S9" s="505"/>
      <c r="T9" s="492"/>
      <c r="U9" s="223"/>
      <c r="V9" s="223"/>
      <c r="W9" s="223"/>
      <c r="X9" s="223"/>
      <c r="Y9" s="223"/>
      <c r="Z9" s="223"/>
      <c r="AA9" s="223"/>
      <c r="AB9" s="223"/>
      <c r="AC9" s="223"/>
      <c r="AD9" s="223"/>
      <c r="AE9" s="223"/>
      <c r="AF9" s="223"/>
      <c r="AG9" s="223"/>
      <c r="AH9" s="223"/>
      <c r="AI9" s="223"/>
      <c r="AJ9" s="223"/>
      <c r="AK9" s="223"/>
      <c r="AL9" s="224"/>
    </row>
    <row r="10" spans="1:38" x14ac:dyDescent="0.2">
      <c r="A10" s="504"/>
      <c r="B10" s="493" t="s">
        <v>417</v>
      </c>
      <c r="C10" s="493"/>
      <c r="D10" s="142" t="s">
        <v>425</v>
      </c>
      <c r="E10" s="493"/>
      <c r="F10" s="493"/>
      <c r="G10" s="493"/>
      <c r="H10" s="493"/>
      <c r="I10" s="493"/>
      <c r="J10" s="493"/>
      <c r="K10" s="493"/>
      <c r="L10" s="493"/>
      <c r="M10" s="493"/>
      <c r="N10" s="493"/>
      <c r="O10" s="493"/>
      <c r="P10" s="493"/>
      <c r="Q10" s="493"/>
      <c r="R10" s="493"/>
      <c r="S10" s="505"/>
      <c r="T10" s="492"/>
      <c r="U10" s="223"/>
      <c r="V10" s="223"/>
      <c r="W10" s="223"/>
      <c r="X10" s="223"/>
      <c r="Y10" s="223"/>
      <c r="Z10" s="223"/>
      <c r="AA10" s="223"/>
      <c r="AB10" s="223"/>
      <c r="AC10" s="223"/>
      <c r="AD10" s="223"/>
      <c r="AE10" s="223"/>
      <c r="AF10" s="223"/>
      <c r="AG10" s="223"/>
      <c r="AH10" s="223"/>
      <c r="AI10" s="223"/>
      <c r="AJ10" s="223"/>
      <c r="AK10" s="223"/>
      <c r="AL10" s="224"/>
    </row>
    <row r="11" spans="1:38" x14ac:dyDescent="0.2">
      <c r="A11" s="504"/>
      <c r="B11" s="493" t="s">
        <v>418</v>
      </c>
      <c r="C11" s="493"/>
      <c r="D11" s="493" t="s">
        <v>424</v>
      </c>
      <c r="E11" s="493"/>
      <c r="F11" s="493"/>
      <c r="G11" s="493"/>
      <c r="H11" s="493"/>
      <c r="I11" s="493"/>
      <c r="J11" s="493"/>
      <c r="K11" s="493"/>
      <c r="L11" s="493"/>
      <c r="M11" s="493"/>
      <c r="N11" s="493"/>
      <c r="O11" s="493"/>
      <c r="P11" s="493"/>
      <c r="Q11" s="493"/>
      <c r="R11" s="493"/>
      <c r="S11" s="505"/>
      <c r="T11" s="492"/>
      <c r="U11" s="223"/>
      <c r="V11" s="223"/>
      <c r="W11" s="223"/>
      <c r="X11" s="223"/>
      <c r="Y11" s="223"/>
      <c r="Z11" s="223"/>
      <c r="AA11" s="223"/>
      <c r="AB11" s="223"/>
      <c r="AC11" s="223"/>
      <c r="AD11" s="223"/>
      <c r="AE11" s="223"/>
      <c r="AF11" s="223"/>
      <c r="AG11" s="223"/>
      <c r="AH11" s="223"/>
      <c r="AI11" s="223"/>
      <c r="AJ11" s="223"/>
      <c r="AK11" s="223"/>
      <c r="AL11" s="224"/>
    </row>
    <row r="12" spans="1:38" x14ac:dyDescent="0.2">
      <c r="A12" s="504"/>
      <c r="B12" s="493" t="s">
        <v>419</v>
      </c>
      <c r="C12" s="493"/>
      <c r="D12" s="493" t="s">
        <v>426</v>
      </c>
      <c r="E12" s="493"/>
      <c r="F12" s="493"/>
      <c r="G12" s="493"/>
      <c r="H12" s="493"/>
      <c r="I12" s="493"/>
      <c r="J12" s="493"/>
      <c r="K12" s="493"/>
      <c r="L12" s="493"/>
      <c r="M12" s="493"/>
      <c r="N12" s="493"/>
      <c r="O12" s="493"/>
      <c r="P12" s="493"/>
      <c r="Q12" s="493"/>
      <c r="R12" s="493"/>
      <c r="S12" s="505"/>
      <c r="T12" s="492"/>
      <c r="U12" s="223"/>
      <c r="V12" s="223"/>
      <c r="W12" s="223"/>
      <c r="X12" s="223"/>
      <c r="Y12" s="223"/>
      <c r="Z12" s="223"/>
      <c r="AA12" s="223"/>
      <c r="AB12" s="223"/>
      <c r="AC12" s="223"/>
      <c r="AD12" s="223"/>
      <c r="AE12" s="223"/>
      <c r="AF12" s="223"/>
      <c r="AG12" s="223"/>
      <c r="AH12" s="223"/>
      <c r="AI12" s="223"/>
      <c r="AJ12" s="223"/>
      <c r="AK12" s="223"/>
      <c r="AL12" s="224"/>
    </row>
    <row r="13" spans="1:38" x14ac:dyDescent="0.2">
      <c r="A13" s="504"/>
      <c r="B13" s="142" t="s">
        <v>420</v>
      </c>
      <c r="C13" s="493"/>
      <c r="D13" s="493" t="s">
        <v>427</v>
      </c>
      <c r="E13" s="493"/>
      <c r="F13" s="493"/>
      <c r="G13" s="493"/>
      <c r="H13" s="493"/>
      <c r="I13" s="493"/>
      <c r="J13" s="493"/>
      <c r="K13" s="493"/>
      <c r="L13" s="493"/>
      <c r="M13" s="493"/>
      <c r="N13" s="493"/>
      <c r="O13" s="493"/>
      <c r="P13" s="493"/>
      <c r="Q13" s="493"/>
      <c r="R13" s="493"/>
      <c r="S13" s="505"/>
      <c r="T13" s="492"/>
      <c r="U13" s="223"/>
      <c r="V13" s="223"/>
      <c r="W13" s="223"/>
      <c r="X13" s="223"/>
      <c r="Y13" s="223"/>
      <c r="Z13" s="223"/>
      <c r="AA13" s="223"/>
      <c r="AB13" s="223"/>
      <c r="AC13" s="223"/>
      <c r="AD13" s="223"/>
      <c r="AE13" s="223"/>
      <c r="AF13" s="223"/>
      <c r="AG13" s="223"/>
      <c r="AH13" s="223"/>
      <c r="AI13" s="223"/>
      <c r="AJ13" s="223"/>
      <c r="AK13" s="223"/>
      <c r="AL13" s="224"/>
    </row>
    <row r="14" spans="1:38" x14ac:dyDescent="0.2">
      <c r="A14" s="504"/>
      <c r="B14" s="498" t="s">
        <v>421</v>
      </c>
      <c r="C14" s="493"/>
      <c r="D14" s="493" t="s">
        <v>428</v>
      </c>
      <c r="E14" s="493"/>
      <c r="F14" s="493"/>
      <c r="G14" s="493"/>
      <c r="H14" s="493"/>
      <c r="I14" s="493"/>
      <c r="J14" s="493"/>
      <c r="K14" s="493"/>
      <c r="L14" s="493"/>
      <c r="M14" s="493"/>
      <c r="N14" s="493"/>
      <c r="O14" s="493"/>
      <c r="P14" s="493"/>
      <c r="Q14" s="493"/>
      <c r="R14" s="493"/>
      <c r="S14" s="505"/>
      <c r="T14" s="492"/>
      <c r="U14" s="223"/>
      <c r="V14" s="223"/>
      <c r="W14" s="223"/>
      <c r="X14" s="223"/>
      <c r="Y14" s="223"/>
      <c r="Z14" s="223"/>
      <c r="AA14" s="223"/>
      <c r="AB14" s="223"/>
      <c r="AC14" s="223"/>
      <c r="AD14" s="223"/>
      <c r="AE14" s="223"/>
      <c r="AF14" s="223"/>
      <c r="AG14" s="223"/>
      <c r="AH14" s="223"/>
      <c r="AI14" s="223"/>
      <c r="AJ14" s="223"/>
      <c r="AK14" s="223"/>
      <c r="AL14" s="224"/>
    </row>
    <row r="15" spans="1:38" x14ac:dyDescent="0.2">
      <c r="A15" s="504"/>
      <c r="B15" s="498" t="s">
        <v>422</v>
      </c>
      <c r="C15" s="493"/>
      <c r="D15" s="493" t="s">
        <v>429</v>
      </c>
      <c r="E15" s="493"/>
      <c r="F15" s="493"/>
      <c r="G15" s="493"/>
      <c r="H15" s="493"/>
      <c r="I15" s="493"/>
      <c r="J15" s="493"/>
      <c r="K15" s="493"/>
      <c r="L15" s="493"/>
      <c r="M15" s="493"/>
      <c r="N15" s="493"/>
      <c r="O15" s="493"/>
      <c r="P15" s="493"/>
      <c r="Q15" s="493"/>
      <c r="R15" s="493"/>
      <c r="S15" s="505"/>
      <c r="T15" s="492"/>
      <c r="U15" s="223"/>
      <c r="V15" s="223"/>
      <c r="W15" s="223"/>
      <c r="X15" s="223"/>
      <c r="Y15" s="223"/>
      <c r="Z15" s="223"/>
      <c r="AA15" s="223"/>
      <c r="AB15" s="223"/>
      <c r="AC15" s="223"/>
      <c r="AD15" s="223"/>
      <c r="AE15" s="223"/>
      <c r="AF15" s="223"/>
      <c r="AG15" s="223"/>
      <c r="AH15" s="223"/>
      <c r="AI15" s="223"/>
      <c r="AJ15" s="223"/>
      <c r="AK15" s="223"/>
      <c r="AL15" s="224"/>
    </row>
    <row r="16" spans="1:38" x14ac:dyDescent="0.2">
      <c r="A16" s="504"/>
      <c r="B16" s="499" t="s">
        <v>423</v>
      </c>
      <c r="C16" s="493"/>
      <c r="D16" s="493" t="s">
        <v>430</v>
      </c>
      <c r="E16" s="493"/>
      <c r="F16" s="493"/>
      <c r="G16" s="493"/>
      <c r="H16" s="493"/>
      <c r="I16" s="493"/>
      <c r="J16" s="493"/>
      <c r="K16" s="493"/>
      <c r="L16" s="493"/>
      <c r="M16" s="493"/>
      <c r="N16" s="493"/>
      <c r="O16" s="493"/>
      <c r="P16" s="493"/>
      <c r="Q16" s="493"/>
      <c r="R16" s="493"/>
      <c r="S16" s="505"/>
      <c r="T16" s="492"/>
      <c r="U16" s="223"/>
      <c r="V16" s="223"/>
      <c r="W16" s="223"/>
      <c r="X16" s="223"/>
      <c r="Y16" s="223"/>
      <c r="Z16" s="223"/>
      <c r="AA16" s="223"/>
      <c r="AB16" s="223"/>
      <c r="AC16" s="223"/>
      <c r="AD16" s="223"/>
      <c r="AE16" s="223"/>
      <c r="AF16" s="223"/>
      <c r="AG16" s="223"/>
      <c r="AH16" s="223"/>
      <c r="AI16" s="223"/>
      <c r="AJ16" s="223"/>
      <c r="AK16" s="223"/>
      <c r="AL16" s="224"/>
    </row>
    <row r="17" spans="1:38" x14ac:dyDescent="0.2">
      <c r="A17" s="504"/>
      <c r="B17" s="142" t="s">
        <v>500</v>
      </c>
      <c r="C17" s="493"/>
      <c r="D17" s="493" t="s">
        <v>528</v>
      </c>
      <c r="E17" s="493"/>
      <c r="F17" s="493"/>
      <c r="G17" s="493"/>
      <c r="H17" s="493"/>
      <c r="I17" s="493"/>
      <c r="J17" s="493"/>
      <c r="K17" s="493"/>
      <c r="L17" s="493"/>
      <c r="M17" s="493"/>
      <c r="N17" s="493"/>
      <c r="O17" s="493"/>
      <c r="P17" s="493"/>
      <c r="Q17" s="493"/>
      <c r="R17" s="493"/>
      <c r="S17" s="505"/>
      <c r="T17" s="492"/>
      <c r="U17" s="223"/>
      <c r="V17" s="223"/>
      <c r="W17" s="223"/>
      <c r="X17" s="223"/>
      <c r="Y17" s="223"/>
      <c r="Z17" s="223"/>
      <c r="AA17" s="223"/>
      <c r="AB17" s="223"/>
      <c r="AC17" s="223"/>
      <c r="AD17" s="223"/>
      <c r="AE17" s="223"/>
      <c r="AF17" s="223"/>
      <c r="AG17" s="223"/>
      <c r="AH17" s="223"/>
      <c r="AI17" s="223"/>
      <c r="AJ17" s="223"/>
      <c r="AK17" s="223"/>
      <c r="AL17" s="224"/>
    </row>
    <row r="18" spans="1:38" x14ac:dyDescent="0.2">
      <c r="A18" s="504"/>
      <c r="B18" s="493"/>
      <c r="C18" s="493"/>
      <c r="D18" s="493"/>
      <c r="E18" s="493"/>
      <c r="F18" s="493"/>
      <c r="G18" s="493"/>
      <c r="H18" s="493"/>
      <c r="I18" s="493"/>
      <c r="J18" s="493"/>
      <c r="K18" s="493"/>
      <c r="L18" s="493"/>
      <c r="M18" s="493"/>
      <c r="N18" s="493"/>
      <c r="O18" s="493"/>
      <c r="P18" s="493"/>
      <c r="Q18" s="493"/>
      <c r="R18" s="493"/>
      <c r="S18" s="505"/>
      <c r="T18" s="492"/>
      <c r="U18" s="223"/>
      <c r="V18" s="223"/>
      <c r="W18" s="223"/>
      <c r="X18" s="223"/>
      <c r="Y18" s="223"/>
      <c r="Z18" s="223"/>
      <c r="AA18" s="223"/>
      <c r="AB18" s="223"/>
      <c r="AC18" s="223"/>
      <c r="AD18" s="223"/>
      <c r="AE18" s="223"/>
      <c r="AF18" s="223"/>
      <c r="AG18" s="223"/>
      <c r="AH18" s="223"/>
      <c r="AI18" s="223"/>
      <c r="AJ18" s="223"/>
      <c r="AK18" s="223"/>
      <c r="AL18" s="224"/>
    </row>
    <row r="19" spans="1:38" x14ac:dyDescent="0.2">
      <c r="A19" s="504"/>
      <c r="B19" s="493" t="s">
        <v>411</v>
      </c>
      <c r="C19" s="493"/>
      <c r="D19" s="493"/>
      <c r="E19" s="493"/>
      <c r="F19" s="493"/>
      <c r="G19" s="493"/>
      <c r="H19" s="493"/>
      <c r="I19" s="493"/>
      <c r="J19" s="493"/>
      <c r="K19" s="493"/>
      <c r="L19" s="493"/>
      <c r="M19" s="493"/>
      <c r="N19" s="493"/>
      <c r="O19" s="493"/>
      <c r="P19" s="493"/>
      <c r="Q19" s="493"/>
      <c r="R19" s="493"/>
      <c r="S19" s="505"/>
      <c r="T19" s="492"/>
      <c r="U19" s="223"/>
      <c r="V19" s="223"/>
      <c r="W19" s="223"/>
      <c r="X19" s="223"/>
      <c r="Y19" s="223"/>
      <c r="Z19" s="223"/>
      <c r="AA19" s="223"/>
      <c r="AB19" s="223"/>
      <c r="AC19" s="223"/>
      <c r="AD19" s="223"/>
      <c r="AE19" s="223"/>
      <c r="AF19" s="223"/>
      <c r="AG19" s="223"/>
      <c r="AH19" s="223"/>
      <c r="AI19" s="223"/>
      <c r="AJ19" s="223"/>
      <c r="AK19" s="223"/>
      <c r="AL19" s="224"/>
    </row>
    <row r="20" spans="1:38" x14ac:dyDescent="0.2">
      <c r="A20" s="504"/>
      <c r="B20" s="142" t="s">
        <v>412</v>
      </c>
      <c r="C20" s="493"/>
      <c r="D20" s="493"/>
      <c r="E20" s="493"/>
      <c r="F20" s="493"/>
      <c r="G20" s="493"/>
      <c r="H20" s="493"/>
      <c r="I20" s="493"/>
      <c r="J20" s="493"/>
      <c r="K20" s="493"/>
      <c r="L20" s="493"/>
      <c r="M20" s="493"/>
      <c r="N20" s="493"/>
      <c r="O20" s="493"/>
      <c r="P20" s="493"/>
      <c r="Q20" s="493"/>
      <c r="R20" s="493"/>
      <c r="S20" s="505"/>
      <c r="T20" s="492"/>
      <c r="U20" s="223"/>
      <c r="V20" s="223"/>
      <c r="W20" s="223"/>
      <c r="X20" s="223"/>
      <c r="Y20" s="223"/>
      <c r="Z20" s="223"/>
      <c r="AA20" s="223"/>
      <c r="AB20" s="223"/>
      <c r="AC20" s="223"/>
      <c r="AD20" s="223"/>
      <c r="AE20" s="223"/>
      <c r="AF20" s="223"/>
      <c r="AG20" s="223"/>
      <c r="AH20" s="223"/>
      <c r="AI20" s="223"/>
      <c r="AJ20" s="223"/>
      <c r="AK20" s="223"/>
      <c r="AL20" s="224"/>
    </row>
    <row r="21" spans="1:38" x14ac:dyDescent="0.2">
      <c r="A21" s="504"/>
      <c r="B21" s="493"/>
      <c r="C21" s="493"/>
      <c r="D21" s="493"/>
      <c r="E21" s="493"/>
      <c r="F21" s="493"/>
      <c r="G21" s="493"/>
      <c r="H21" s="493"/>
      <c r="I21" s="493"/>
      <c r="J21" s="493"/>
      <c r="K21" s="493"/>
      <c r="L21" s="493"/>
      <c r="M21" s="493"/>
      <c r="N21" s="493"/>
      <c r="O21" s="493"/>
      <c r="P21" s="493"/>
      <c r="Q21" s="493"/>
      <c r="R21" s="493"/>
      <c r="S21" s="505"/>
      <c r="T21" s="492"/>
      <c r="U21" s="223"/>
      <c r="V21" s="223"/>
      <c r="W21" s="223"/>
      <c r="X21" s="223"/>
      <c r="Y21" s="223"/>
      <c r="Z21" s="223"/>
      <c r="AA21" s="223"/>
      <c r="AB21" s="223"/>
      <c r="AC21" s="223"/>
      <c r="AD21" s="223"/>
      <c r="AE21" s="223"/>
      <c r="AF21" s="223"/>
      <c r="AG21" s="223"/>
      <c r="AH21" s="223"/>
      <c r="AI21" s="223"/>
      <c r="AJ21" s="223"/>
      <c r="AK21" s="223"/>
      <c r="AL21" s="224"/>
    </row>
    <row r="22" spans="1:38" x14ac:dyDescent="0.2">
      <c r="A22" s="504"/>
      <c r="B22" s="493"/>
      <c r="C22" s="493"/>
      <c r="D22" s="493"/>
      <c r="E22" s="493"/>
      <c r="F22" s="493"/>
      <c r="G22" s="493"/>
      <c r="H22" s="493"/>
      <c r="I22" s="493"/>
      <c r="J22" s="493"/>
      <c r="K22" s="493"/>
      <c r="L22" s="493"/>
      <c r="M22" s="493"/>
      <c r="N22" s="493"/>
      <c r="O22" s="493"/>
      <c r="P22" s="493"/>
      <c r="Q22" s="493"/>
      <c r="R22" s="493"/>
      <c r="S22" s="505"/>
      <c r="T22" s="492"/>
      <c r="U22" s="223"/>
      <c r="V22" s="223"/>
      <c r="W22" s="223"/>
      <c r="X22" s="223"/>
      <c r="Y22" s="223"/>
      <c r="Z22" s="223"/>
      <c r="AA22" s="223"/>
      <c r="AB22" s="223"/>
      <c r="AC22" s="223"/>
      <c r="AD22" s="223"/>
      <c r="AE22" s="223"/>
      <c r="AF22" s="223"/>
      <c r="AG22" s="223"/>
      <c r="AH22" s="223"/>
      <c r="AI22" s="223"/>
      <c r="AJ22" s="223"/>
      <c r="AK22" s="223"/>
      <c r="AL22" s="224"/>
    </row>
    <row r="23" spans="1:38" x14ac:dyDescent="0.2">
      <c r="A23" s="504"/>
      <c r="B23" s="493"/>
      <c r="C23" s="493"/>
      <c r="D23" s="493"/>
      <c r="E23" s="493"/>
      <c r="F23" s="493"/>
      <c r="G23" s="493"/>
      <c r="H23" s="493"/>
      <c r="I23" s="493"/>
      <c r="J23" s="493"/>
      <c r="K23" s="493"/>
      <c r="L23" s="493"/>
      <c r="M23" s="493"/>
      <c r="N23" s="493"/>
      <c r="O23" s="493"/>
      <c r="P23" s="493"/>
      <c r="Q23" s="493"/>
      <c r="R23" s="493"/>
      <c r="S23" s="505"/>
      <c r="T23" s="492"/>
      <c r="U23" s="223"/>
      <c r="V23" s="223"/>
      <c r="W23" s="223"/>
      <c r="X23" s="223"/>
      <c r="Y23" s="223"/>
      <c r="Z23" s="223"/>
      <c r="AA23" s="223"/>
      <c r="AB23" s="223"/>
      <c r="AC23" s="223"/>
      <c r="AD23" s="223"/>
      <c r="AE23" s="223"/>
      <c r="AF23" s="223"/>
      <c r="AG23" s="223"/>
      <c r="AH23" s="223"/>
      <c r="AI23" s="223"/>
      <c r="AJ23" s="223"/>
      <c r="AK23" s="223"/>
      <c r="AL23" s="224"/>
    </row>
    <row r="24" spans="1:38" x14ac:dyDescent="0.2">
      <c r="A24" s="504"/>
      <c r="B24" s="493"/>
      <c r="C24" s="493"/>
      <c r="D24" s="493"/>
      <c r="E24" s="493"/>
      <c r="F24" s="493"/>
      <c r="G24" s="493"/>
      <c r="H24" s="493"/>
      <c r="I24" s="493"/>
      <c r="J24" s="493"/>
      <c r="K24" s="493"/>
      <c r="L24" s="493"/>
      <c r="M24" s="493"/>
      <c r="N24" s="493"/>
      <c r="O24" s="493"/>
      <c r="P24" s="493"/>
      <c r="Q24" s="493"/>
      <c r="R24" s="493"/>
      <c r="S24" s="505"/>
      <c r="T24" s="492"/>
      <c r="U24" s="223"/>
      <c r="V24" s="223"/>
      <c r="W24" s="223"/>
      <c r="X24" s="223"/>
      <c r="Y24" s="223"/>
      <c r="Z24" s="223"/>
      <c r="AA24" s="223"/>
      <c r="AB24" s="223"/>
      <c r="AC24" s="223"/>
      <c r="AD24" s="223"/>
      <c r="AE24" s="223"/>
      <c r="AF24" s="223"/>
      <c r="AG24" s="223"/>
      <c r="AH24" s="223"/>
      <c r="AI24" s="223"/>
      <c r="AJ24" s="223"/>
      <c r="AK24" s="223"/>
      <c r="AL24" s="224"/>
    </row>
    <row r="25" spans="1:38" x14ac:dyDescent="0.2">
      <c r="A25" s="504"/>
      <c r="B25" s="142"/>
      <c r="C25" s="493"/>
      <c r="D25" s="493"/>
      <c r="E25" s="493"/>
      <c r="F25" s="493"/>
      <c r="G25" s="493"/>
      <c r="H25" s="493"/>
      <c r="I25" s="493"/>
      <c r="J25" s="493"/>
      <c r="K25" s="493"/>
      <c r="L25" s="493"/>
      <c r="M25" s="493"/>
      <c r="N25" s="493"/>
      <c r="O25" s="493"/>
      <c r="P25" s="493"/>
      <c r="Q25" s="493"/>
      <c r="R25" s="493"/>
      <c r="S25" s="505"/>
      <c r="T25" s="492"/>
      <c r="U25" s="223"/>
      <c r="V25" s="223"/>
      <c r="W25" s="223"/>
      <c r="X25" s="223"/>
      <c r="Y25" s="223"/>
      <c r="Z25" s="223"/>
      <c r="AA25" s="223"/>
      <c r="AB25" s="223"/>
      <c r="AC25" s="223"/>
      <c r="AD25" s="223"/>
      <c r="AE25" s="223"/>
      <c r="AF25" s="223"/>
      <c r="AG25" s="223"/>
      <c r="AH25" s="223"/>
      <c r="AI25" s="223"/>
      <c r="AJ25" s="223"/>
      <c r="AK25" s="223"/>
      <c r="AL25" s="224"/>
    </row>
    <row r="26" spans="1:38" x14ac:dyDescent="0.2">
      <c r="A26" s="504"/>
      <c r="B26" s="498"/>
      <c r="C26" s="493"/>
      <c r="D26" s="493"/>
      <c r="E26" s="493"/>
      <c r="F26" s="493"/>
      <c r="G26" s="493"/>
      <c r="H26" s="493"/>
      <c r="I26" s="493"/>
      <c r="J26" s="493"/>
      <c r="K26" s="493"/>
      <c r="L26" s="493"/>
      <c r="M26" s="493"/>
      <c r="N26" s="493"/>
      <c r="O26" s="493"/>
      <c r="P26" s="493"/>
      <c r="Q26" s="493"/>
      <c r="R26" s="493"/>
      <c r="S26" s="505"/>
      <c r="T26" s="492"/>
      <c r="U26" s="223"/>
      <c r="V26" s="223"/>
      <c r="W26" s="223"/>
      <c r="X26" s="223"/>
      <c r="Y26" s="223"/>
      <c r="Z26" s="223"/>
      <c r="AA26" s="223"/>
      <c r="AB26" s="223"/>
      <c r="AC26" s="223"/>
      <c r="AD26" s="223"/>
      <c r="AE26" s="223"/>
      <c r="AF26" s="223"/>
      <c r="AG26" s="223"/>
      <c r="AH26" s="223"/>
      <c r="AI26" s="223"/>
      <c r="AJ26" s="223"/>
      <c r="AK26" s="223"/>
      <c r="AL26" s="224"/>
    </row>
    <row r="27" spans="1:38" x14ac:dyDescent="0.2">
      <c r="A27" s="504"/>
      <c r="B27" s="498"/>
      <c r="C27" s="493"/>
      <c r="D27" s="493"/>
      <c r="E27" s="493"/>
      <c r="F27" s="493"/>
      <c r="G27" s="493"/>
      <c r="H27" s="493"/>
      <c r="I27" s="493"/>
      <c r="J27" s="493"/>
      <c r="K27" s="493"/>
      <c r="L27" s="493"/>
      <c r="M27" s="493"/>
      <c r="N27" s="493"/>
      <c r="O27" s="493"/>
      <c r="P27" s="493"/>
      <c r="Q27" s="493"/>
      <c r="R27" s="493"/>
      <c r="S27" s="505"/>
      <c r="T27" s="492"/>
      <c r="U27" s="223"/>
      <c r="V27" s="223"/>
      <c r="W27" s="223"/>
      <c r="X27" s="223"/>
      <c r="Y27" s="223"/>
      <c r="Z27" s="223"/>
      <c r="AA27" s="223"/>
      <c r="AB27" s="223"/>
      <c r="AC27" s="223"/>
      <c r="AD27" s="223"/>
      <c r="AE27" s="223"/>
      <c r="AF27" s="223"/>
      <c r="AG27" s="223"/>
      <c r="AH27" s="223"/>
      <c r="AI27" s="223"/>
      <c r="AJ27" s="223"/>
      <c r="AK27" s="223"/>
      <c r="AL27" s="224"/>
    </row>
    <row r="28" spans="1:38" x14ac:dyDescent="0.2">
      <c r="A28" s="504"/>
      <c r="B28" s="499"/>
      <c r="C28" s="493"/>
      <c r="D28" s="493"/>
      <c r="E28" s="493"/>
      <c r="F28" s="493"/>
      <c r="G28" s="493"/>
      <c r="H28" s="493"/>
      <c r="I28" s="493"/>
      <c r="J28" s="493"/>
      <c r="K28" s="493"/>
      <c r="L28" s="493"/>
      <c r="M28" s="493"/>
      <c r="N28" s="493"/>
      <c r="O28" s="493"/>
      <c r="P28" s="493"/>
      <c r="Q28" s="493"/>
      <c r="R28" s="493"/>
      <c r="S28" s="505"/>
      <c r="T28" s="492"/>
      <c r="U28" s="223"/>
      <c r="V28" s="223"/>
      <c r="W28" s="223"/>
      <c r="X28" s="223"/>
      <c r="Y28" s="223"/>
      <c r="Z28" s="223"/>
      <c r="AA28" s="223"/>
      <c r="AB28" s="223"/>
      <c r="AC28" s="223"/>
      <c r="AD28" s="223"/>
      <c r="AE28" s="223"/>
      <c r="AF28" s="223"/>
      <c r="AG28" s="223"/>
      <c r="AH28" s="223"/>
      <c r="AI28" s="223"/>
      <c r="AJ28" s="223"/>
      <c r="AK28" s="223"/>
      <c r="AL28" s="224"/>
    </row>
    <row r="29" spans="1:38" x14ac:dyDescent="0.2">
      <c r="A29" s="504"/>
      <c r="B29" s="142"/>
      <c r="C29" s="493"/>
      <c r="D29" s="493"/>
      <c r="E29" s="493"/>
      <c r="F29" s="493"/>
      <c r="G29" s="493"/>
      <c r="H29" s="493"/>
      <c r="I29" s="493"/>
      <c r="J29" s="493"/>
      <c r="K29" s="493"/>
      <c r="L29" s="493"/>
      <c r="M29" s="493"/>
      <c r="N29" s="493"/>
      <c r="O29" s="493"/>
      <c r="P29" s="493"/>
      <c r="Q29" s="493"/>
      <c r="R29" s="493"/>
      <c r="S29" s="505"/>
      <c r="T29" s="492"/>
      <c r="U29" s="223"/>
      <c r="V29" s="223"/>
      <c r="W29" s="223"/>
      <c r="X29" s="223"/>
      <c r="Y29" s="223"/>
      <c r="Z29" s="223"/>
      <c r="AA29" s="223"/>
      <c r="AB29" s="223"/>
      <c r="AC29" s="223"/>
      <c r="AD29" s="223"/>
      <c r="AE29" s="223"/>
      <c r="AF29" s="223"/>
      <c r="AG29" s="223"/>
      <c r="AH29" s="223"/>
      <c r="AI29" s="223"/>
      <c r="AJ29" s="223"/>
      <c r="AK29" s="223"/>
      <c r="AL29" s="224"/>
    </row>
    <row r="30" spans="1:38" x14ac:dyDescent="0.2">
      <c r="A30" s="504"/>
      <c r="B30" s="142"/>
      <c r="C30" s="493"/>
      <c r="D30" s="493"/>
      <c r="E30" s="493"/>
      <c r="F30" s="493"/>
      <c r="G30" s="493"/>
      <c r="H30" s="493"/>
      <c r="I30" s="493"/>
      <c r="J30" s="493"/>
      <c r="K30" s="493"/>
      <c r="L30" s="493"/>
      <c r="M30" s="493"/>
      <c r="N30" s="493"/>
      <c r="O30" s="493"/>
      <c r="P30" s="493"/>
      <c r="Q30" s="493"/>
      <c r="R30" s="493"/>
      <c r="S30" s="505"/>
      <c r="T30" s="492"/>
      <c r="U30" s="223"/>
      <c r="V30" s="223"/>
      <c r="W30" s="223"/>
      <c r="X30" s="223"/>
      <c r="Y30" s="223"/>
      <c r="Z30" s="223"/>
      <c r="AA30" s="223"/>
      <c r="AB30" s="270" t="s">
        <v>540</v>
      </c>
      <c r="AC30" s="223"/>
      <c r="AD30" s="223"/>
      <c r="AE30" s="223"/>
      <c r="AF30" s="223"/>
      <c r="AG30" s="223"/>
      <c r="AH30" s="223"/>
      <c r="AI30" s="223"/>
      <c r="AJ30" s="223"/>
      <c r="AK30" s="223"/>
      <c r="AL30" s="224"/>
    </row>
    <row r="31" spans="1:38" x14ac:dyDescent="0.2">
      <c r="A31" s="504"/>
      <c r="B31" s="493"/>
      <c r="C31" s="493"/>
      <c r="D31" s="493"/>
      <c r="E31" s="493"/>
      <c r="F31" s="493"/>
      <c r="G31" s="493"/>
      <c r="H31" s="493"/>
      <c r="I31" s="493"/>
      <c r="J31" s="493"/>
      <c r="K31" s="493"/>
      <c r="L31" s="493"/>
      <c r="M31" s="493"/>
      <c r="N31" s="493"/>
      <c r="O31" s="493"/>
      <c r="P31" s="493"/>
      <c r="Q31" s="493"/>
      <c r="R31" s="493"/>
      <c r="S31" s="505"/>
      <c r="T31" s="492"/>
      <c r="U31" s="223"/>
      <c r="V31" s="223"/>
      <c r="W31" s="223"/>
      <c r="X31" s="223"/>
      <c r="Y31" s="223"/>
      <c r="Z31" s="223"/>
      <c r="AA31" s="223"/>
      <c r="AB31" s="223"/>
      <c r="AC31" s="223"/>
      <c r="AD31" s="223"/>
      <c r="AE31" s="223"/>
      <c r="AF31" s="223"/>
      <c r="AG31" s="223"/>
      <c r="AH31" s="223"/>
      <c r="AI31" s="223"/>
      <c r="AJ31" s="223"/>
      <c r="AK31" s="223"/>
      <c r="AL31" s="224"/>
    </row>
    <row r="32" spans="1:38" x14ac:dyDescent="0.2">
      <c r="A32" s="504"/>
      <c r="B32" s="493"/>
      <c r="C32" s="493"/>
      <c r="D32" s="493"/>
      <c r="E32" s="493"/>
      <c r="F32" s="493"/>
      <c r="G32" s="493"/>
      <c r="H32" s="493"/>
      <c r="I32" s="493"/>
      <c r="J32" s="493"/>
      <c r="K32" s="493"/>
      <c r="L32" s="493"/>
      <c r="M32" s="493"/>
      <c r="N32" s="493"/>
      <c r="O32" s="493"/>
      <c r="P32" s="493"/>
      <c r="Q32" s="493"/>
      <c r="R32" s="493"/>
      <c r="S32" s="505"/>
      <c r="T32" s="492"/>
      <c r="U32" s="223"/>
      <c r="V32" s="223"/>
      <c r="W32" s="223"/>
      <c r="X32" s="223"/>
      <c r="Y32" s="223"/>
      <c r="Z32" s="223"/>
      <c r="AA32" s="223"/>
      <c r="AB32" s="223"/>
      <c r="AC32" s="223"/>
      <c r="AD32" s="223"/>
      <c r="AE32" s="223"/>
      <c r="AF32" s="223"/>
      <c r="AG32" s="223"/>
      <c r="AH32" s="223"/>
      <c r="AI32" s="223"/>
      <c r="AJ32" s="223"/>
      <c r="AK32" s="223"/>
      <c r="AL32" s="224"/>
    </row>
    <row r="33" spans="1:38" x14ac:dyDescent="0.2">
      <c r="A33" s="504"/>
      <c r="B33" s="493"/>
      <c r="C33" s="493"/>
      <c r="D33" s="493"/>
      <c r="E33" s="493"/>
      <c r="F33" s="493"/>
      <c r="G33" s="493"/>
      <c r="H33" s="493"/>
      <c r="I33" s="493"/>
      <c r="J33" s="493"/>
      <c r="K33" s="493"/>
      <c r="L33" s="493"/>
      <c r="M33" s="493"/>
      <c r="N33" s="493"/>
      <c r="O33" s="493"/>
      <c r="P33" s="493"/>
      <c r="Q33" s="493"/>
      <c r="R33" s="493"/>
      <c r="S33" s="505"/>
      <c r="T33" s="492"/>
      <c r="U33" s="223"/>
      <c r="V33" s="223"/>
      <c r="W33" s="223"/>
      <c r="X33" s="223"/>
      <c r="Y33" s="223"/>
      <c r="Z33" s="223"/>
      <c r="AA33" s="223"/>
      <c r="AB33" s="223"/>
      <c r="AC33" s="223"/>
      <c r="AD33" s="223"/>
      <c r="AE33" s="223"/>
      <c r="AF33" s="223"/>
      <c r="AG33" s="223"/>
      <c r="AH33" s="223"/>
      <c r="AI33" s="223"/>
      <c r="AJ33" s="223"/>
      <c r="AK33" s="223"/>
      <c r="AL33" s="224"/>
    </row>
    <row r="34" spans="1:38" x14ac:dyDescent="0.2">
      <c r="A34" s="504"/>
      <c r="B34" s="493"/>
      <c r="C34" s="493"/>
      <c r="D34" s="493"/>
      <c r="E34" s="493"/>
      <c r="F34" s="493"/>
      <c r="G34" s="493"/>
      <c r="H34" s="493"/>
      <c r="I34" s="493"/>
      <c r="J34" s="493"/>
      <c r="K34" s="493"/>
      <c r="L34" s="493"/>
      <c r="M34" s="493"/>
      <c r="N34" s="493"/>
      <c r="O34" s="493"/>
      <c r="P34" s="493"/>
      <c r="Q34" s="493"/>
      <c r="R34" s="493"/>
      <c r="S34" s="505"/>
      <c r="T34" s="492"/>
      <c r="U34" s="223"/>
      <c r="V34" s="223"/>
      <c r="W34" s="223"/>
      <c r="X34" s="223"/>
      <c r="Y34" s="223"/>
      <c r="Z34" s="223"/>
      <c r="AA34" s="223"/>
      <c r="AB34" s="223"/>
      <c r="AC34" s="223"/>
      <c r="AD34" s="223"/>
      <c r="AE34" s="223"/>
      <c r="AF34" s="223"/>
      <c r="AG34" s="223"/>
      <c r="AH34" s="223"/>
      <c r="AI34" s="223"/>
      <c r="AJ34" s="223"/>
      <c r="AK34" s="223"/>
      <c r="AL34" s="224"/>
    </row>
    <row r="35" spans="1:38" x14ac:dyDescent="0.2">
      <c r="A35" s="504"/>
      <c r="B35" s="493"/>
      <c r="C35" s="493"/>
      <c r="D35" s="493"/>
      <c r="E35" s="493"/>
      <c r="F35" s="493"/>
      <c r="G35" s="493"/>
      <c r="H35" s="493"/>
      <c r="I35" s="493"/>
      <c r="J35" s="493"/>
      <c r="K35" s="493"/>
      <c r="L35" s="493"/>
      <c r="M35" s="493"/>
      <c r="N35" s="493"/>
      <c r="O35" s="493"/>
      <c r="P35" s="493"/>
      <c r="Q35" s="493"/>
      <c r="R35" s="493"/>
      <c r="S35" s="505"/>
      <c r="T35" s="492"/>
      <c r="U35" s="223"/>
      <c r="V35" s="223"/>
      <c r="W35" s="223"/>
      <c r="X35" s="223"/>
      <c r="Y35" s="223"/>
      <c r="Z35" s="223"/>
      <c r="AA35" s="223"/>
      <c r="AB35" s="223"/>
      <c r="AC35" s="223"/>
      <c r="AD35" s="223"/>
      <c r="AE35" s="223"/>
      <c r="AF35" s="223"/>
      <c r="AG35" s="223"/>
      <c r="AH35" s="223"/>
      <c r="AI35" s="223"/>
      <c r="AJ35" s="223"/>
      <c r="AK35" s="223"/>
      <c r="AL35" s="224"/>
    </row>
    <row r="36" spans="1:38" x14ac:dyDescent="0.2">
      <c r="A36" s="504"/>
      <c r="B36" s="493"/>
      <c r="C36" s="493"/>
      <c r="D36" s="493"/>
      <c r="E36" s="493"/>
      <c r="F36" s="493"/>
      <c r="G36" s="493"/>
      <c r="H36" s="493"/>
      <c r="I36" s="493"/>
      <c r="J36" s="493"/>
      <c r="K36" s="493"/>
      <c r="L36" s="493"/>
      <c r="M36" s="493"/>
      <c r="N36" s="493"/>
      <c r="O36" s="493"/>
      <c r="P36" s="493"/>
      <c r="Q36" s="493"/>
      <c r="R36" s="493"/>
      <c r="S36" s="505"/>
      <c r="T36" s="492"/>
      <c r="U36" s="223"/>
      <c r="V36" s="223"/>
      <c r="W36" s="223"/>
      <c r="X36" s="223"/>
      <c r="Y36" s="223"/>
      <c r="Z36" s="223"/>
      <c r="AA36" s="223"/>
      <c r="AB36" s="223"/>
      <c r="AC36" s="223"/>
      <c r="AD36" s="223"/>
      <c r="AE36" s="223"/>
      <c r="AF36" s="223"/>
      <c r="AG36" s="223"/>
      <c r="AH36" s="223"/>
      <c r="AI36" s="223"/>
      <c r="AJ36" s="223"/>
      <c r="AK36" s="223"/>
      <c r="AL36" s="224"/>
    </row>
    <row r="37" spans="1:38" x14ac:dyDescent="0.2">
      <c r="A37" s="504"/>
      <c r="B37" s="493"/>
      <c r="C37" s="493"/>
      <c r="D37" s="493"/>
      <c r="E37" s="493"/>
      <c r="F37" s="493"/>
      <c r="G37" s="493"/>
      <c r="H37" s="493"/>
      <c r="I37" s="493"/>
      <c r="J37" s="493"/>
      <c r="K37" s="493"/>
      <c r="L37" s="493"/>
      <c r="M37" s="493"/>
      <c r="N37" s="493"/>
      <c r="O37" s="493"/>
      <c r="P37" s="493"/>
      <c r="Q37" s="493"/>
      <c r="R37" s="493"/>
      <c r="S37" s="505"/>
      <c r="T37" s="492"/>
      <c r="U37" s="223"/>
      <c r="V37" s="223"/>
      <c r="W37" s="223"/>
      <c r="X37" s="223"/>
      <c r="Y37" s="223"/>
      <c r="Z37" s="223"/>
      <c r="AA37" s="223"/>
      <c r="AB37" s="223"/>
      <c r="AC37" s="223"/>
      <c r="AD37" s="223"/>
      <c r="AE37" s="223"/>
      <c r="AF37" s="223"/>
      <c r="AG37" s="223"/>
      <c r="AH37" s="223"/>
      <c r="AI37" s="223"/>
      <c r="AJ37" s="223"/>
      <c r="AK37" s="223"/>
      <c r="AL37" s="224"/>
    </row>
    <row r="38" spans="1:38" x14ac:dyDescent="0.2">
      <c r="A38" s="504"/>
      <c r="B38" s="493"/>
      <c r="C38" s="493"/>
      <c r="D38" s="493"/>
      <c r="E38" s="493"/>
      <c r="F38" s="493"/>
      <c r="G38" s="493"/>
      <c r="H38" s="493"/>
      <c r="I38" s="493"/>
      <c r="J38" s="493"/>
      <c r="K38" s="493"/>
      <c r="L38" s="493"/>
      <c r="M38" s="493"/>
      <c r="N38" s="493"/>
      <c r="O38" s="493"/>
      <c r="P38" s="493"/>
      <c r="Q38" s="493"/>
      <c r="R38" s="493"/>
      <c r="S38" s="505"/>
      <c r="T38" s="492"/>
      <c r="U38" s="223"/>
      <c r="V38" s="223"/>
      <c r="W38" s="223"/>
      <c r="X38" s="223"/>
      <c r="Y38" s="223"/>
      <c r="Z38" s="223"/>
      <c r="AA38" s="223"/>
      <c r="AB38" s="223"/>
      <c r="AC38" s="223"/>
      <c r="AD38" s="223"/>
      <c r="AE38" s="223"/>
      <c r="AF38" s="223"/>
      <c r="AG38" s="223"/>
      <c r="AH38" s="223"/>
      <c r="AI38" s="223"/>
      <c r="AJ38" s="223"/>
      <c r="AK38" s="223"/>
      <c r="AL38" s="224"/>
    </row>
    <row r="39" spans="1:38" x14ac:dyDescent="0.2">
      <c r="A39" s="504"/>
      <c r="B39" s="493"/>
      <c r="C39" s="493"/>
      <c r="D39" s="493"/>
      <c r="E39" s="493"/>
      <c r="F39" s="493"/>
      <c r="G39" s="493"/>
      <c r="H39" s="493"/>
      <c r="I39" s="493"/>
      <c r="J39" s="493"/>
      <c r="K39" s="493"/>
      <c r="L39" s="493"/>
      <c r="M39" s="493"/>
      <c r="N39" s="493"/>
      <c r="O39" s="493"/>
      <c r="P39" s="493"/>
      <c r="Q39" s="493"/>
      <c r="R39" s="493"/>
      <c r="S39" s="505"/>
      <c r="T39" s="492"/>
      <c r="U39" s="223"/>
      <c r="V39" s="223"/>
      <c r="W39" s="223"/>
      <c r="X39" s="223"/>
      <c r="Y39" s="223"/>
      <c r="Z39" s="223"/>
      <c r="AA39" s="223"/>
      <c r="AB39" s="223"/>
      <c r="AC39" s="223"/>
      <c r="AD39" s="223"/>
      <c r="AE39" s="223"/>
      <c r="AF39" s="223"/>
      <c r="AG39" s="223"/>
      <c r="AH39" s="223"/>
      <c r="AI39" s="223"/>
      <c r="AJ39" s="223"/>
      <c r="AK39" s="223"/>
      <c r="AL39" s="224"/>
    </row>
    <row r="40" spans="1:38" x14ac:dyDescent="0.2">
      <c r="A40" s="504"/>
      <c r="B40" s="493"/>
      <c r="C40" s="493"/>
      <c r="D40" s="493"/>
      <c r="E40" s="493"/>
      <c r="F40" s="493"/>
      <c r="G40" s="493"/>
      <c r="H40" s="493"/>
      <c r="I40" s="493"/>
      <c r="J40" s="493"/>
      <c r="K40" s="493"/>
      <c r="L40" s="493"/>
      <c r="M40" s="493"/>
      <c r="N40" s="493"/>
      <c r="O40" s="493"/>
      <c r="P40" s="493"/>
      <c r="Q40" s="493"/>
      <c r="R40" s="493"/>
      <c r="S40" s="505"/>
      <c r="T40" s="492"/>
      <c r="U40" s="223"/>
      <c r="V40" s="223"/>
      <c r="W40" s="223"/>
      <c r="X40" s="223"/>
      <c r="Y40" s="223"/>
      <c r="Z40" s="223"/>
      <c r="AA40" s="223"/>
      <c r="AB40" s="223"/>
      <c r="AC40" s="223"/>
      <c r="AD40" s="223"/>
      <c r="AE40" s="223"/>
      <c r="AF40" s="223"/>
      <c r="AG40" s="223"/>
      <c r="AH40" s="223"/>
      <c r="AI40" s="223"/>
      <c r="AJ40" s="223"/>
      <c r="AK40" s="223"/>
      <c r="AL40" s="224"/>
    </row>
    <row r="41" spans="1:38" x14ac:dyDescent="0.2">
      <c r="A41" s="504"/>
      <c r="B41" s="493"/>
      <c r="C41" s="493"/>
      <c r="D41" s="493"/>
      <c r="E41" s="493"/>
      <c r="F41" s="493"/>
      <c r="G41" s="493"/>
      <c r="H41" s="493"/>
      <c r="I41" s="493"/>
      <c r="J41" s="493"/>
      <c r="K41" s="493"/>
      <c r="L41" s="493"/>
      <c r="M41" s="493"/>
      <c r="N41" s="493"/>
      <c r="O41" s="493"/>
      <c r="P41" s="493"/>
      <c r="Q41" s="493"/>
      <c r="R41" s="493"/>
      <c r="S41" s="505"/>
      <c r="T41" s="492"/>
      <c r="U41" s="223"/>
      <c r="V41" s="223"/>
      <c r="W41" s="223"/>
      <c r="X41" s="223"/>
      <c r="Y41" s="223"/>
      <c r="Z41" s="223"/>
      <c r="AA41" s="223"/>
      <c r="AB41" s="223"/>
      <c r="AC41" s="223"/>
      <c r="AD41" s="223"/>
      <c r="AE41" s="223"/>
      <c r="AF41" s="223"/>
      <c r="AG41" s="223"/>
      <c r="AH41" s="223"/>
      <c r="AI41" s="223"/>
      <c r="AJ41" s="223"/>
      <c r="AK41" s="223"/>
      <c r="AL41" s="224"/>
    </row>
    <row r="42" spans="1:38" x14ac:dyDescent="0.2">
      <c r="A42" s="504"/>
      <c r="B42" s="493"/>
      <c r="C42" s="493"/>
      <c r="D42" s="493"/>
      <c r="E42" s="493"/>
      <c r="F42" s="493"/>
      <c r="G42" s="493"/>
      <c r="H42" s="493"/>
      <c r="I42" s="493"/>
      <c r="J42" s="493"/>
      <c r="K42" s="493"/>
      <c r="L42" s="493"/>
      <c r="M42" s="493"/>
      <c r="N42" s="493"/>
      <c r="O42" s="493"/>
      <c r="P42" s="493"/>
      <c r="Q42" s="493"/>
      <c r="R42" s="493"/>
      <c r="S42" s="505"/>
      <c r="T42" s="492"/>
      <c r="U42" s="223"/>
      <c r="V42" s="223"/>
      <c r="W42" s="223"/>
      <c r="X42" s="223"/>
      <c r="Y42" s="223"/>
      <c r="Z42" s="223"/>
      <c r="AA42" s="223"/>
      <c r="AB42" s="223"/>
      <c r="AC42" s="223"/>
      <c r="AD42" s="223"/>
      <c r="AE42" s="223"/>
      <c r="AF42" s="223"/>
      <c r="AG42" s="223"/>
      <c r="AH42" s="223"/>
      <c r="AI42" s="223"/>
      <c r="AJ42" s="223"/>
      <c r="AK42" s="223"/>
      <c r="AL42" s="224"/>
    </row>
    <row r="43" spans="1:38" x14ac:dyDescent="0.2">
      <c r="A43" s="504"/>
      <c r="B43" s="493"/>
      <c r="C43" s="493"/>
      <c r="D43" s="493"/>
      <c r="E43" s="493"/>
      <c r="F43" s="493"/>
      <c r="G43" s="493"/>
      <c r="H43" s="493"/>
      <c r="I43" s="493"/>
      <c r="J43" s="493"/>
      <c r="K43" s="493"/>
      <c r="L43" s="493"/>
      <c r="M43" s="493"/>
      <c r="N43" s="493"/>
      <c r="O43" s="493"/>
      <c r="P43" s="493"/>
      <c r="Q43" s="493"/>
      <c r="R43" s="493"/>
      <c r="S43" s="505"/>
      <c r="T43" s="492"/>
      <c r="U43" s="223"/>
      <c r="V43" s="223"/>
      <c r="W43" s="223"/>
      <c r="X43" s="223"/>
      <c r="Y43" s="223"/>
      <c r="Z43" s="223"/>
      <c r="AA43" s="223"/>
      <c r="AB43" s="223"/>
      <c r="AC43" s="223"/>
      <c r="AD43" s="223"/>
      <c r="AE43" s="223"/>
      <c r="AF43" s="223"/>
      <c r="AG43" s="223"/>
      <c r="AH43" s="223"/>
      <c r="AI43" s="223"/>
      <c r="AJ43" s="223"/>
      <c r="AK43" s="223"/>
      <c r="AL43" s="224"/>
    </row>
    <row r="44" spans="1:38" x14ac:dyDescent="0.2">
      <c r="A44" s="504"/>
      <c r="B44" s="493"/>
      <c r="C44" s="493"/>
      <c r="D44" s="493"/>
      <c r="E44" s="493"/>
      <c r="F44" s="493"/>
      <c r="G44" s="493"/>
      <c r="H44" s="493"/>
      <c r="I44" s="493"/>
      <c r="J44" s="493"/>
      <c r="K44" s="493"/>
      <c r="L44" s="493"/>
      <c r="M44" s="493"/>
      <c r="N44" s="493"/>
      <c r="O44" s="493"/>
      <c r="P44" s="493"/>
      <c r="Q44" s="493"/>
      <c r="R44" s="493"/>
      <c r="S44" s="505"/>
      <c r="T44" s="492"/>
      <c r="U44" s="223"/>
      <c r="V44" s="223"/>
      <c r="W44" s="223"/>
      <c r="X44" s="223"/>
      <c r="Y44" s="223"/>
      <c r="Z44" s="223"/>
      <c r="AA44" s="223"/>
      <c r="AB44" s="223"/>
      <c r="AC44" s="223"/>
      <c r="AD44" s="223"/>
      <c r="AE44" s="223"/>
      <c r="AF44" s="223"/>
      <c r="AG44" s="223"/>
      <c r="AH44" s="223"/>
      <c r="AI44" s="223"/>
      <c r="AJ44" s="223"/>
      <c r="AK44" s="223"/>
      <c r="AL44" s="224"/>
    </row>
    <row r="45" spans="1:38" x14ac:dyDescent="0.2">
      <c r="A45" s="504"/>
      <c r="B45" s="493"/>
      <c r="C45" s="493"/>
      <c r="D45" s="493"/>
      <c r="E45" s="493"/>
      <c r="F45" s="493"/>
      <c r="G45" s="493"/>
      <c r="H45" s="493"/>
      <c r="I45" s="493"/>
      <c r="J45" s="493"/>
      <c r="K45" s="493"/>
      <c r="L45" s="493"/>
      <c r="M45" s="493"/>
      <c r="N45" s="493"/>
      <c r="O45" s="493"/>
      <c r="P45" s="493"/>
      <c r="Q45" s="493"/>
      <c r="R45" s="493"/>
      <c r="S45" s="505"/>
      <c r="T45" s="492"/>
      <c r="U45" s="223"/>
      <c r="V45" s="223"/>
      <c r="W45" s="223"/>
      <c r="X45" s="223"/>
      <c r="Y45" s="223"/>
      <c r="Z45" s="223"/>
      <c r="AA45" s="223"/>
      <c r="AB45" s="223"/>
      <c r="AC45" s="223"/>
      <c r="AD45" s="223"/>
      <c r="AE45" s="223"/>
      <c r="AF45" s="223"/>
      <c r="AG45" s="223"/>
      <c r="AH45" s="223"/>
      <c r="AI45" s="223"/>
      <c r="AJ45" s="223"/>
      <c r="AK45" s="223"/>
      <c r="AL45" s="224"/>
    </row>
    <row r="46" spans="1:38" x14ac:dyDescent="0.2">
      <c r="A46" s="504"/>
      <c r="B46" s="493"/>
      <c r="C46" s="493"/>
      <c r="D46" s="493"/>
      <c r="E46" s="493"/>
      <c r="F46" s="493"/>
      <c r="G46" s="493"/>
      <c r="H46" s="493"/>
      <c r="I46" s="493"/>
      <c r="J46" s="493"/>
      <c r="K46" s="493"/>
      <c r="L46" s="493"/>
      <c r="M46" s="493"/>
      <c r="N46" s="493"/>
      <c r="O46" s="493"/>
      <c r="P46" s="493"/>
      <c r="Q46" s="493"/>
      <c r="R46" s="493"/>
      <c r="S46" s="505"/>
      <c r="T46" s="492"/>
      <c r="U46" s="223"/>
      <c r="V46" s="223"/>
      <c r="W46" s="223"/>
      <c r="X46" s="223"/>
      <c r="Y46" s="223"/>
      <c r="Z46" s="223"/>
      <c r="AA46" s="223"/>
      <c r="AB46" s="223"/>
      <c r="AC46" s="223"/>
      <c r="AD46" s="223"/>
      <c r="AE46" s="223"/>
      <c r="AF46" s="223"/>
      <c r="AG46" s="223"/>
      <c r="AH46" s="223"/>
      <c r="AI46" s="223"/>
      <c r="AJ46" s="223"/>
      <c r="AK46" s="223"/>
      <c r="AL46" s="224"/>
    </row>
    <row r="47" spans="1:38" x14ac:dyDescent="0.2">
      <c r="A47" s="504"/>
      <c r="B47" s="493"/>
      <c r="C47" s="493"/>
      <c r="D47" s="493"/>
      <c r="E47" s="493"/>
      <c r="F47" s="493"/>
      <c r="G47" s="493"/>
      <c r="H47" s="493"/>
      <c r="I47" s="493"/>
      <c r="J47" s="493"/>
      <c r="K47" s="493"/>
      <c r="L47" s="493"/>
      <c r="M47" s="493"/>
      <c r="N47" s="493"/>
      <c r="O47" s="493"/>
      <c r="P47" s="493"/>
      <c r="Q47" s="493"/>
      <c r="R47" s="493"/>
      <c r="S47" s="505"/>
      <c r="T47" s="492"/>
      <c r="U47" s="223"/>
      <c r="V47" s="223"/>
      <c r="W47" s="223"/>
      <c r="X47" s="223"/>
      <c r="Y47" s="223"/>
      <c r="Z47" s="223"/>
      <c r="AA47" s="223"/>
      <c r="AB47" s="223"/>
      <c r="AC47" s="223"/>
      <c r="AD47" s="223"/>
      <c r="AE47" s="223"/>
      <c r="AF47" s="223"/>
      <c r="AG47" s="223"/>
      <c r="AH47" s="223"/>
      <c r="AI47" s="223"/>
      <c r="AJ47" s="223"/>
      <c r="AK47" s="223"/>
      <c r="AL47" s="224"/>
    </row>
    <row r="48" spans="1:38" x14ac:dyDescent="0.2">
      <c r="A48" s="504"/>
      <c r="B48" s="493"/>
      <c r="C48" s="493"/>
      <c r="D48" s="493"/>
      <c r="E48" s="493"/>
      <c r="F48" s="493"/>
      <c r="G48" s="493"/>
      <c r="H48" s="493"/>
      <c r="I48" s="493"/>
      <c r="J48" s="493"/>
      <c r="K48" s="493"/>
      <c r="L48" s="493"/>
      <c r="M48" s="493"/>
      <c r="N48" s="493"/>
      <c r="O48" s="493"/>
      <c r="P48" s="493"/>
      <c r="Q48" s="493"/>
      <c r="R48" s="493"/>
      <c r="S48" s="505"/>
      <c r="T48" s="492"/>
      <c r="U48" s="223"/>
      <c r="V48" s="223"/>
      <c r="W48" s="223"/>
      <c r="X48" s="223"/>
      <c r="Y48" s="223"/>
      <c r="Z48" s="223"/>
      <c r="AA48" s="223"/>
      <c r="AB48" s="223"/>
      <c r="AC48" s="223"/>
      <c r="AD48" s="223"/>
      <c r="AE48" s="223"/>
      <c r="AF48" s="223"/>
      <c r="AG48" s="223"/>
      <c r="AH48" s="223"/>
      <c r="AI48" s="223"/>
      <c r="AJ48" s="223"/>
      <c r="AK48" s="223"/>
      <c r="AL48" s="224"/>
    </row>
    <row r="49" spans="1:38" x14ac:dyDescent="0.2">
      <c r="A49" s="504"/>
      <c r="B49" s="493"/>
      <c r="C49" s="493"/>
      <c r="D49" s="493"/>
      <c r="E49" s="493"/>
      <c r="F49" s="493"/>
      <c r="G49" s="493"/>
      <c r="H49" s="493"/>
      <c r="I49" s="493"/>
      <c r="J49" s="493"/>
      <c r="K49" s="493"/>
      <c r="L49" s="493"/>
      <c r="M49" s="493"/>
      <c r="N49" s="493"/>
      <c r="O49" s="493"/>
      <c r="P49" s="493"/>
      <c r="Q49" s="493"/>
      <c r="R49" s="493"/>
      <c r="S49" s="505"/>
      <c r="T49" s="492"/>
      <c r="U49" s="223"/>
      <c r="V49" s="223"/>
      <c r="W49" s="223"/>
      <c r="X49" s="223"/>
      <c r="Y49" s="223"/>
      <c r="Z49" s="223"/>
      <c r="AA49" s="223"/>
      <c r="AB49" s="223"/>
      <c r="AC49" s="223"/>
      <c r="AD49" s="223"/>
      <c r="AE49" s="223"/>
      <c r="AF49" s="223"/>
      <c r="AG49" s="223"/>
      <c r="AH49" s="223"/>
      <c r="AI49" s="223"/>
      <c r="AJ49" s="223"/>
      <c r="AK49" s="223"/>
      <c r="AL49" s="224"/>
    </row>
    <row r="50" spans="1:38" x14ac:dyDescent="0.2">
      <c r="A50" s="504"/>
      <c r="B50" s="493"/>
      <c r="C50" s="493"/>
      <c r="D50" s="493"/>
      <c r="E50" s="493"/>
      <c r="F50" s="493"/>
      <c r="G50" s="493"/>
      <c r="H50" s="493"/>
      <c r="I50" s="493"/>
      <c r="J50" s="493"/>
      <c r="K50" s="493"/>
      <c r="L50" s="493"/>
      <c r="M50" s="493"/>
      <c r="N50" s="493"/>
      <c r="O50" s="493"/>
      <c r="P50" s="493"/>
      <c r="Q50" s="493"/>
      <c r="R50" s="493"/>
      <c r="S50" s="505"/>
      <c r="T50" s="492"/>
      <c r="U50" s="223"/>
      <c r="V50" s="223"/>
      <c r="W50" s="223"/>
      <c r="X50" s="223"/>
      <c r="Y50" s="223"/>
      <c r="Z50" s="223"/>
      <c r="AA50" s="223"/>
      <c r="AB50" s="223"/>
      <c r="AC50" s="223"/>
      <c r="AD50" s="223"/>
      <c r="AE50" s="223"/>
      <c r="AF50" s="223"/>
      <c r="AG50" s="223"/>
      <c r="AH50" s="223"/>
      <c r="AI50" s="223"/>
      <c r="AJ50" s="223"/>
      <c r="AK50" s="223"/>
      <c r="AL50" s="224"/>
    </row>
    <row r="51" spans="1:38" x14ac:dyDescent="0.2">
      <c r="A51" s="504"/>
      <c r="B51" s="493"/>
      <c r="C51" s="493"/>
      <c r="D51" s="493"/>
      <c r="E51" s="493"/>
      <c r="F51" s="493"/>
      <c r="G51" s="493"/>
      <c r="H51" s="493"/>
      <c r="I51" s="493"/>
      <c r="J51" s="493"/>
      <c r="K51" s="493"/>
      <c r="L51" s="493"/>
      <c r="M51" s="493"/>
      <c r="N51" s="493"/>
      <c r="O51" s="493"/>
      <c r="P51" s="493"/>
      <c r="Q51" s="493"/>
      <c r="R51" s="493"/>
      <c r="S51" s="505"/>
      <c r="T51" s="492"/>
      <c r="U51" s="223"/>
      <c r="V51" s="223"/>
      <c r="W51" s="223"/>
      <c r="X51" s="223"/>
      <c r="Y51" s="223"/>
      <c r="Z51" s="223"/>
      <c r="AA51" s="223"/>
      <c r="AB51" s="223"/>
      <c r="AC51" s="223"/>
      <c r="AD51" s="223"/>
      <c r="AE51" s="223"/>
      <c r="AF51" s="223"/>
      <c r="AG51" s="223"/>
      <c r="AH51" s="223"/>
      <c r="AI51" s="223"/>
      <c r="AJ51" s="223"/>
      <c r="AK51" s="223"/>
      <c r="AL51" s="224"/>
    </row>
    <row r="52" spans="1:38" x14ac:dyDescent="0.2">
      <c r="A52" s="504"/>
      <c r="B52" s="493"/>
      <c r="C52" s="493"/>
      <c r="D52" s="493"/>
      <c r="E52" s="493"/>
      <c r="F52" s="493"/>
      <c r="G52" s="493"/>
      <c r="H52" s="493"/>
      <c r="I52" s="493"/>
      <c r="J52" s="493"/>
      <c r="K52" s="493"/>
      <c r="L52" s="493"/>
      <c r="M52" s="493"/>
      <c r="N52" s="493"/>
      <c r="O52" s="493"/>
      <c r="P52" s="493"/>
      <c r="Q52" s="493"/>
      <c r="R52" s="493"/>
      <c r="S52" s="505"/>
      <c r="T52" s="492"/>
      <c r="U52" s="223"/>
      <c r="V52" s="223"/>
      <c r="W52" s="223"/>
      <c r="X52" s="223"/>
      <c r="Y52" s="223"/>
      <c r="Z52" s="223"/>
      <c r="AA52" s="223"/>
      <c r="AB52" s="223"/>
      <c r="AC52" s="223"/>
      <c r="AD52" s="223"/>
      <c r="AE52" s="223"/>
      <c r="AF52" s="223"/>
      <c r="AG52" s="223"/>
      <c r="AH52" s="223"/>
      <c r="AI52" s="223"/>
      <c r="AJ52" s="223"/>
      <c r="AK52" s="223"/>
      <c r="AL52" s="224"/>
    </row>
    <row r="53" spans="1:38" x14ac:dyDescent="0.2">
      <c r="A53" s="504"/>
      <c r="B53" s="493"/>
      <c r="C53" s="493"/>
      <c r="D53" s="493"/>
      <c r="E53" s="493"/>
      <c r="F53" s="493"/>
      <c r="G53" s="493"/>
      <c r="H53" s="493"/>
      <c r="I53" s="493"/>
      <c r="J53" s="493"/>
      <c r="K53" s="493"/>
      <c r="L53" s="493"/>
      <c r="M53" s="493"/>
      <c r="N53" s="493"/>
      <c r="O53" s="493"/>
      <c r="P53" s="493"/>
      <c r="Q53" s="493"/>
      <c r="R53" s="493"/>
      <c r="S53" s="505"/>
      <c r="T53" s="492"/>
      <c r="U53" s="223"/>
      <c r="V53" s="223"/>
      <c r="W53" s="223"/>
      <c r="X53" s="223"/>
      <c r="Y53" s="223"/>
      <c r="Z53" s="223"/>
      <c r="AA53" s="223"/>
      <c r="AB53" s="223"/>
      <c r="AC53" s="223"/>
      <c r="AD53" s="223"/>
      <c r="AE53" s="223"/>
      <c r="AF53" s="223"/>
      <c r="AG53" s="223"/>
      <c r="AH53" s="223"/>
      <c r="AI53" s="223"/>
      <c r="AJ53" s="223"/>
      <c r="AK53" s="223"/>
      <c r="AL53" s="224"/>
    </row>
    <row r="54" spans="1:38" x14ac:dyDescent="0.2">
      <c r="A54" s="504"/>
      <c r="B54" s="493"/>
      <c r="C54" s="493"/>
      <c r="D54" s="493"/>
      <c r="E54" s="493"/>
      <c r="F54" s="493"/>
      <c r="G54" s="493"/>
      <c r="H54" s="493"/>
      <c r="I54" s="493"/>
      <c r="J54" s="493"/>
      <c r="K54" s="493"/>
      <c r="L54" s="493"/>
      <c r="M54" s="493"/>
      <c r="N54" s="493"/>
      <c r="O54" s="493"/>
      <c r="P54" s="493"/>
      <c r="Q54" s="493"/>
      <c r="R54" s="493"/>
      <c r="S54" s="505"/>
      <c r="T54" s="492"/>
      <c r="U54" s="223"/>
      <c r="V54" s="223"/>
      <c r="W54" s="223"/>
      <c r="X54" s="223"/>
      <c r="Y54" s="223"/>
      <c r="Z54" s="223"/>
      <c r="AA54" s="223"/>
      <c r="AB54" s="223"/>
      <c r="AC54" s="223"/>
      <c r="AD54" s="223"/>
      <c r="AE54" s="223"/>
      <c r="AF54" s="223"/>
      <c r="AG54" s="223"/>
      <c r="AH54" s="223"/>
      <c r="AI54" s="223"/>
      <c r="AJ54" s="223"/>
      <c r="AK54" s="223"/>
      <c r="AL54" s="224"/>
    </row>
    <row r="55" spans="1:38" x14ac:dyDescent="0.2">
      <c r="A55" s="504"/>
      <c r="B55" s="493"/>
      <c r="C55" s="493"/>
      <c r="D55" s="493"/>
      <c r="E55" s="493"/>
      <c r="F55" s="493"/>
      <c r="G55" s="493"/>
      <c r="H55" s="493"/>
      <c r="I55" s="493"/>
      <c r="J55" s="493"/>
      <c r="K55" s="493"/>
      <c r="L55" s="493"/>
      <c r="M55" s="493"/>
      <c r="N55" s="493"/>
      <c r="O55" s="493"/>
      <c r="P55" s="493"/>
      <c r="Q55" s="493"/>
      <c r="R55" s="493"/>
      <c r="S55" s="505"/>
      <c r="T55" s="492"/>
      <c r="U55" s="223"/>
      <c r="V55" s="223"/>
      <c r="W55" s="223"/>
      <c r="X55" s="223"/>
      <c r="Y55" s="223"/>
      <c r="Z55" s="223"/>
      <c r="AA55" s="223"/>
      <c r="AB55" s="223"/>
      <c r="AC55" s="223"/>
      <c r="AD55" s="223"/>
      <c r="AE55" s="223"/>
      <c r="AF55" s="223"/>
      <c r="AG55" s="223"/>
      <c r="AH55" s="223"/>
      <c r="AI55" s="223"/>
      <c r="AJ55" s="223"/>
      <c r="AK55" s="223"/>
      <c r="AL55" s="224"/>
    </row>
    <row r="56" spans="1:38" x14ac:dyDescent="0.2">
      <c r="A56" s="504"/>
      <c r="B56" s="493"/>
      <c r="C56" s="493"/>
      <c r="D56" s="493"/>
      <c r="E56" s="493"/>
      <c r="F56" s="493"/>
      <c r="G56" s="493"/>
      <c r="H56" s="493"/>
      <c r="I56" s="493"/>
      <c r="J56" s="493"/>
      <c r="K56" s="493"/>
      <c r="L56" s="493"/>
      <c r="M56" s="493"/>
      <c r="N56" s="493"/>
      <c r="O56" s="493"/>
      <c r="P56" s="493"/>
      <c r="Q56" s="493"/>
      <c r="R56" s="493"/>
      <c r="S56" s="505"/>
      <c r="T56" s="492"/>
      <c r="U56" s="223"/>
      <c r="V56" s="223"/>
      <c r="W56" s="223"/>
      <c r="X56" s="223"/>
      <c r="Y56" s="223"/>
      <c r="Z56" s="223"/>
      <c r="AA56" s="223"/>
      <c r="AB56" s="223"/>
      <c r="AC56" s="223"/>
      <c r="AD56" s="223"/>
      <c r="AE56" s="223"/>
      <c r="AF56" s="223"/>
      <c r="AG56" s="223"/>
      <c r="AH56" s="223"/>
      <c r="AI56" s="223"/>
      <c r="AJ56" s="223"/>
      <c r="AK56" s="223"/>
      <c r="AL56" s="224"/>
    </row>
    <row r="57" spans="1:38" x14ac:dyDescent="0.2">
      <c r="A57" s="506"/>
      <c r="B57" s="507"/>
      <c r="C57" s="507"/>
      <c r="D57" s="507"/>
      <c r="E57" s="507"/>
      <c r="F57" s="507"/>
      <c r="G57" s="507"/>
      <c r="H57" s="507"/>
      <c r="I57" s="507"/>
      <c r="J57" s="507"/>
      <c r="K57" s="507"/>
      <c r="L57" s="507"/>
      <c r="M57" s="507"/>
      <c r="N57" s="507"/>
      <c r="O57" s="507"/>
      <c r="P57" s="507"/>
      <c r="Q57" s="507"/>
      <c r="R57" s="507"/>
      <c r="S57" s="508"/>
      <c r="T57" s="495"/>
      <c r="U57" s="226"/>
      <c r="V57" s="226"/>
      <c r="W57" s="226"/>
      <c r="X57" s="226"/>
      <c r="Y57" s="226"/>
      <c r="Z57" s="226"/>
      <c r="AA57" s="226"/>
      <c r="AB57" s="226"/>
      <c r="AC57" s="226"/>
      <c r="AD57" s="226"/>
      <c r="AE57" s="226"/>
      <c r="AF57" s="226"/>
      <c r="AG57" s="226"/>
      <c r="AH57" s="226"/>
      <c r="AI57" s="226"/>
      <c r="AJ57" s="226"/>
      <c r="AK57" s="226"/>
      <c r="AL57" s="227"/>
    </row>
  </sheetData>
  <sheetProtection password="E10F" sheet="1" objects="1" scenarios="1"/>
  <mergeCells count="1">
    <mergeCell ref="A1:S1"/>
  </mergeCells>
  <phoneticPr fontId="0" type="noConversion"/>
  <hyperlinks>
    <hyperlink ref="AB30" location="'T2.17 Main Hoop Attachments'!A1" display="BACK" xr:uid="{00000000-0004-0000-2D00-000000000000}"/>
  </hyperlinks>
  <pageMargins left="0.39370078740157483" right="0.39370078740157483" top="0.39370078740157483" bottom="0.39370078740157483" header="0.51181102362204722" footer="0.51181102362204722"/>
  <pageSetup paperSize="9" scale="51"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46</vt:i4>
      </vt:variant>
      <vt:variant>
        <vt:lpstr>Plages nommées</vt:lpstr>
      </vt:variant>
      <vt:variant>
        <vt:i4>30</vt:i4>
      </vt:variant>
    </vt:vector>
  </HeadingPairs>
  <TitlesOfParts>
    <vt:vector size="76" baseType="lpstr">
      <vt:lpstr>Read_Me</vt:lpstr>
      <vt:lpstr>Version History</vt:lpstr>
      <vt:lpstr>Rules Clarifications</vt:lpstr>
      <vt:lpstr>Cover Sheet</vt:lpstr>
      <vt:lpstr>Chassis Pics</vt:lpstr>
      <vt:lpstr>MaterialData</vt:lpstr>
      <vt:lpstr>T2.9 Main Hoop Tubing</vt:lpstr>
      <vt:lpstr>T2.10 Front Hoop Tubing</vt:lpstr>
      <vt:lpstr>T2.11 Main Hoop Bracing</vt:lpstr>
      <vt:lpstr>T2.11.5 T2.6 MHoop Brace Spt</vt:lpstr>
      <vt:lpstr>T2.12 T2.6 FHoop Bracing</vt:lpstr>
      <vt:lpstr>T2.14 T2.6 Ft Bulkhead</vt:lpstr>
      <vt:lpstr>T2.15 T2.6 FBH S'pt Structure</vt:lpstr>
      <vt:lpstr>T2.16.1 T2.16.2 SIS</vt:lpstr>
      <vt:lpstr>T4.5 Shoulder Harness Bar</vt:lpstr>
      <vt:lpstr>T2.20 IA AI Plate</vt:lpstr>
      <vt:lpstr>3 Point Bending Comp AIP</vt:lpstr>
      <vt:lpstr>Shear Test Comp AIP</vt:lpstr>
      <vt:lpstr>T2.6 Laminate Test</vt:lpstr>
      <vt:lpstr>T2.6 FBHS</vt:lpstr>
      <vt:lpstr>T2.6 Different Layups</vt:lpstr>
      <vt:lpstr>T2.6.9 Shear Tests</vt:lpstr>
      <vt:lpstr>Other 1 Matt´l Shear</vt:lpstr>
      <vt:lpstr>T2.17 Main Hoop Attachments</vt:lpstr>
      <vt:lpstr>T2.17 Front Hoop Attachments</vt:lpstr>
      <vt:lpstr>T2.17 Hoop B'ing Attachments</vt:lpstr>
      <vt:lpstr>T2.18.5 IA Attachments</vt:lpstr>
      <vt:lpstr>T3.5 Harness Attachments</vt:lpstr>
      <vt:lpstr>EV6.5.5&amp;6 Accumulator Container</vt:lpstr>
      <vt:lpstr>EV6.5.6 Alt Matl - 3pt Bending</vt:lpstr>
      <vt:lpstr>EV6.5.6 Alt Matl - Shear</vt:lpstr>
      <vt:lpstr>EV6.5.6 Alt. Matls Summary</vt:lpstr>
      <vt:lpstr>EV6.5.12 Acc. Attachments</vt:lpstr>
      <vt:lpstr>EV6.5.1&amp;3 Accumulator Protect.</vt:lpstr>
      <vt:lpstr>EV5.4 Tract. System Prot'n</vt:lpstr>
      <vt:lpstr>Welded Tube Inserts</vt:lpstr>
      <vt:lpstr>Steering Rack Collars</vt:lpstr>
      <vt:lpstr>Monocoque Lap Joints</vt:lpstr>
      <vt:lpstr>Additional Info</vt:lpstr>
      <vt:lpstr>T2.11.5 T2.6 Guidance Notes</vt:lpstr>
      <vt:lpstr>T2.6 T2.12 Guidance Notes</vt:lpstr>
      <vt:lpstr>T2.15 T2.6 Guidance Notes</vt:lpstr>
      <vt:lpstr>T2.20 Guidance Notes</vt:lpstr>
      <vt:lpstr>T2.16.2 Guidance Notes</vt:lpstr>
      <vt:lpstr>T2.6.9 Guidance Notes</vt:lpstr>
      <vt:lpstr>Monocoque Attachments Guidance</vt:lpstr>
      <vt:lpstr>AIP</vt:lpstr>
      <vt:lpstr>ConstructionType</vt:lpstr>
      <vt:lpstr>Innertable</vt:lpstr>
      <vt:lpstr>Material</vt:lpstr>
      <vt:lpstr>Materialname</vt:lpstr>
      <vt:lpstr>Materials</vt:lpstr>
      <vt:lpstr>Metallic_Mats</vt:lpstr>
      <vt:lpstr>Table</vt:lpstr>
      <vt:lpstr>Tube_Type</vt:lpstr>
      <vt:lpstr>'Chassis Pics'!Zone_d_impression</vt:lpstr>
      <vt:lpstr>'EV6.5.6 Alt Matl - Shear'!Zone_d_impression</vt:lpstr>
      <vt:lpstr>'EV6.5.6 Alt. Matls Summary'!Zone_d_impression</vt:lpstr>
      <vt:lpstr>'Monocoque Attachments Guidance'!Zone_d_impression</vt:lpstr>
      <vt:lpstr>'Other 1 Matt´l Shear'!Zone_d_impression</vt:lpstr>
      <vt:lpstr>'Shear Test Comp AIP'!Zone_d_impression</vt:lpstr>
      <vt:lpstr>'Steering Rack Collars'!Zone_d_impression</vt:lpstr>
      <vt:lpstr>'T2.11.5 T2.6 MHoop Brace Spt'!Zone_d_impression</vt:lpstr>
      <vt:lpstr>'T2.12 T2.6 FHoop Bracing'!Zone_d_impression</vt:lpstr>
      <vt:lpstr>'T2.14 T2.6 Ft Bulkhead'!Zone_d_impression</vt:lpstr>
      <vt:lpstr>'T2.15 T2.6 FBH S''pt Structure'!Zone_d_impression</vt:lpstr>
      <vt:lpstr>'T2.15 T2.6 Guidance Notes'!Zone_d_impression</vt:lpstr>
      <vt:lpstr>'T2.16.1 T2.16.2 SIS'!Zone_d_impression</vt:lpstr>
      <vt:lpstr>'T2.16.2 Guidance Notes'!Zone_d_impression</vt:lpstr>
      <vt:lpstr>'T2.20 Guidance Notes'!Zone_d_impression</vt:lpstr>
      <vt:lpstr>'T2.20 IA AI Plate'!Zone_d_impression</vt:lpstr>
      <vt:lpstr>'T2.6 T2.12 Guidance Notes'!Zone_d_impression</vt:lpstr>
      <vt:lpstr>'T2.6.9 Guidance Notes'!Zone_d_impression</vt:lpstr>
      <vt:lpstr>'T2.6.9 Shear Tests'!Zone_d_impression</vt:lpstr>
      <vt:lpstr>'T3.5 Harness Attachments'!Zone_d_impression</vt:lpstr>
      <vt:lpstr>'Welded Tube Inserts'!Zone_d_impression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FS Structural Equivalency Spreadsheet</dc:title>
  <dc:creator>Steinfurth</dc:creator>
  <cp:lastModifiedBy>robin clamens</cp:lastModifiedBy>
  <cp:lastPrinted>2012-11-18T21:59:34Z</cp:lastPrinted>
  <dcterms:created xsi:type="dcterms:W3CDTF">2011-03-12T12:50:23Z</dcterms:created>
  <dcterms:modified xsi:type="dcterms:W3CDTF">2018-11-22T08:45:19Z</dcterms:modified>
</cp:coreProperties>
</file>