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Kawczynski\Documents\EPSA\Table de calcul suspensions\"/>
    </mc:Choice>
  </mc:AlternateContent>
  <xr:revisionPtr revIDLastSave="0" documentId="13_ncr:1_{AAA95706-8B43-4AD1-BFEA-228D6BC5710B}" xr6:coauthVersionLast="38" xr6:coauthVersionMax="38" xr10:uidLastSave="{00000000-0000-0000-0000-000000000000}"/>
  <bookViews>
    <workbookView xWindow="0" yWindow="0" windowWidth="20490" windowHeight="7545" xr2:uid="{ED26F5FC-3D03-493A-BE0B-93AE13E52AA1}"/>
  </bookViews>
  <sheets>
    <sheet name="Sheet1" sheetId="1" r:id="rId1"/>
    <sheet name="Sheet2" sheetId="2" r:id="rId2"/>
  </sheets>
  <definedNames>
    <definedName name="Cz">Sheet1!#REF!</definedName>
    <definedName name="FrontWheelRate_NoTire">Sheet1!#REF!</definedName>
    <definedName name="RearWheelRate_NoTire">Sheet1!#REF!</definedName>
    <definedName name="Ro">Sheet1!#REF!</definedName>
    <definedName name="S">Sheet1!#REF!</definedName>
    <definedName name="SM">Sheet1!$E$16</definedName>
    <definedName name="SM_WD">Sheet1!$E$17</definedName>
    <definedName name="Speed">Sheet1!#REF!</definedName>
    <definedName name="SpringMR_Fr">Sheet1!$L$5</definedName>
    <definedName name="SpringMR_Rr">Sheet1!$L$6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R17" i="1"/>
  <c r="E15" i="1" l="1"/>
  <c r="E16" i="1" s="1"/>
  <c r="E7" i="1"/>
  <c r="G3" i="2"/>
  <c r="F3" i="2"/>
  <c r="F7" i="2" s="1"/>
  <c r="G7" i="2"/>
  <c r="G4" i="2"/>
  <c r="B4" i="2"/>
  <c r="B3" i="2"/>
  <c r="E29" i="1" l="1"/>
  <c r="E30" i="1" s="1"/>
  <c r="E17" i="1" l="1"/>
  <c r="E10" i="1"/>
  <c r="R5" i="1" l="1"/>
  <c r="R11" i="1" s="1"/>
  <c r="E19" i="1"/>
  <c r="R7" i="1" l="1"/>
  <c r="R9" i="1" s="1"/>
  <c r="R6" i="1"/>
  <c r="R12" i="1" s="1"/>
  <c r="R8" i="1" l="1"/>
  <c r="R10" i="1" s="1"/>
</calcChain>
</file>

<file path=xl/sharedStrings.xml><?xml version="1.0" encoding="utf-8"?>
<sst xmlns="http://schemas.openxmlformats.org/spreadsheetml/2006/main" count="114" uniqueCount="93">
  <si>
    <t>Input</t>
  </si>
  <si>
    <t>Dim.</t>
  </si>
  <si>
    <t>Wheel base</t>
  </si>
  <si>
    <t>mm</t>
  </si>
  <si>
    <t>Front track</t>
  </si>
  <si>
    <t>Rear track</t>
  </si>
  <si>
    <t>Mass and Inertia</t>
  </si>
  <si>
    <t>Total mass</t>
  </si>
  <si>
    <t>kg</t>
  </si>
  <si>
    <t>Total Mass distribution</t>
  </si>
  <si>
    <t>% Fr</t>
  </si>
  <si>
    <t>Front non suspended mass (per wheel)</t>
  </si>
  <si>
    <t>Rear non suspended mass (per wheel)</t>
  </si>
  <si>
    <t>Non suspended mass wheight distribution</t>
  </si>
  <si>
    <t>Total mass CG height</t>
  </si>
  <si>
    <t>Front non suspended mass CG height</t>
  </si>
  <si>
    <t>Rear non suspended mass CG height</t>
  </si>
  <si>
    <t>Suspended mass</t>
  </si>
  <si>
    <t>Suspended mass wheight distribution</t>
  </si>
  <si>
    <t>Suspended mass CG coordinates</t>
  </si>
  <si>
    <t>X</t>
  </si>
  <si>
    <t>Y</t>
  </si>
  <si>
    <t>Z</t>
  </si>
  <si>
    <t>kg.m²</t>
  </si>
  <si>
    <t>Front spring stiffness</t>
  </si>
  <si>
    <t>N/mm</t>
  </si>
  <si>
    <t>Rear spring stiffness</t>
  </si>
  <si>
    <t>Front tire stiffness</t>
  </si>
  <si>
    <t>Rear tire stiffness</t>
  </si>
  <si>
    <t>M.R.</t>
  </si>
  <si>
    <t>Front spring motion ratio</t>
  </si>
  <si>
    <t>mm/mm</t>
  </si>
  <si>
    <t>Rear spring motion ratio</t>
  </si>
  <si>
    <t>Rear anti roll bar motion ratio</t>
  </si>
  <si>
    <t>Roll</t>
  </si>
  <si>
    <t>Aero</t>
  </si>
  <si>
    <t>Down Force Coefficient</t>
  </si>
  <si>
    <t>-</t>
  </si>
  <si>
    <t>Down Force Distribution</t>
  </si>
  <si>
    <t>Air Density</t>
  </si>
  <si>
    <t>Frontal Area</t>
  </si>
  <si>
    <t>Speed</t>
  </si>
  <si>
    <t>km/h</t>
  </si>
  <si>
    <t>Total Down Force</t>
  </si>
  <si>
    <t>Case to simulate</t>
  </si>
  <si>
    <t>Lat G</t>
  </si>
  <si>
    <t>Spring &amp; ARB</t>
  </si>
  <si>
    <t>Tires</t>
  </si>
  <si>
    <t>Results</t>
  </si>
  <si>
    <t>Suspended mass roll stiffness</t>
  </si>
  <si>
    <t>°/g</t>
  </si>
  <si>
    <t>Roll angle</t>
  </si>
  <si>
    <t>°Roll</t>
  </si>
  <si>
    <t>Frequency &amp; Damping</t>
  </si>
  <si>
    <t>Hz</t>
  </si>
  <si>
    <t>N/(mm/s)</t>
  </si>
  <si>
    <t>Front wheel stiffness</t>
  </si>
  <si>
    <t>Rear wheel stiffness</t>
  </si>
  <si>
    <t>Rear ride stiffness</t>
  </si>
  <si>
    <t>Front ride stiffness</t>
  </si>
  <si>
    <t>Front SM frequency</t>
  </si>
  <si>
    <t>Rear SM frequency</t>
  </si>
  <si>
    <t>Front SM critical damping</t>
  </si>
  <si>
    <t>Rear SM critical damping</t>
  </si>
  <si>
    <t>Front NSM frequency</t>
  </si>
  <si>
    <t>Rear NSM frequency</t>
  </si>
  <si>
    <t>Front NSM critical damping</t>
  </si>
  <si>
    <t>Rear NSM critical damping</t>
  </si>
  <si>
    <t>Total</t>
  </si>
  <si>
    <t>Non suspended</t>
  </si>
  <si>
    <t>Suspended</t>
  </si>
  <si>
    <t>Non Suspended</t>
  </si>
  <si>
    <t>g</t>
  </si>
  <si>
    <t>kg/m³</t>
  </si>
  <si>
    <t>Front anti roll bar motion ratio</t>
  </si>
  <si>
    <t>Roue équipée</t>
  </si>
  <si>
    <t>Moitié triangle</t>
  </si>
  <si>
    <t>Suspension</t>
  </si>
  <si>
    <t>Masselote équilibrage</t>
  </si>
  <si>
    <t>Roue équipée avant</t>
  </si>
  <si>
    <t>Avant</t>
  </si>
  <si>
    <t>Arrière</t>
  </si>
  <si>
    <t>Disque frein</t>
  </si>
  <si>
    <t>Vehicule mass</t>
  </si>
  <si>
    <t>Pilot mass</t>
  </si>
  <si>
    <r>
      <t xml:space="preserve">Roll natural frequency of </t>
    </r>
    <r>
      <rPr>
        <sz val="11"/>
        <color theme="1"/>
        <rFont val="Calibri"/>
        <family val="2"/>
      </rPr>
      <t>SM</t>
    </r>
  </si>
  <si>
    <r>
      <rPr>
        <sz val="11"/>
        <color theme="1"/>
        <rFont val="Calibri"/>
        <family val="2"/>
      </rPr>
      <t xml:space="preserve">Front </t>
    </r>
    <r>
      <rPr>
        <sz val="11"/>
        <color theme="1"/>
        <rFont val="Calibri"/>
        <family val="2"/>
        <scheme val="minor"/>
      </rPr>
      <t>roll center height</t>
    </r>
  </si>
  <si>
    <r>
      <rPr>
        <sz val="11"/>
        <color theme="1"/>
        <rFont val="Calibri"/>
        <family val="2"/>
      </rPr>
      <t xml:space="preserve">Rear </t>
    </r>
    <r>
      <rPr>
        <sz val="11"/>
        <color theme="1"/>
        <rFont val="Calibri"/>
        <family val="2"/>
        <scheme val="minor"/>
      </rPr>
      <t>roll center height</t>
    </r>
  </si>
  <si>
    <r>
      <t>Suspended mass roll inertia (ref SM CG) - I</t>
    </r>
    <r>
      <rPr>
        <sz val="11"/>
        <color theme="1"/>
        <rFont val="Calibri"/>
        <family val="2"/>
        <scheme val="minor"/>
      </rPr>
      <t>xx</t>
    </r>
  </si>
  <si>
    <r>
      <t>m</t>
    </r>
    <r>
      <rPr>
        <sz val="11"/>
        <color theme="1"/>
        <rFont val="Calibri"/>
        <family val="2"/>
        <scheme val="minor"/>
      </rPr>
      <t>2</t>
    </r>
  </si>
  <si>
    <t>Front roll rate</t>
  </si>
  <si>
    <t>Rear roll rate</t>
  </si>
  <si>
    <t>Nm/°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</si>
</sst>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5E0B3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2" tint="-0.249977111117893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rgb="FFD8D8D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C5E0B3"/>
      </patternFill>
    </fill>
    <fill>
      <patternFill patternType="solid">
        <fgColor rgb="FFCC99FF"/>
        <bgColor rgb="FFD6DCE4"/>
      </patternFill>
    </fill>
    <fill>
      <patternFill patternType="solid">
        <fgColor rgb="FF99FFCC"/>
        <bgColor indexed="64"/>
      </patternFill>
    </fill>
    <fill>
      <patternFill patternType="solid">
        <fgColor rgb="FF99FFCC"/>
        <bgColor rgb="FFC5E0B3"/>
      </patternFill>
    </fill>
    <fill>
      <patternFill patternType="solid">
        <fgColor rgb="FFFF3B3B"/>
        <bgColor rgb="FFA5A5A5"/>
      </patternFill>
    </fill>
    <fill>
      <patternFill patternType="solid">
        <fgColor rgb="FFFF3B3B"/>
        <bgColor indexed="64"/>
      </patternFill>
    </fill>
    <fill>
      <patternFill patternType="solid">
        <fgColor rgb="FFFF3B3B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rgb="FF92D05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rgb="FFD6DCE4"/>
      </patternFill>
    </fill>
    <fill>
      <patternFill patternType="solid">
        <fgColor rgb="FFFFC000"/>
        <bgColor rgb="FFBDD6EE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ADB9CA"/>
      </patternFill>
    </fill>
    <fill>
      <patternFill patternType="solid">
        <fgColor rgb="FFFFFF00"/>
        <bgColor rgb="FFD6DCE4"/>
      </patternFill>
    </fill>
    <fill>
      <patternFill patternType="solid">
        <fgColor rgb="FFFFFF00"/>
        <bgColor rgb="FFDEEAF6"/>
      </patternFill>
    </fill>
    <fill>
      <patternFill patternType="solid">
        <fgColor theme="7" tint="0.39997558519241921"/>
        <bgColor rgb="FF92D05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BFBFBF"/>
      </patternFill>
    </fill>
    <fill>
      <patternFill patternType="solid">
        <fgColor rgb="FF00B0F0"/>
        <bgColor rgb="FFD8D8D8"/>
      </patternFill>
    </fill>
    <fill>
      <patternFill patternType="solid">
        <fgColor rgb="FF92D050"/>
        <bgColor rgb="FFBFBFBF"/>
      </patternFill>
    </fill>
    <fill>
      <patternFill patternType="solid">
        <fgColor rgb="FF92D050"/>
        <bgColor rgb="FFD8D8D8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D8D8D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2" fontId="0" fillId="15" borderId="5" xfId="0" applyNumberFormat="1" applyFont="1" applyFill="1" applyBorder="1" applyAlignment="1">
      <alignment horizontal="center" vertical="center"/>
    </xf>
    <xf numFmtId="1" fontId="0" fillId="10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12" borderId="5" xfId="0" applyNumberFormat="1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2" fontId="0" fillId="14" borderId="5" xfId="0" applyNumberFormat="1" applyFont="1" applyFill="1" applyBorder="1" applyAlignment="1">
      <alignment horizontal="center" vertical="center"/>
    </xf>
    <xf numFmtId="2" fontId="0" fillId="27" borderId="5" xfId="0" applyNumberFormat="1" applyFont="1" applyFill="1" applyBorder="1" applyAlignment="1">
      <alignment horizontal="center" vertical="center"/>
    </xf>
    <xf numFmtId="2" fontId="0" fillId="29" borderId="5" xfId="0" applyNumberFormat="1" applyFont="1" applyFill="1" applyBorder="1" applyAlignment="1">
      <alignment horizontal="center" vertical="center"/>
    </xf>
    <xf numFmtId="2" fontId="0" fillId="30" borderId="8" xfId="0" applyNumberFormat="1" applyFont="1" applyFill="1" applyBorder="1" applyAlignment="1">
      <alignment horizontal="center" vertical="center"/>
    </xf>
    <xf numFmtId="2" fontId="0" fillId="30" borderId="5" xfId="0" applyNumberFormat="1" applyFont="1" applyFill="1" applyBorder="1" applyAlignment="1">
      <alignment horizontal="center" vertical="center"/>
    </xf>
    <xf numFmtId="164" fontId="0" fillId="33" borderId="5" xfId="0" applyNumberFormat="1" applyFont="1" applyFill="1" applyBorder="1" applyAlignment="1">
      <alignment horizontal="center" vertical="center"/>
    </xf>
    <xf numFmtId="1" fontId="0" fillId="37" borderId="5" xfId="0" applyNumberFormat="1" applyFont="1" applyFill="1" applyBorder="1" applyAlignment="1">
      <alignment horizontal="center" vertical="center"/>
    </xf>
    <xf numFmtId="0" fontId="0" fillId="29" borderId="5" xfId="0" applyFont="1" applyFill="1" applyBorder="1" applyAlignment="1">
      <alignment horizontal="center" vertical="center"/>
    </xf>
    <xf numFmtId="0" fontId="0" fillId="37" borderId="5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3" borderId="11" xfId="0" applyFont="1" applyFill="1" applyBorder="1" applyAlignment="1">
      <alignment horizontal="center" vertical="center"/>
    </xf>
    <xf numFmtId="0" fontId="0" fillId="13" borderId="10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12" borderId="11" xfId="0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0" fillId="14" borderId="11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40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26" borderId="5" xfId="0" applyNumberFormat="1" applyFont="1" applyFill="1" applyBorder="1" applyAlignment="1">
      <alignment horizontal="center" vertical="center"/>
    </xf>
    <xf numFmtId="2" fontId="0" fillId="11" borderId="5" xfId="0" applyNumberFormat="1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2" fontId="0" fillId="10" borderId="5" xfId="0" applyNumberFormat="1" applyFont="1" applyFill="1" applyBorder="1" applyAlignment="1">
      <alignment horizontal="center" vertical="center"/>
    </xf>
    <xf numFmtId="0" fontId="0" fillId="9" borderId="9" xfId="0" applyFont="1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2" fontId="0" fillId="9" borderId="5" xfId="0" applyNumberFormat="1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38" borderId="12" xfId="0" applyFont="1" applyFill="1" applyBorder="1" applyAlignment="1">
      <alignment vertical="center"/>
    </xf>
    <xf numFmtId="0" fontId="4" fillId="39" borderId="12" xfId="0" applyFont="1" applyFill="1" applyBorder="1" applyAlignment="1">
      <alignment vertical="center"/>
    </xf>
    <xf numFmtId="0" fontId="5" fillId="39" borderId="12" xfId="0" applyFont="1" applyFill="1" applyBorder="1" applyAlignment="1">
      <alignment vertical="center"/>
    </xf>
    <xf numFmtId="2" fontId="0" fillId="39" borderId="12" xfId="0" applyNumberFormat="1" applyFont="1" applyFill="1" applyBorder="1" applyAlignment="1">
      <alignment horizontal="center" vertical="center"/>
    </xf>
    <xf numFmtId="0" fontId="0" fillId="39" borderId="12" xfId="0" applyFont="1" applyFill="1" applyBorder="1" applyAlignment="1">
      <alignment horizontal="center" vertical="center"/>
    </xf>
    <xf numFmtId="2" fontId="0" fillId="17" borderId="9" xfId="0" applyNumberFormat="1" applyFont="1" applyFill="1" applyBorder="1" applyAlignment="1">
      <alignment horizontal="center" vertical="center"/>
    </xf>
    <xf numFmtId="0" fontId="0" fillId="31" borderId="6" xfId="0" applyFont="1" applyFill="1" applyBorder="1" applyAlignment="1">
      <alignment horizontal="center" vertical="center"/>
    </xf>
    <xf numFmtId="0" fontId="0" fillId="31" borderId="8" xfId="0" applyFont="1" applyFill="1" applyBorder="1" applyAlignment="1">
      <alignment horizontal="center" vertical="center"/>
    </xf>
    <xf numFmtId="0" fontId="0" fillId="27" borderId="6" xfId="0" applyFont="1" applyFill="1" applyBorder="1" applyAlignment="1">
      <alignment horizontal="center" vertical="center"/>
    </xf>
    <xf numFmtId="0" fontId="0" fillId="27" borderId="8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7" xfId="0" applyFont="1" applyFill="1" applyBorder="1" applyAlignment="1">
      <alignment horizontal="center" vertical="center"/>
    </xf>
    <xf numFmtId="0" fontId="0" fillId="3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textRotation="90"/>
    </xf>
    <xf numFmtId="0" fontId="4" fillId="10" borderId="5" xfId="0" applyFont="1" applyFill="1" applyBorder="1" applyAlignment="1">
      <alignment horizontal="center" vertical="center" textRotation="90"/>
    </xf>
    <xf numFmtId="0" fontId="4" fillId="5" borderId="5" xfId="0" applyFont="1" applyFill="1" applyBorder="1" applyAlignment="1">
      <alignment horizontal="center" vertical="center" textRotation="90"/>
    </xf>
    <xf numFmtId="0" fontId="0" fillId="40" borderId="9" xfId="0" applyFont="1" applyFill="1" applyBorder="1" applyAlignment="1">
      <alignment horizontal="center" vertical="center"/>
    </xf>
    <xf numFmtId="0" fontId="0" fillId="40" borderId="10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/>
    </xf>
    <xf numFmtId="0" fontId="5" fillId="24" borderId="2" xfId="0" applyFont="1" applyFill="1" applyBorder="1"/>
    <xf numFmtId="0" fontId="5" fillId="24" borderId="3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0" fillId="4" borderId="5" xfId="0" applyFont="1" applyFill="1" applyBorder="1" applyAlignment="1">
      <alignment horizontal="center" vertical="center"/>
    </xf>
    <xf numFmtId="0" fontId="5" fillId="22" borderId="5" xfId="0" applyFont="1" applyFill="1" applyBorder="1" applyAlignment="1">
      <alignment horizontal="center" vertical="center"/>
    </xf>
    <xf numFmtId="0" fontId="5" fillId="25" borderId="5" xfId="0" applyFont="1" applyFill="1" applyBorder="1" applyAlignment="1">
      <alignment horizontal="center" vertical="center"/>
    </xf>
    <xf numFmtId="0" fontId="5" fillId="28" borderId="5" xfId="0" applyFont="1" applyFill="1" applyBorder="1" applyAlignment="1">
      <alignment horizontal="center" vertical="center"/>
    </xf>
    <xf numFmtId="0" fontId="0" fillId="29" borderId="5" xfId="0" applyFont="1" applyFill="1" applyBorder="1" applyAlignment="1">
      <alignment horizontal="center" vertical="center"/>
    </xf>
    <xf numFmtId="0" fontId="4" fillId="25" borderId="5" xfId="0" applyFont="1" applyFill="1" applyBorder="1" applyAlignment="1">
      <alignment horizontal="center" vertical="center" textRotation="90"/>
    </xf>
    <xf numFmtId="0" fontId="4" fillId="21" borderId="8" xfId="0" applyFont="1" applyFill="1" applyBorder="1" applyAlignment="1">
      <alignment horizontal="center" vertical="center" textRotation="90"/>
    </xf>
    <xf numFmtId="0" fontId="4" fillId="21" borderId="5" xfId="0" applyFont="1" applyFill="1" applyBorder="1" applyAlignment="1">
      <alignment horizontal="center" vertical="center" textRotation="90"/>
    </xf>
    <xf numFmtId="0" fontId="5" fillId="21" borderId="8" xfId="0" applyFont="1" applyFill="1" applyBorder="1" applyAlignment="1">
      <alignment horizontal="center" vertical="center"/>
    </xf>
    <xf numFmtId="0" fontId="0" fillId="35" borderId="5" xfId="0" applyFont="1" applyFill="1" applyBorder="1" applyAlignment="1">
      <alignment horizontal="center" vertical="center"/>
    </xf>
    <xf numFmtId="0" fontId="3" fillId="23" borderId="5" xfId="0" applyFont="1" applyFill="1" applyBorder="1" applyAlignment="1">
      <alignment horizontal="center" vertical="center"/>
    </xf>
    <xf numFmtId="0" fontId="4" fillId="36" borderId="5" xfId="0" applyFont="1" applyFill="1" applyBorder="1" applyAlignment="1">
      <alignment horizontal="center" vertical="center" textRotation="90"/>
    </xf>
    <xf numFmtId="0" fontId="0" fillId="37" borderId="5" xfId="0" applyFont="1" applyFill="1" applyBorder="1" applyAlignment="1">
      <alignment horizontal="center" vertical="center"/>
    </xf>
    <xf numFmtId="0" fontId="4" fillId="33" borderId="5" xfId="0" applyFont="1" applyFill="1" applyBorder="1" applyAlignment="1">
      <alignment horizontal="center" vertical="center" textRotation="90"/>
    </xf>
    <xf numFmtId="0" fontId="4" fillId="18" borderId="8" xfId="0" applyFont="1" applyFill="1" applyBorder="1" applyAlignment="1">
      <alignment horizontal="center" vertical="center" textRotation="90"/>
    </xf>
    <xf numFmtId="0" fontId="5" fillId="19" borderId="5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32" borderId="8" xfId="0" applyFont="1" applyFill="1" applyBorder="1" applyAlignment="1">
      <alignment horizontal="center" vertical="center" textRotation="90"/>
    </xf>
    <xf numFmtId="0" fontId="4" fillId="32" borderId="5" xfId="0" applyFont="1" applyFill="1" applyBorder="1" applyAlignment="1">
      <alignment horizontal="center" vertical="center" textRotation="90"/>
    </xf>
    <xf numFmtId="0" fontId="0" fillId="15" borderId="5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1" fillId="24" borderId="5" xfId="0" applyFont="1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textRotation="90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0" fontId="0" fillId="15" borderId="6" xfId="0" applyFont="1" applyFill="1" applyBorder="1" applyAlignment="1">
      <alignment horizontal="center" vertical="center"/>
    </xf>
    <xf numFmtId="0" fontId="0" fillId="15" borderId="7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0" fillId="34" borderId="5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 textRotation="90"/>
    </xf>
    <xf numFmtId="0" fontId="1" fillId="19" borderId="8" xfId="0" applyFont="1" applyFill="1" applyBorder="1" applyAlignment="1">
      <alignment horizontal="center" vertical="center" textRotation="90"/>
    </xf>
    <xf numFmtId="0" fontId="4" fillId="19" borderId="13" xfId="0" applyFont="1" applyFill="1" applyBorder="1" applyAlignment="1">
      <alignment horizontal="center" vertical="center" textRotation="90"/>
    </xf>
    <xf numFmtId="0" fontId="4" fillId="19" borderId="0" xfId="0" applyFont="1" applyFill="1" applyBorder="1" applyAlignment="1">
      <alignment horizontal="center" vertical="center" textRotation="90"/>
    </xf>
    <xf numFmtId="0" fontId="4" fillId="19" borderId="14" xfId="0" applyFont="1" applyFill="1" applyBorder="1" applyAlignment="1">
      <alignment horizontal="center" vertical="center" textRotation="90"/>
    </xf>
    <xf numFmtId="0" fontId="4" fillId="19" borderId="6" xfId="0" applyFont="1" applyFill="1" applyBorder="1" applyAlignment="1">
      <alignment horizontal="center" vertical="center" textRotation="90"/>
    </xf>
    <xf numFmtId="0" fontId="4" fillId="19" borderId="7" xfId="0" applyFont="1" applyFill="1" applyBorder="1" applyAlignment="1">
      <alignment horizontal="center" vertical="center" textRotation="90"/>
    </xf>
    <xf numFmtId="0" fontId="4" fillId="19" borderId="8" xfId="0" applyFont="1" applyFill="1" applyBorder="1" applyAlignment="1">
      <alignment horizontal="center" vertical="center" textRotation="90"/>
    </xf>
    <xf numFmtId="0" fontId="4" fillId="20" borderId="6" xfId="0" applyFont="1" applyFill="1" applyBorder="1" applyAlignment="1">
      <alignment horizontal="center" vertical="center" textRotation="90"/>
    </xf>
    <xf numFmtId="0" fontId="4" fillId="20" borderId="8" xfId="0" applyFont="1" applyFill="1" applyBorder="1" applyAlignment="1">
      <alignment horizontal="center" vertical="center" textRotation="90"/>
    </xf>
    <xf numFmtId="0" fontId="0" fillId="9" borderId="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  <color rgb="FF99FFCC"/>
      <color rgb="FFCC99FF"/>
      <color rgb="FF66FFCC"/>
      <color rgb="FF00CCFF"/>
      <color rgb="FFCC66FF"/>
      <color rgb="FFFF7171"/>
      <color rgb="FFFF2121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4667-03BA-432C-A290-66090526787D}">
  <dimension ref="A1:S39"/>
  <sheetViews>
    <sheetView tabSelected="1" zoomScale="60" zoomScaleNormal="60" workbookViewId="0">
      <selection activeCell="T10" sqref="T10"/>
    </sheetView>
  </sheetViews>
  <sheetFormatPr defaultRowHeight="24" customHeight="1" x14ac:dyDescent="0.25"/>
  <cols>
    <col min="1" max="1" width="5.42578125" style="37" bestFit="1" customWidth="1"/>
    <col min="2" max="2" width="32" style="37" bestFit="1" customWidth="1"/>
    <col min="3" max="3" width="41.42578125" style="37" customWidth="1"/>
    <col min="4" max="4" width="5.42578125" style="37" customWidth="1"/>
    <col min="5" max="5" width="11.5703125" style="37" customWidth="1"/>
    <col min="6" max="6" width="11.28515625" style="37" customWidth="1"/>
    <col min="7" max="7" width="9.140625" style="37"/>
    <col min="8" max="8" width="5.42578125" style="37" bestFit="1" customWidth="1"/>
    <col min="9" max="9" width="5.42578125" style="37" customWidth="1"/>
    <col min="10" max="10" width="9.140625" style="37"/>
    <col min="11" max="11" width="28" style="37" customWidth="1"/>
    <col min="12" max="12" width="6.85546875" style="37" bestFit="1" customWidth="1"/>
    <col min="13" max="13" width="11.7109375" style="37" customWidth="1"/>
    <col min="14" max="14" width="19.7109375" style="37" customWidth="1"/>
    <col min="15" max="15" width="4.42578125" style="37" bestFit="1" customWidth="1"/>
    <col min="16" max="16" width="9.140625" style="37"/>
    <col min="17" max="17" width="15.140625" style="37" customWidth="1"/>
    <col min="18" max="18" width="14.7109375" style="37" bestFit="1" customWidth="1"/>
    <col min="19" max="19" width="8.85546875" style="37" customWidth="1"/>
    <col min="20" max="16384" width="9.140625" style="37"/>
  </cols>
  <sheetData>
    <row r="1" spans="1:19" ht="24" customHeight="1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9" ht="24" customHeight="1" x14ac:dyDescent="0.25">
      <c r="A2" s="90" t="s">
        <v>1</v>
      </c>
      <c r="B2" s="92" t="s">
        <v>2</v>
      </c>
      <c r="C2" s="92"/>
      <c r="D2" s="92"/>
      <c r="E2" s="23">
        <v>2980</v>
      </c>
      <c r="F2" s="92" t="s">
        <v>3</v>
      </c>
      <c r="H2" s="95" t="s">
        <v>53</v>
      </c>
      <c r="I2" s="82" t="s">
        <v>71</v>
      </c>
      <c r="J2" s="84" t="s">
        <v>64</v>
      </c>
      <c r="K2" s="84"/>
      <c r="L2" s="17">
        <v>22</v>
      </c>
      <c r="M2" s="56" t="s">
        <v>54</v>
      </c>
    </row>
    <row r="3" spans="1:19" ht="24" customHeight="1" x14ac:dyDescent="0.25">
      <c r="A3" s="91"/>
      <c r="B3" s="94" t="s">
        <v>4</v>
      </c>
      <c r="C3" s="94"/>
      <c r="D3" s="94"/>
      <c r="E3" s="24">
        <v>1254</v>
      </c>
      <c r="F3" s="93"/>
      <c r="H3" s="96"/>
      <c r="I3" s="83"/>
      <c r="J3" s="77" t="s">
        <v>65</v>
      </c>
      <c r="K3" s="77"/>
      <c r="L3" s="18">
        <v>22</v>
      </c>
      <c r="M3" s="57"/>
    </row>
    <row r="4" spans="1:19" ht="24" customHeight="1" x14ac:dyDescent="0.25">
      <c r="A4" s="91"/>
      <c r="B4" s="94" t="s">
        <v>5</v>
      </c>
      <c r="C4" s="94"/>
      <c r="D4" s="94"/>
      <c r="E4" s="24">
        <v>1180</v>
      </c>
      <c r="F4" s="93"/>
      <c r="H4" s="96"/>
      <c r="I4" s="83"/>
      <c r="J4" s="77" t="s">
        <v>66</v>
      </c>
      <c r="K4" s="77"/>
      <c r="L4" s="18">
        <v>0</v>
      </c>
      <c r="M4" s="56" t="s">
        <v>55</v>
      </c>
      <c r="O4" s="99" t="s">
        <v>48</v>
      </c>
      <c r="P4" s="99"/>
      <c r="Q4" s="99"/>
      <c r="R4" s="99"/>
      <c r="S4" s="99"/>
    </row>
    <row r="5" spans="1:19" ht="24" customHeight="1" x14ac:dyDescent="0.25">
      <c r="A5" s="111" t="s">
        <v>6</v>
      </c>
      <c r="B5" s="65" t="s">
        <v>68</v>
      </c>
      <c r="C5" s="68" t="s">
        <v>83</v>
      </c>
      <c r="D5" s="69"/>
      <c r="E5" s="38">
        <v>222</v>
      </c>
      <c r="F5" s="63" t="s">
        <v>8</v>
      </c>
      <c r="H5" s="96"/>
      <c r="I5" s="83"/>
      <c r="J5" s="77" t="s">
        <v>67</v>
      </c>
      <c r="K5" s="77"/>
      <c r="L5" s="18">
        <v>0</v>
      </c>
      <c r="M5" s="57"/>
      <c r="O5" s="102" t="s">
        <v>46</v>
      </c>
      <c r="P5" s="101" t="s">
        <v>59</v>
      </c>
      <c r="Q5" s="101"/>
      <c r="R5" s="39">
        <f>(2*PI()*L6)^2*(E16*E15/100)/1000</f>
        <v>15.719990062714292</v>
      </c>
      <c r="S5" s="105" t="s">
        <v>25</v>
      </c>
    </row>
    <row r="6" spans="1:19" ht="24" customHeight="1" x14ac:dyDescent="0.25">
      <c r="A6" s="112"/>
      <c r="B6" s="65"/>
      <c r="C6" s="68" t="s">
        <v>84</v>
      </c>
      <c r="D6" s="69"/>
      <c r="E6" s="36">
        <v>0</v>
      </c>
      <c r="F6" s="63"/>
      <c r="H6" s="96"/>
      <c r="I6" s="81" t="s">
        <v>70</v>
      </c>
      <c r="J6" s="78" t="s">
        <v>60</v>
      </c>
      <c r="K6" s="78"/>
      <c r="L6" s="40">
        <v>2</v>
      </c>
      <c r="M6" s="58" t="s">
        <v>54</v>
      </c>
      <c r="O6" s="103"/>
      <c r="P6" s="101" t="s">
        <v>58</v>
      </c>
      <c r="Q6" s="101"/>
      <c r="R6" s="39">
        <f>(2*PI()*L7)^2*((1-E16/100)*E15)/1000</f>
        <v>15.378896534612648</v>
      </c>
      <c r="S6" s="106"/>
    </row>
    <row r="7" spans="1:19" ht="24" customHeight="1" x14ac:dyDescent="0.25">
      <c r="A7" s="112"/>
      <c r="B7" s="65"/>
      <c r="C7" s="63" t="s">
        <v>7</v>
      </c>
      <c r="D7" s="63"/>
      <c r="E7" s="38">
        <f>E5+E6</f>
        <v>222</v>
      </c>
      <c r="F7" s="63"/>
      <c r="H7" s="96"/>
      <c r="I7" s="81"/>
      <c r="J7" s="79" t="s">
        <v>61</v>
      </c>
      <c r="K7" s="79"/>
      <c r="L7" s="40">
        <v>2</v>
      </c>
      <c r="M7" s="59"/>
      <c r="O7" s="103"/>
      <c r="P7" s="101" t="s">
        <v>56</v>
      </c>
      <c r="Q7" s="101"/>
      <c r="R7" s="39">
        <f>R5*E21/(E21-R5)</f>
        <v>17.060982434355335</v>
      </c>
      <c r="S7" s="106"/>
    </row>
    <row r="8" spans="1:19" ht="24" customHeight="1" x14ac:dyDescent="0.25">
      <c r="A8" s="112"/>
      <c r="B8" s="65"/>
      <c r="C8" s="63" t="s">
        <v>9</v>
      </c>
      <c r="D8" s="63"/>
      <c r="E8" s="38">
        <v>50</v>
      </c>
      <c r="F8" s="3" t="s">
        <v>10</v>
      </c>
      <c r="H8" s="96"/>
      <c r="I8" s="81"/>
      <c r="J8" s="79" t="s">
        <v>62</v>
      </c>
      <c r="K8" s="79"/>
      <c r="L8" s="15">
        <v>0</v>
      </c>
      <c r="M8" s="58" t="s">
        <v>55</v>
      </c>
      <c r="O8" s="103"/>
      <c r="P8" s="101" t="s">
        <v>57</v>
      </c>
      <c r="Q8" s="101"/>
      <c r="R8" s="39">
        <f>R6*E22/(E22-R6)</f>
        <v>16.659955168663448</v>
      </c>
      <c r="S8" s="106"/>
    </row>
    <row r="9" spans="1:19" ht="24" customHeight="1" x14ac:dyDescent="0.25">
      <c r="A9" s="112"/>
      <c r="B9" s="65"/>
      <c r="C9" s="63" t="s">
        <v>14</v>
      </c>
      <c r="D9" s="63"/>
      <c r="E9" s="4">
        <v>270</v>
      </c>
      <c r="F9" s="3" t="s">
        <v>3</v>
      </c>
      <c r="H9" s="96"/>
      <c r="I9" s="81"/>
      <c r="J9" s="79" t="s">
        <v>63</v>
      </c>
      <c r="K9" s="79"/>
      <c r="L9" s="15">
        <v>0</v>
      </c>
      <c r="M9" s="59"/>
      <c r="O9" s="103"/>
      <c r="P9" s="97" t="s">
        <v>24</v>
      </c>
      <c r="Q9" s="98"/>
      <c r="R9" s="5">
        <f>L11^2*R7</f>
        <v>18.099996264607572</v>
      </c>
      <c r="S9" s="106"/>
    </row>
    <row r="10" spans="1:19" ht="24" customHeight="1" x14ac:dyDescent="0.25">
      <c r="A10" s="112"/>
      <c r="B10" s="66" t="s">
        <v>70</v>
      </c>
      <c r="C10" s="121" t="s">
        <v>13</v>
      </c>
      <c r="D10" s="121"/>
      <c r="E10" s="41">
        <f>E11/(E12+E11)*100</f>
        <v>45.691030960740505</v>
      </c>
      <c r="F10" s="42" t="s">
        <v>10</v>
      </c>
      <c r="H10" s="96"/>
      <c r="I10" s="81"/>
      <c r="J10" s="80" t="s">
        <v>85</v>
      </c>
      <c r="K10" s="79"/>
      <c r="L10" s="16">
        <v>0</v>
      </c>
      <c r="M10" s="21" t="s">
        <v>54</v>
      </c>
      <c r="O10" s="103"/>
      <c r="P10" s="97" t="s">
        <v>26</v>
      </c>
      <c r="Q10" s="98"/>
      <c r="R10" s="5">
        <f>L12^2*R8</f>
        <v>17.674546438435051</v>
      </c>
      <c r="S10" s="106"/>
    </row>
    <row r="11" spans="1:19" ht="24" customHeight="1" x14ac:dyDescent="0.25">
      <c r="A11" s="112"/>
      <c r="B11" s="66"/>
      <c r="C11" s="64" t="s">
        <v>11</v>
      </c>
      <c r="D11" s="64"/>
      <c r="E11" s="43">
        <v>5.726</v>
      </c>
      <c r="F11" s="64" t="s">
        <v>8</v>
      </c>
      <c r="H11" s="89" t="s">
        <v>29</v>
      </c>
      <c r="I11" s="108" t="s">
        <v>30</v>
      </c>
      <c r="J11" s="108"/>
      <c r="K11" s="108"/>
      <c r="L11" s="19">
        <v>1.03</v>
      </c>
      <c r="M11" s="60" t="s">
        <v>31</v>
      </c>
      <c r="O11" s="103"/>
      <c r="P11" s="100" t="s">
        <v>90</v>
      </c>
      <c r="Q11" s="98"/>
      <c r="R11" s="55">
        <f>(R5*1000)*(E3/1000)^2/2*(2*PI()/180)</f>
        <v>431.44427222278972</v>
      </c>
      <c r="S11" s="105" t="s">
        <v>92</v>
      </c>
    </row>
    <row r="12" spans="1:19" ht="24" customHeight="1" x14ac:dyDescent="0.25">
      <c r="A12" s="112"/>
      <c r="B12" s="66"/>
      <c r="C12" s="64" t="s">
        <v>12</v>
      </c>
      <c r="D12" s="64"/>
      <c r="E12" s="43">
        <v>6.806</v>
      </c>
      <c r="F12" s="64"/>
      <c r="H12" s="89"/>
      <c r="I12" s="108" t="s">
        <v>32</v>
      </c>
      <c r="J12" s="108"/>
      <c r="K12" s="108"/>
      <c r="L12" s="19">
        <v>1.03</v>
      </c>
      <c r="M12" s="61"/>
      <c r="O12" s="104"/>
      <c r="P12" s="100" t="s">
        <v>91</v>
      </c>
      <c r="Q12" s="98"/>
      <c r="R12" s="55">
        <f>(R6*1000)*(E4/1000)^2/2*(2*PI()/180)</f>
        <v>373.73739770667214</v>
      </c>
      <c r="S12" s="107"/>
    </row>
    <row r="13" spans="1:19" ht="24" customHeight="1" x14ac:dyDescent="0.25">
      <c r="A13" s="112"/>
      <c r="B13" s="66"/>
      <c r="C13" s="121" t="s">
        <v>15</v>
      </c>
      <c r="D13" s="121"/>
      <c r="E13" s="6">
        <v>280</v>
      </c>
      <c r="F13" s="123" t="s">
        <v>3</v>
      </c>
      <c r="H13" s="89"/>
      <c r="I13" s="85" t="s">
        <v>74</v>
      </c>
      <c r="J13" s="85"/>
      <c r="K13" s="85"/>
      <c r="L13" s="19">
        <v>0.65</v>
      </c>
      <c r="M13" s="61"/>
    </row>
    <row r="14" spans="1:19" ht="24" customHeight="1" x14ac:dyDescent="0.25">
      <c r="A14" s="112"/>
      <c r="B14" s="66"/>
      <c r="C14" s="121" t="s">
        <v>16</v>
      </c>
      <c r="D14" s="121"/>
      <c r="E14" s="6">
        <v>280</v>
      </c>
      <c r="F14" s="123"/>
      <c r="H14" s="89"/>
      <c r="I14" s="85" t="s">
        <v>33</v>
      </c>
      <c r="J14" s="85"/>
      <c r="K14" s="85"/>
      <c r="L14" s="19">
        <v>0.75</v>
      </c>
      <c r="M14" s="62"/>
    </row>
    <row r="15" spans="1:19" ht="24" customHeight="1" x14ac:dyDescent="0.25">
      <c r="A15" s="112"/>
      <c r="B15" s="67" t="s">
        <v>69</v>
      </c>
      <c r="C15" s="76" t="s">
        <v>17</v>
      </c>
      <c r="D15" s="76"/>
      <c r="E15" s="7">
        <f>E7-2*E11-2*E12</f>
        <v>196.93600000000001</v>
      </c>
      <c r="F15" s="8" t="s">
        <v>8</v>
      </c>
      <c r="H15" s="87" t="s">
        <v>34</v>
      </c>
      <c r="I15" s="88" t="s">
        <v>86</v>
      </c>
      <c r="J15" s="88"/>
      <c r="K15" s="88"/>
      <c r="L15" s="22">
        <v>36</v>
      </c>
      <c r="M15" s="88" t="s">
        <v>3</v>
      </c>
    </row>
    <row r="16" spans="1:19" ht="24" customHeight="1" x14ac:dyDescent="0.25">
      <c r="A16" s="112"/>
      <c r="B16" s="67"/>
      <c r="C16" s="76" t="s">
        <v>18</v>
      </c>
      <c r="D16" s="76"/>
      <c r="E16" s="7">
        <f>(E7*E8/100-E11*2)/E15*100</f>
        <v>50.548401511150828</v>
      </c>
      <c r="F16" s="8" t="s">
        <v>10</v>
      </c>
      <c r="H16" s="87"/>
      <c r="I16" s="88" t="s">
        <v>87</v>
      </c>
      <c r="J16" s="88"/>
      <c r="K16" s="88"/>
      <c r="L16" s="20">
        <v>63</v>
      </c>
      <c r="M16" s="88"/>
    </row>
    <row r="17" spans="1:18" ht="24" customHeight="1" x14ac:dyDescent="0.25">
      <c r="A17" s="112"/>
      <c r="B17" s="67"/>
      <c r="C17" s="76" t="s">
        <v>19</v>
      </c>
      <c r="D17" s="8" t="s">
        <v>20</v>
      </c>
      <c r="E17" s="7">
        <f>(100-E8)/100*E2</f>
        <v>1490</v>
      </c>
      <c r="F17" s="76" t="s">
        <v>3</v>
      </c>
      <c r="R17" s="37">
        <f>1231/1165.5</f>
        <v>1.0561990561990562</v>
      </c>
    </row>
    <row r="18" spans="1:18" ht="24" customHeight="1" x14ac:dyDescent="0.25">
      <c r="A18" s="112"/>
      <c r="B18" s="67"/>
      <c r="C18" s="76"/>
      <c r="D18" s="8" t="s">
        <v>21</v>
      </c>
      <c r="E18" s="7">
        <v>0</v>
      </c>
      <c r="F18" s="76"/>
      <c r="R18" s="37">
        <f>1254/1180</f>
        <v>1.0627118644067797</v>
      </c>
    </row>
    <row r="19" spans="1:18" ht="24" customHeight="1" x14ac:dyDescent="0.25">
      <c r="A19" s="112"/>
      <c r="B19" s="67"/>
      <c r="C19" s="76"/>
      <c r="D19" s="8" t="s">
        <v>22</v>
      </c>
      <c r="E19" s="7">
        <f>(E7*E9-(2*E11*E13+2*E12*E14))/E15</f>
        <v>268.72730227078847</v>
      </c>
      <c r="F19" s="76"/>
    </row>
    <row r="20" spans="1:18" ht="24" customHeight="1" x14ac:dyDescent="0.3">
      <c r="A20" s="113"/>
      <c r="B20" s="67"/>
      <c r="C20" s="122" t="s">
        <v>88</v>
      </c>
      <c r="D20" s="122"/>
      <c r="E20" s="9">
        <v>200</v>
      </c>
      <c r="F20" s="10" t="s">
        <v>23</v>
      </c>
      <c r="H20" s="70" t="s">
        <v>44</v>
      </c>
      <c r="I20" s="71"/>
      <c r="J20" s="71"/>
      <c r="K20" s="71"/>
      <c r="L20" s="72"/>
    </row>
    <row r="21" spans="1:18" ht="24" customHeight="1" x14ac:dyDescent="0.25">
      <c r="A21" s="109" t="s">
        <v>47</v>
      </c>
      <c r="B21" s="44" t="s">
        <v>27</v>
      </c>
      <c r="C21" s="45"/>
      <c r="D21" s="46"/>
      <c r="E21" s="47">
        <v>200</v>
      </c>
      <c r="F21" s="119" t="s">
        <v>25</v>
      </c>
      <c r="H21" s="73" t="s">
        <v>45</v>
      </c>
      <c r="I21" s="74"/>
      <c r="J21" s="75"/>
      <c r="K21" s="1">
        <v>2.5</v>
      </c>
      <c r="L21" s="2" t="s">
        <v>72</v>
      </c>
    </row>
    <row r="22" spans="1:18" ht="24" customHeight="1" x14ac:dyDescent="0.25">
      <c r="A22" s="110"/>
      <c r="B22" s="44" t="s">
        <v>28</v>
      </c>
      <c r="C22" s="45"/>
      <c r="D22" s="46"/>
      <c r="E22" s="47">
        <v>200</v>
      </c>
      <c r="F22" s="120"/>
    </row>
    <row r="23" spans="1:18" ht="24" customHeight="1" x14ac:dyDescent="0.25">
      <c r="A23" s="117" t="s">
        <v>34</v>
      </c>
      <c r="B23" s="28" t="s">
        <v>49</v>
      </c>
      <c r="C23" s="29"/>
      <c r="D23" s="30"/>
      <c r="E23" s="11">
        <v>0</v>
      </c>
      <c r="F23" s="12" t="s">
        <v>50</v>
      </c>
    </row>
    <row r="24" spans="1:18" ht="24" customHeight="1" x14ac:dyDescent="0.25">
      <c r="A24" s="118"/>
      <c r="B24" s="28" t="s">
        <v>51</v>
      </c>
      <c r="C24" s="29"/>
      <c r="D24" s="30"/>
      <c r="E24" s="11">
        <v>0</v>
      </c>
      <c r="F24" s="12" t="s">
        <v>52</v>
      </c>
    </row>
    <row r="25" spans="1:18" ht="24" customHeight="1" x14ac:dyDescent="0.25">
      <c r="A25" s="114" t="s">
        <v>35</v>
      </c>
      <c r="B25" s="25" t="s">
        <v>36</v>
      </c>
      <c r="C25" s="26"/>
      <c r="D25" s="27"/>
      <c r="E25" s="13">
        <v>2.15</v>
      </c>
      <c r="F25" s="13" t="s">
        <v>37</v>
      </c>
    </row>
    <row r="26" spans="1:18" ht="24" customHeight="1" x14ac:dyDescent="0.25">
      <c r="A26" s="115"/>
      <c r="B26" s="25" t="s">
        <v>38</v>
      </c>
      <c r="C26" s="26"/>
      <c r="D26" s="27"/>
      <c r="E26" s="13">
        <v>48.6</v>
      </c>
      <c r="F26" s="13" t="s">
        <v>10</v>
      </c>
    </row>
    <row r="27" spans="1:18" ht="24" customHeight="1" x14ac:dyDescent="0.25">
      <c r="A27" s="115"/>
      <c r="B27" s="25" t="s">
        <v>39</v>
      </c>
      <c r="C27" s="26"/>
      <c r="D27" s="27"/>
      <c r="E27" s="13">
        <v>1.2255</v>
      </c>
      <c r="F27" s="13" t="s">
        <v>73</v>
      </c>
    </row>
    <row r="28" spans="1:18" ht="24" customHeight="1" x14ac:dyDescent="0.25">
      <c r="A28" s="115"/>
      <c r="B28" s="25" t="s">
        <v>40</v>
      </c>
      <c r="C28" s="26"/>
      <c r="D28" s="27"/>
      <c r="E28" s="13">
        <v>1.75</v>
      </c>
      <c r="F28" s="13" t="s">
        <v>89</v>
      </c>
    </row>
    <row r="29" spans="1:18" ht="24" customHeight="1" x14ac:dyDescent="0.25">
      <c r="A29" s="115"/>
      <c r="B29" s="25" t="s">
        <v>41</v>
      </c>
      <c r="C29" s="26"/>
      <c r="D29" s="27"/>
      <c r="E29" s="13">
        <f>60</f>
        <v>60</v>
      </c>
      <c r="F29" s="13" t="s">
        <v>42</v>
      </c>
    </row>
    <row r="30" spans="1:18" ht="24" customHeight="1" x14ac:dyDescent="0.25">
      <c r="A30" s="116"/>
      <c r="B30" s="31" t="s">
        <v>43</v>
      </c>
      <c r="C30" s="32"/>
      <c r="D30" s="33"/>
      <c r="E30" s="14">
        <f>(1/2*E25*E27*E28*(E29/3.6)^2)/9.81</f>
        <v>65.281228763166837</v>
      </c>
      <c r="F30" s="14" t="s">
        <v>8</v>
      </c>
    </row>
    <row r="35" spans="1:7" ht="24" customHeight="1" x14ac:dyDescent="0.25">
      <c r="A35" s="48"/>
      <c r="B35" s="48"/>
      <c r="G35" s="49"/>
    </row>
    <row r="36" spans="1:7" ht="24" customHeight="1" x14ac:dyDescent="0.25">
      <c r="A36" s="50"/>
      <c r="B36" s="50"/>
      <c r="G36" s="49"/>
    </row>
    <row r="37" spans="1:7" ht="24" customHeight="1" x14ac:dyDescent="0.25">
      <c r="A37" s="51"/>
      <c r="B37" s="51"/>
      <c r="C37" s="48"/>
      <c r="D37" s="48"/>
      <c r="E37" s="48"/>
      <c r="F37" s="48"/>
      <c r="G37" s="49"/>
    </row>
    <row r="38" spans="1:7" ht="24" customHeight="1" x14ac:dyDescent="0.25">
      <c r="C38" s="52"/>
      <c r="D38" s="52"/>
      <c r="E38" s="52"/>
      <c r="F38" s="52"/>
    </row>
    <row r="39" spans="1:7" ht="24" customHeight="1" x14ac:dyDescent="0.25">
      <c r="C39" s="52"/>
      <c r="D39" s="52"/>
      <c r="E39" s="53"/>
      <c r="F39" s="54"/>
    </row>
  </sheetData>
  <mergeCells count="72">
    <mergeCell ref="I15:K15"/>
    <mergeCell ref="A21:A22"/>
    <mergeCell ref="A5:A20"/>
    <mergeCell ref="A25:A30"/>
    <mergeCell ref="A23:A24"/>
    <mergeCell ref="F21:F22"/>
    <mergeCell ref="C14:D14"/>
    <mergeCell ref="C13:D13"/>
    <mergeCell ref="C20:D20"/>
    <mergeCell ref="C10:D10"/>
    <mergeCell ref="C12:D12"/>
    <mergeCell ref="C11:D11"/>
    <mergeCell ref="F17:F19"/>
    <mergeCell ref="C17:C19"/>
    <mergeCell ref="C15:D15"/>
    <mergeCell ref="F13:F14"/>
    <mergeCell ref="P9:Q9"/>
    <mergeCell ref="P10:Q10"/>
    <mergeCell ref="O4:S4"/>
    <mergeCell ref="P11:Q11"/>
    <mergeCell ref="P12:Q12"/>
    <mergeCell ref="P5:Q5"/>
    <mergeCell ref="P6:Q6"/>
    <mergeCell ref="P7:Q7"/>
    <mergeCell ref="P8:Q8"/>
    <mergeCell ref="O5:O12"/>
    <mergeCell ref="S5:S10"/>
    <mergeCell ref="S11:S12"/>
    <mergeCell ref="A1:M1"/>
    <mergeCell ref="H15:H16"/>
    <mergeCell ref="M15:M16"/>
    <mergeCell ref="H11:H14"/>
    <mergeCell ref="C9:D9"/>
    <mergeCell ref="C8:D8"/>
    <mergeCell ref="C7:D7"/>
    <mergeCell ref="A2:A4"/>
    <mergeCell ref="F2:F4"/>
    <mergeCell ref="B2:D2"/>
    <mergeCell ref="B3:D3"/>
    <mergeCell ref="B4:D4"/>
    <mergeCell ref="H2:H10"/>
    <mergeCell ref="I13:K13"/>
    <mergeCell ref="I12:K12"/>
    <mergeCell ref="I11:K11"/>
    <mergeCell ref="H20:L20"/>
    <mergeCell ref="H21:J21"/>
    <mergeCell ref="C16:D16"/>
    <mergeCell ref="J4:K4"/>
    <mergeCell ref="J5:K5"/>
    <mergeCell ref="J6:K6"/>
    <mergeCell ref="J7:K7"/>
    <mergeCell ref="J10:K10"/>
    <mergeCell ref="J8:K8"/>
    <mergeCell ref="I6:I10"/>
    <mergeCell ref="I2:I5"/>
    <mergeCell ref="J2:K2"/>
    <mergeCell ref="J3:K3"/>
    <mergeCell ref="J9:K9"/>
    <mergeCell ref="I14:K14"/>
    <mergeCell ref="I16:K16"/>
    <mergeCell ref="F5:F7"/>
    <mergeCell ref="F11:F12"/>
    <mergeCell ref="B5:B9"/>
    <mergeCell ref="B10:B14"/>
    <mergeCell ref="B15:B20"/>
    <mergeCell ref="C5:D5"/>
    <mergeCell ref="C6:D6"/>
    <mergeCell ref="M2:M3"/>
    <mergeCell ref="M4:M5"/>
    <mergeCell ref="M6:M7"/>
    <mergeCell ref="M8:M9"/>
    <mergeCell ref="M11:M1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5FA6-39EA-4839-A77D-609FE6EBFA36}">
  <dimension ref="A1:G7"/>
  <sheetViews>
    <sheetView workbookViewId="0">
      <selection activeCell="F7" sqref="F7"/>
    </sheetView>
  </sheetViews>
  <sheetFormatPr defaultRowHeight="15" x14ac:dyDescent="0.25"/>
  <cols>
    <col min="1" max="1" width="21" style="34" bestFit="1" customWidth="1"/>
    <col min="2" max="4" width="9.140625" style="34"/>
    <col min="5" max="5" width="21" style="34" bestFit="1" customWidth="1"/>
    <col min="6" max="6" width="8" style="34" bestFit="1" customWidth="1"/>
    <col min="7" max="7" width="9.5703125" style="34" bestFit="1" customWidth="1"/>
    <col min="8" max="16384" width="9.140625" style="34"/>
  </cols>
  <sheetData>
    <row r="1" spans="1:7" ht="18.75" x14ac:dyDescent="0.3">
      <c r="A1" s="34" t="s">
        <v>79</v>
      </c>
      <c r="B1" s="34">
        <v>9886</v>
      </c>
      <c r="F1" s="35" t="s">
        <v>80</v>
      </c>
      <c r="G1" s="35" t="s">
        <v>81</v>
      </c>
    </row>
    <row r="2" spans="1:7" x14ac:dyDescent="0.25">
      <c r="A2" s="34" t="s">
        <v>79</v>
      </c>
      <c r="E2" s="34" t="s">
        <v>75</v>
      </c>
      <c r="F2" s="34">
        <v>4443</v>
      </c>
      <c r="G2" s="34">
        <v>5443</v>
      </c>
    </row>
    <row r="3" spans="1:7" x14ac:dyDescent="0.25">
      <c r="A3" s="34" t="s">
        <v>76</v>
      </c>
      <c r="B3" s="34">
        <f>1806/2</f>
        <v>903</v>
      </c>
      <c r="E3" s="34" t="s">
        <v>76</v>
      </c>
      <c r="F3" s="34">
        <f>340.4134615/2 + 20</f>
        <v>190.20673074999999</v>
      </c>
      <c r="G3" s="34">
        <f>494.5/2+20</f>
        <v>267.25</v>
      </c>
    </row>
    <row r="4" spans="1:7" x14ac:dyDescent="0.25">
      <c r="A4" s="34" t="s">
        <v>77</v>
      </c>
      <c r="B4" s="34">
        <f>192+250</f>
        <v>442</v>
      </c>
      <c r="E4" s="34" t="s">
        <v>77</v>
      </c>
      <c r="F4" s="34">
        <v>442</v>
      </c>
      <c r="G4" s="34">
        <f>192+250</f>
        <v>442</v>
      </c>
    </row>
    <row r="5" spans="1:7" x14ac:dyDescent="0.25">
      <c r="A5" s="34" t="s">
        <v>78</v>
      </c>
      <c r="B5" s="34">
        <v>50</v>
      </c>
      <c r="E5" s="34" t="s">
        <v>78</v>
      </c>
      <c r="F5" s="34">
        <v>50</v>
      </c>
      <c r="G5" s="34">
        <v>50</v>
      </c>
    </row>
    <row r="6" spans="1:7" x14ac:dyDescent="0.25">
      <c r="E6" s="34" t="s">
        <v>82</v>
      </c>
      <c r="F6" s="34">
        <v>601</v>
      </c>
      <c r="G6" s="34">
        <v>601</v>
      </c>
    </row>
    <row r="7" spans="1:7" x14ac:dyDescent="0.25">
      <c r="E7" s="34" t="s">
        <v>68</v>
      </c>
      <c r="F7" s="34">
        <f>SUM(F2:F6)</f>
        <v>5726.2067307500001</v>
      </c>
      <c r="G7" s="34">
        <f>SUM(G2:G6)</f>
        <v>6803.25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SM</vt:lpstr>
      <vt:lpstr>SM_WD</vt:lpstr>
      <vt:lpstr>SpringMR_Fr</vt:lpstr>
      <vt:lpstr>SpringMR_Rr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Kawczynski</dc:creator>
  <cp:lastModifiedBy>Martin Kawczynski</cp:lastModifiedBy>
  <dcterms:created xsi:type="dcterms:W3CDTF">2018-10-09T15:10:15Z</dcterms:created>
  <dcterms:modified xsi:type="dcterms:W3CDTF">2018-11-13T16:21:14Z</dcterms:modified>
</cp:coreProperties>
</file>