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4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5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6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7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8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9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rien\Documents\ECL\EPSA\Formula Student\Presentation event\Excels\"/>
    </mc:Choice>
  </mc:AlternateContent>
  <xr:revisionPtr revIDLastSave="0" documentId="13_ncr:1_{63623153-C761-4DC0-81CD-9B7EE47F7293}" xr6:coauthVersionLast="43" xr6:coauthVersionMax="43" xr10:uidLastSave="{00000000-0000-0000-0000-000000000000}"/>
  <bookViews>
    <workbookView xWindow="-120" yWindow="-120" windowWidth="24240" windowHeight="13140" activeTab="4" xr2:uid="{A2438765-9466-456A-8547-AA664831A858}"/>
  </bookViews>
  <sheets>
    <sheet name="fixed costs" sheetId="1" r:id="rId1"/>
    <sheet name="variable costs" sheetId="2" r:id="rId2"/>
    <sheet name="Profit &amp; losses" sheetId="3" r:id="rId3"/>
    <sheet name="High hypothesis" sheetId="4" r:id="rId4"/>
    <sheet name="Low Hypothesis" sheetId="5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2" i="1" l="1"/>
  <c r="L131" i="5"/>
  <c r="L132" i="5"/>
  <c r="C2" i="2"/>
  <c r="C7" i="2"/>
  <c r="C10" i="2"/>
  <c r="C15" i="2"/>
  <c r="C14" i="2"/>
  <c r="C38" i="1"/>
  <c r="J10" i="1"/>
  <c r="K10" i="1"/>
  <c r="J11" i="1"/>
  <c r="K11" i="1"/>
  <c r="K12" i="1"/>
  <c r="K9" i="1"/>
  <c r="L10" i="1"/>
  <c r="L11" i="1"/>
  <c r="L12" i="1"/>
  <c r="L9" i="1"/>
  <c r="M10" i="1"/>
  <c r="M11" i="1"/>
  <c r="M12" i="1"/>
  <c r="M9" i="1"/>
  <c r="N10" i="1"/>
  <c r="N11" i="1"/>
  <c r="N12" i="1"/>
  <c r="N9" i="1"/>
  <c r="J12" i="1"/>
  <c r="J9" i="1"/>
  <c r="C10" i="1"/>
  <c r="D10" i="1"/>
  <c r="C11" i="1"/>
  <c r="D11" i="1"/>
  <c r="C12" i="1"/>
  <c r="D12" i="1"/>
  <c r="D9" i="1"/>
  <c r="E10" i="1"/>
  <c r="E11" i="1"/>
  <c r="E12" i="1"/>
  <c r="E9" i="1"/>
  <c r="F10" i="1"/>
  <c r="F11" i="1"/>
  <c r="F12" i="1"/>
  <c r="F9" i="1"/>
  <c r="G10" i="1"/>
  <c r="G11" i="1"/>
  <c r="G12" i="1"/>
  <c r="G9" i="1"/>
  <c r="C9" i="1"/>
  <c r="E22" i="1"/>
  <c r="E3" i="1"/>
  <c r="E27" i="1"/>
  <c r="E25" i="1"/>
  <c r="E99" i="1"/>
  <c r="F22" i="1"/>
  <c r="F3" i="1"/>
  <c r="F27" i="1"/>
  <c r="F25" i="1"/>
  <c r="F99" i="1"/>
  <c r="G22" i="1"/>
  <c r="G3" i="1"/>
  <c r="G27" i="1"/>
  <c r="G25" i="1"/>
  <c r="G99" i="1"/>
  <c r="C3" i="1"/>
  <c r="C25" i="1"/>
  <c r="C99" i="1"/>
  <c r="C22" i="1"/>
  <c r="D3" i="1"/>
  <c r="D27" i="1"/>
  <c r="D25" i="1"/>
  <c r="D99" i="1"/>
  <c r="D22" i="1"/>
  <c r="C15" i="1"/>
  <c r="C16" i="1"/>
  <c r="C17" i="1"/>
  <c r="C14" i="1"/>
  <c r="C101" i="1"/>
  <c r="D102" i="1"/>
  <c r="E102" i="1"/>
  <c r="F102" i="1"/>
  <c r="G102" i="1"/>
  <c r="H102" i="1"/>
  <c r="C103" i="1"/>
  <c r="D38" i="1"/>
  <c r="D103" i="1"/>
  <c r="E38" i="1"/>
  <c r="E103" i="1"/>
  <c r="F38" i="1"/>
  <c r="F103" i="1"/>
  <c r="G38" i="1"/>
  <c r="G103" i="1"/>
  <c r="H103" i="1"/>
  <c r="H99" i="1"/>
  <c r="D51" i="3"/>
  <c r="D52" i="3"/>
  <c r="D53" i="3"/>
  <c r="D54" i="3"/>
  <c r="D55" i="3"/>
  <c r="D58" i="3"/>
  <c r="D59" i="3"/>
  <c r="E51" i="3"/>
  <c r="E52" i="3"/>
  <c r="E53" i="3"/>
  <c r="E54" i="3"/>
  <c r="E55" i="3"/>
  <c r="E58" i="3"/>
  <c r="E59" i="3"/>
  <c r="F51" i="3"/>
  <c r="F52" i="3"/>
  <c r="F53" i="3"/>
  <c r="F54" i="3"/>
  <c r="F55" i="3"/>
  <c r="F58" i="3"/>
  <c r="F59" i="3"/>
  <c r="G51" i="3"/>
  <c r="G52" i="3"/>
  <c r="G53" i="3"/>
  <c r="G54" i="3"/>
  <c r="G55" i="3"/>
  <c r="G58" i="3"/>
  <c r="G59" i="3"/>
  <c r="C51" i="3"/>
  <c r="C52" i="3"/>
  <c r="C53" i="3"/>
  <c r="C54" i="3"/>
  <c r="C55" i="3"/>
  <c r="C58" i="3"/>
  <c r="C59" i="3"/>
  <c r="C61" i="3"/>
  <c r="C62" i="3"/>
  <c r="C63" i="3"/>
  <c r="C37" i="1"/>
  <c r="C64" i="3"/>
  <c r="C65" i="3"/>
  <c r="C67" i="3"/>
  <c r="C68" i="3"/>
  <c r="C69" i="3"/>
  <c r="C70" i="3"/>
  <c r="D3" i="2"/>
  <c r="D4" i="2"/>
  <c r="D5" i="2"/>
  <c r="D6" i="2"/>
  <c r="D2" i="2"/>
  <c r="D8" i="2"/>
  <c r="D9" i="2"/>
  <c r="D7" i="2"/>
  <c r="D10" i="2"/>
  <c r="D16" i="2"/>
  <c r="C33" i="2"/>
  <c r="C34" i="2"/>
  <c r="D34" i="2"/>
  <c r="D51" i="2"/>
  <c r="D16" i="3"/>
  <c r="D32" i="3"/>
  <c r="D21" i="2"/>
  <c r="C35" i="2"/>
  <c r="C36" i="2"/>
  <c r="C37" i="2"/>
  <c r="C38" i="2"/>
  <c r="C39" i="2"/>
  <c r="D39" i="2"/>
  <c r="D56" i="2"/>
  <c r="D21" i="3"/>
  <c r="D33" i="3"/>
  <c r="D27" i="2"/>
  <c r="C40" i="2"/>
  <c r="C41" i="2"/>
  <c r="C42" i="2"/>
  <c r="C43" i="2"/>
  <c r="C44" i="2"/>
  <c r="C45" i="2"/>
  <c r="D45" i="2"/>
  <c r="D62" i="2"/>
  <c r="D27" i="3"/>
  <c r="D34" i="3"/>
  <c r="D35" i="3"/>
  <c r="F5" i="4"/>
  <c r="F115" i="4"/>
  <c r="E3" i="2"/>
  <c r="E4" i="2"/>
  <c r="E5" i="2"/>
  <c r="E6" i="2"/>
  <c r="E2" i="2"/>
  <c r="E8" i="2"/>
  <c r="E9" i="2"/>
  <c r="E7" i="2"/>
  <c r="E10" i="2"/>
  <c r="E16" i="2"/>
  <c r="E34" i="2"/>
  <c r="E51" i="2"/>
  <c r="E16" i="3"/>
  <c r="E32" i="3"/>
  <c r="E21" i="2"/>
  <c r="E39" i="2"/>
  <c r="E56" i="2"/>
  <c r="E21" i="3"/>
  <c r="E33" i="3"/>
  <c r="E27" i="2"/>
  <c r="E45" i="2"/>
  <c r="E62" i="2"/>
  <c r="E27" i="3"/>
  <c r="E34" i="3"/>
  <c r="E35" i="3"/>
  <c r="G5" i="4"/>
  <c r="G115" i="4"/>
  <c r="F4" i="2"/>
  <c r="F5" i="2"/>
  <c r="F6" i="2"/>
  <c r="F2" i="2"/>
  <c r="F8" i="2"/>
  <c r="F9" i="2"/>
  <c r="F7" i="2"/>
  <c r="F10" i="2"/>
  <c r="F16" i="2"/>
  <c r="F34" i="2"/>
  <c r="F51" i="2"/>
  <c r="F16" i="3"/>
  <c r="F32" i="3"/>
  <c r="F21" i="2"/>
  <c r="F39" i="2"/>
  <c r="F56" i="2"/>
  <c r="F21" i="3"/>
  <c r="F33" i="3"/>
  <c r="F27" i="2"/>
  <c r="F45" i="2"/>
  <c r="F62" i="2"/>
  <c r="F27" i="3"/>
  <c r="F34" i="3"/>
  <c r="F35" i="3"/>
  <c r="H5" i="4"/>
  <c r="H115" i="4"/>
  <c r="G3" i="2"/>
  <c r="G4" i="2"/>
  <c r="G5" i="2"/>
  <c r="G6" i="2"/>
  <c r="G2" i="2"/>
  <c r="G8" i="2"/>
  <c r="G9" i="2"/>
  <c r="G7" i="2"/>
  <c r="G10" i="2"/>
  <c r="G16" i="2"/>
  <c r="G34" i="2"/>
  <c r="G51" i="2"/>
  <c r="G16" i="3"/>
  <c r="G32" i="3"/>
  <c r="G21" i="2"/>
  <c r="G39" i="2"/>
  <c r="G56" i="2"/>
  <c r="G21" i="3"/>
  <c r="G33" i="3"/>
  <c r="G27" i="2"/>
  <c r="G45" i="2"/>
  <c r="G62" i="2"/>
  <c r="G27" i="3"/>
  <c r="G34" i="3"/>
  <c r="G35" i="3"/>
  <c r="I5" i="4"/>
  <c r="I115" i="4"/>
  <c r="C16" i="2"/>
  <c r="C51" i="2"/>
  <c r="C16" i="3"/>
  <c r="C32" i="3"/>
  <c r="C21" i="2"/>
  <c r="C56" i="2"/>
  <c r="C21" i="3"/>
  <c r="C33" i="3"/>
  <c r="C27" i="2"/>
  <c r="C62" i="2"/>
  <c r="C27" i="3"/>
  <c r="C34" i="3"/>
  <c r="C35" i="3"/>
  <c r="E5" i="4"/>
  <c r="E115" i="4"/>
  <c r="D40" i="3"/>
  <c r="D17" i="2"/>
  <c r="D41" i="3"/>
  <c r="D18" i="2"/>
  <c r="D42" i="3"/>
  <c r="D43" i="3"/>
  <c r="F6" i="4"/>
  <c r="F114" i="4"/>
  <c r="E40" i="3"/>
  <c r="E17" i="2"/>
  <c r="E41" i="3"/>
  <c r="E18" i="2"/>
  <c r="E42" i="3"/>
  <c r="E43" i="3"/>
  <c r="G6" i="4"/>
  <c r="G114" i="4"/>
  <c r="F40" i="3"/>
  <c r="F17" i="2"/>
  <c r="F41" i="3"/>
  <c r="F18" i="2"/>
  <c r="F42" i="3"/>
  <c r="F43" i="3"/>
  <c r="H6" i="4"/>
  <c r="H114" i="4"/>
  <c r="G40" i="3"/>
  <c r="G17" i="2"/>
  <c r="G41" i="3"/>
  <c r="G18" i="2"/>
  <c r="G42" i="3"/>
  <c r="G43" i="3"/>
  <c r="I6" i="4"/>
  <c r="I114" i="4"/>
  <c r="C40" i="3"/>
  <c r="C17" i="2"/>
  <c r="C41" i="3"/>
  <c r="C18" i="2"/>
  <c r="C42" i="3"/>
  <c r="C43" i="3"/>
  <c r="E6" i="4"/>
  <c r="E114" i="4"/>
  <c r="N38" i="1"/>
  <c r="M38" i="1"/>
  <c r="L38" i="1"/>
  <c r="K38" i="1"/>
  <c r="J38" i="1"/>
  <c r="K69" i="3"/>
  <c r="L69" i="3"/>
  <c r="M69" i="3"/>
  <c r="N69" i="3"/>
  <c r="J69" i="3"/>
  <c r="D69" i="3"/>
  <c r="E69" i="3"/>
  <c r="F69" i="3"/>
  <c r="G69" i="3"/>
  <c r="N38" i="4"/>
  <c r="E28" i="4"/>
  <c r="E24" i="4"/>
  <c r="N37" i="4"/>
  <c r="E47" i="4"/>
  <c r="O38" i="4"/>
  <c r="F28" i="4"/>
  <c r="D36" i="1"/>
  <c r="D62" i="3"/>
  <c r="D63" i="3"/>
  <c r="D37" i="1"/>
  <c r="D64" i="3"/>
  <c r="D65" i="3"/>
  <c r="D67" i="3"/>
  <c r="D68" i="3"/>
  <c r="D70" i="3"/>
  <c r="F24" i="4"/>
  <c r="O37" i="4"/>
  <c r="F47" i="4"/>
  <c r="P38" i="4"/>
  <c r="G28" i="4"/>
  <c r="E36" i="1"/>
  <c r="E62" i="3"/>
  <c r="E63" i="3"/>
  <c r="E37" i="1"/>
  <c r="E64" i="3"/>
  <c r="E65" i="3"/>
  <c r="E67" i="3"/>
  <c r="E68" i="3"/>
  <c r="E70" i="3"/>
  <c r="G24" i="4"/>
  <c r="P37" i="4"/>
  <c r="G47" i="4"/>
  <c r="Q38" i="4"/>
  <c r="H28" i="4"/>
  <c r="F36" i="1"/>
  <c r="F62" i="3"/>
  <c r="F63" i="3"/>
  <c r="F37" i="1"/>
  <c r="F64" i="3"/>
  <c r="F65" i="3"/>
  <c r="F67" i="3"/>
  <c r="F68" i="3"/>
  <c r="F70" i="3"/>
  <c r="H24" i="4"/>
  <c r="Q37" i="4"/>
  <c r="H47" i="4"/>
  <c r="R38" i="4"/>
  <c r="I28" i="4"/>
  <c r="G36" i="1"/>
  <c r="G62" i="3"/>
  <c r="G63" i="3"/>
  <c r="G37" i="1"/>
  <c r="G64" i="3"/>
  <c r="G65" i="3"/>
  <c r="G67" i="3"/>
  <c r="G68" i="3"/>
  <c r="G70" i="3"/>
  <c r="I24" i="4"/>
  <c r="R37" i="4"/>
  <c r="I47" i="4"/>
  <c r="E10" i="4"/>
  <c r="H13" i="5"/>
  <c r="H12" i="5"/>
  <c r="F14" i="2"/>
  <c r="D32" i="2"/>
  <c r="E32" i="2"/>
  <c r="F32" i="2"/>
  <c r="F49" i="2"/>
  <c r="M14" i="3"/>
  <c r="M32" i="3"/>
  <c r="D35" i="2"/>
  <c r="E35" i="2"/>
  <c r="F35" i="2"/>
  <c r="F52" i="2"/>
  <c r="M17" i="3"/>
  <c r="M33" i="3"/>
  <c r="F22" i="2"/>
  <c r="D40" i="2"/>
  <c r="E40" i="2"/>
  <c r="F40" i="2"/>
  <c r="F57" i="2"/>
  <c r="M22" i="3"/>
  <c r="M34" i="3"/>
  <c r="M35" i="3"/>
  <c r="H5" i="5"/>
  <c r="H24" i="5"/>
  <c r="Q26" i="5"/>
  <c r="K36" i="1"/>
  <c r="L36" i="1"/>
  <c r="M36" i="1"/>
  <c r="M62" i="3"/>
  <c r="M63" i="3"/>
  <c r="J37" i="1"/>
  <c r="K37" i="1"/>
  <c r="L37" i="1"/>
  <c r="M37" i="1"/>
  <c r="M64" i="3"/>
  <c r="M65" i="3"/>
  <c r="M22" i="1"/>
  <c r="M67" i="3"/>
  <c r="M68" i="3"/>
  <c r="M27" i="1"/>
  <c r="M25" i="1"/>
  <c r="M70" i="3"/>
  <c r="M51" i="3"/>
  <c r="M52" i="3"/>
  <c r="M53" i="3"/>
  <c r="M54" i="3"/>
  <c r="M55" i="3"/>
  <c r="M58" i="3"/>
  <c r="M57" i="3"/>
  <c r="M59" i="3"/>
  <c r="M40" i="3"/>
  <c r="F15" i="2"/>
  <c r="M41" i="3"/>
  <c r="M42" i="3"/>
  <c r="M43" i="3"/>
  <c r="H6" i="5"/>
  <c r="H10" i="5"/>
  <c r="Q29" i="5"/>
  <c r="N37" i="5"/>
  <c r="O37" i="5"/>
  <c r="P37" i="5"/>
  <c r="E47" i="5"/>
  <c r="F47" i="5"/>
  <c r="G47" i="5"/>
  <c r="Q38" i="5"/>
  <c r="H28" i="5"/>
  <c r="Q37" i="5"/>
  <c r="O4" i="5"/>
  <c r="Q39" i="5"/>
  <c r="G13" i="5"/>
  <c r="G12" i="5"/>
  <c r="E14" i="2"/>
  <c r="E49" i="2"/>
  <c r="L14" i="3"/>
  <c r="L32" i="3"/>
  <c r="E52" i="2"/>
  <c r="L17" i="3"/>
  <c r="L33" i="3"/>
  <c r="E22" i="2"/>
  <c r="E57" i="2"/>
  <c r="L22" i="3"/>
  <c r="L34" i="3"/>
  <c r="L35" i="3"/>
  <c r="G5" i="5"/>
  <c r="G24" i="5"/>
  <c r="P26" i="5"/>
  <c r="L62" i="3"/>
  <c r="L63" i="3"/>
  <c r="L64" i="3"/>
  <c r="L65" i="3"/>
  <c r="L22" i="1"/>
  <c r="L67" i="3"/>
  <c r="L68" i="3"/>
  <c r="L27" i="1"/>
  <c r="L25" i="1"/>
  <c r="L70" i="3"/>
  <c r="L58" i="3"/>
  <c r="L57" i="3"/>
  <c r="L59" i="3"/>
  <c r="L40" i="3"/>
  <c r="E15" i="2"/>
  <c r="L41" i="3"/>
  <c r="L42" i="3"/>
  <c r="L43" i="3"/>
  <c r="G6" i="5"/>
  <c r="G10" i="5"/>
  <c r="P29" i="5"/>
  <c r="P38" i="5"/>
  <c r="G28" i="5"/>
  <c r="P39" i="5"/>
  <c r="J15" i="1"/>
  <c r="J16" i="1"/>
  <c r="J17" i="1"/>
  <c r="J14" i="1"/>
  <c r="J61" i="3"/>
  <c r="J62" i="3"/>
  <c r="J63" i="3"/>
  <c r="J64" i="3"/>
  <c r="J65" i="3"/>
  <c r="J22" i="1"/>
  <c r="J67" i="3"/>
  <c r="J68" i="3"/>
  <c r="J25" i="1"/>
  <c r="J70" i="3"/>
  <c r="J51" i="3"/>
  <c r="J52" i="3"/>
  <c r="J53" i="3"/>
  <c r="J54" i="3"/>
  <c r="J55" i="3"/>
  <c r="J58" i="3"/>
  <c r="J57" i="3"/>
  <c r="J59" i="3"/>
  <c r="J40" i="3"/>
  <c r="J41" i="3"/>
  <c r="J42" i="3"/>
  <c r="J43" i="3"/>
  <c r="E6" i="5"/>
  <c r="C49" i="2"/>
  <c r="J14" i="3"/>
  <c r="J32" i="3"/>
  <c r="C52" i="2"/>
  <c r="J17" i="3"/>
  <c r="J33" i="3"/>
  <c r="C22" i="2"/>
  <c r="C57" i="2"/>
  <c r="J22" i="3"/>
  <c r="J34" i="3"/>
  <c r="J35" i="3"/>
  <c r="E5" i="5"/>
  <c r="E24" i="5"/>
  <c r="E13" i="5"/>
  <c r="E12" i="5"/>
  <c r="N26" i="5"/>
  <c r="E10" i="5"/>
  <c r="N29" i="5"/>
  <c r="K62" i="3"/>
  <c r="K63" i="3"/>
  <c r="K64" i="3"/>
  <c r="K65" i="3"/>
  <c r="K22" i="1"/>
  <c r="K67" i="3"/>
  <c r="K68" i="3"/>
  <c r="K27" i="1"/>
  <c r="K25" i="1"/>
  <c r="K70" i="3"/>
  <c r="K51" i="3"/>
  <c r="K52" i="3"/>
  <c r="K53" i="3"/>
  <c r="K54" i="3"/>
  <c r="K55" i="3"/>
  <c r="K58" i="3"/>
  <c r="K57" i="3"/>
  <c r="K59" i="3"/>
  <c r="D14" i="2"/>
  <c r="K40" i="3"/>
  <c r="D15" i="2"/>
  <c r="K41" i="3"/>
  <c r="K42" i="3"/>
  <c r="K43" i="3"/>
  <c r="F6" i="5"/>
  <c r="D49" i="2"/>
  <c r="K14" i="3"/>
  <c r="K32" i="3"/>
  <c r="D52" i="2"/>
  <c r="K17" i="3"/>
  <c r="K33" i="3"/>
  <c r="D22" i="2"/>
  <c r="D57" i="2"/>
  <c r="K22" i="3"/>
  <c r="K34" i="3"/>
  <c r="K35" i="3"/>
  <c r="F5" i="5"/>
  <c r="F24" i="5"/>
  <c r="F13" i="5"/>
  <c r="F12" i="5"/>
  <c r="O26" i="5"/>
  <c r="F10" i="5"/>
  <c r="O29" i="5"/>
  <c r="I13" i="5"/>
  <c r="I12" i="5"/>
  <c r="G14" i="2"/>
  <c r="G32" i="2"/>
  <c r="G49" i="2"/>
  <c r="N14" i="3"/>
  <c r="N32" i="3"/>
  <c r="G35" i="2"/>
  <c r="G52" i="2"/>
  <c r="N17" i="3"/>
  <c r="N33" i="3"/>
  <c r="G22" i="2"/>
  <c r="G40" i="2"/>
  <c r="G57" i="2"/>
  <c r="N22" i="3"/>
  <c r="N34" i="3"/>
  <c r="N35" i="3"/>
  <c r="I5" i="5"/>
  <c r="I24" i="5"/>
  <c r="R26" i="5"/>
  <c r="N36" i="1"/>
  <c r="N62" i="3"/>
  <c r="N63" i="3"/>
  <c r="N37" i="1"/>
  <c r="N64" i="3"/>
  <c r="N65" i="3"/>
  <c r="N22" i="1"/>
  <c r="N67" i="3"/>
  <c r="N68" i="3"/>
  <c r="N27" i="1"/>
  <c r="N25" i="1"/>
  <c r="N70" i="3"/>
  <c r="N58" i="3"/>
  <c r="N57" i="3"/>
  <c r="N59" i="3"/>
  <c r="N40" i="3"/>
  <c r="G15" i="2"/>
  <c r="N41" i="3"/>
  <c r="N42" i="3"/>
  <c r="N43" i="3"/>
  <c r="I6" i="5"/>
  <c r="I10" i="5"/>
  <c r="R29" i="5"/>
  <c r="H47" i="5"/>
  <c r="R38" i="5"/>
  <c r="I28" i="5"/>
  <c r="R37" i="5"/>
  <c r="R39" i="5"/>
  <c r="D38" i="5"/>
  <c r="I47" i="5"/>
  <c r="K54" i="1"/>
  <c r="K55" i="1"/>
  <c r="K56" i="1"/>
  <c r="K57" i="1"/>
  <c r="K53" i="1"/>
  <c r="D33" i="2"/>
  <c r="E33" i="2"/>
  <c r="D36" i="2"/>
  <c r="E36" i="2"/>
  <c r="D37" i="2"/>
  <c r="E37" i="2"/>
  <c r="D38" i="2"/>
  <c r="E38" i="2"/>
  <c r="D41" i="2"/>
  <c r="E41" i="2"/>
  <c r="D42" i="2"/>
  <c r="E42" i="2"/>
  <c r="D43" i="2"/>
  <c r="E43" i="2"/>
  <c r="D44" i="2"/>
  <c r="E44" i="2"/>
  <c r="N38" i="5"/>
  <c r="E28" i="5"/>
  <c r="N39" i="5"/>
  <c r="O38" i="5"/>
  <c r="F28" i="5"/>
  <c r="O39" i="5"/>
  <c r="L53" i="1"/>
  <c r="M53" i="1"/>
  <c r="N53" i="1"/>
  <c r="L54" i="1"/>
  <c r="L56" i="1"/>
  <c r="L57" i="1"/>
  <c r="L55" i="1"/>
  <c r="M54" i="1"/>
  <c r="M56" i="1"/>
  <c r="M57" i="1"/>
  <c r="M55" i="1"/>
  <c r="N54" i="1"/>
  <c r="N56" i="1"/>
  <c r="N57" i="1"/>
  <c r="N55" i="1"/>
  <c r="L52" i="3"/>
  <c r="N52" i="3"/>
  <c r="L53" i="3"/>
  <c r="N53" i="3"/>
  <c r="L54" i="3"/>
  <c r="N54" i="3"/>
  <c r="L51" i="3"/>
  <c r="N51" i="3"/>
  <c r="F13" i="4"/>
  <c r="F12" i="4"/>
  <c r="O26" i="4"/>
  <c r="N35" i="1"/>
  <c r="M35" i="1"/>
  <c r="L35" i="1"/>
  <c r="K35" i="1"/>
  <c r="J35" i="1"/>
  <c r="N3" i="1"/>
  <c r="M3" i="1"/>
  <c r="L3" i="1"/>
  <c r="K3" i="1"/>
  <c r="J3" i="1"/>
  <c r="E45" i="5"/>
  <c r="D45" i="5"/>
  <c r="D44" i="5"/>
  <c r="D48" i="5"/>
  <c r="D42" i="5"/>
  <c r="D39" i="5"/>
  <c r="D40" i="5"/>
  <c r="E54" i="5"/>
  <c r="I45" i="5"/>
  <c r="H45" i="5"/>
  <c r="G45" i="5"/>
  <c r="F45" i="5"/>
  <c r="C26" i="5"/>
  <c r="L25" i="5"/>
  <c r="C24" i="5"/>
  <c r="I63" i="1"/>
  <c r="I64" i="1"/>
  <c r="I65" i="1"/>
  <c r="I66" i="1"/>
  <c r="I67" i="1"/>
  <c r="I68" i="1"/>
  <c r="I62" i="1"/>
  <c r="F10" i="4"/>
  <c r="O29" i="4"/>
  <c r="E13" i="4"/>
  <c r="E12" i="4"/>
  <c r="N26" i="4"/>
  <c r="N29" i="4"/>
  <c r="G10" i="4"/>
  <c r="P29" i="4"/>
  <c r="H13" i="4"/>
  <c r="H12" i="4"/>
  <c r="Q26" i="4"/>
  <c r="H10" i="4"/>
  <c r="Q29" i="4"/>
  <c r="I10" i="4"/>
  <c r="R29" i="4"/>
  <c r="E45" i="4"/>
  <c r="D45" i="4"/>
  <c r="D44" i="4"/>
  <c r="D48" i="4"/>
  <c r="D42" i="4"/>
  <c r="D38" i="4"/>
  <c r="D39" i="4"/>
  <c r="D40" i="4"/>
  <c r="E54" i="4"/>
  <c r="G13" i="4"/>
  <c r="G12" i="4"/>
  <c r="P26" i="4"/>
  <c r="I13" i="4"/>
  <c r="I12" i="4"/>
  <c r="R26" i="4"/>
  <c r="O4" i="4"/>
  <c r="N39" i="4"/>
  <c r="O39" i="4"/>
  <c r="P39" i="4"/>
  <c r="Q39" i="4"/>
  <c r="R39" i="4"/>
  <c r="I45" i="4"/>
  <c r="F45" i="4"/>
  <c r="G45" i="4"/>
  <c r="H45" i="4"/>
  <c r="L25" i="4"/>
  <c r="C26" i="4"/>
  <c r="C24" i="4"/>
  <c r="C46" i="3"/>
  <c r="J46" i="3"/>
  <c r="M46" i="3"/>
  <c r="N46" i="3"/>
  <c r="L46" i="3"/>
  <c r="K46" i="3"/>
  <c r="F33" i="2"/>
  <c r="G33" i="2"/>
  <c r="F36" i="2"/>
  <c r="G36" i="2"/>
  <c r="F37" i="2"/>
  <c r="G37" i="2"/>
  <c r="F38" i="2"/>
  <c r="G38" i="2"/>
  <c r="F41" i="2"/>
  <c r="G41" i="2"/>
  <c r="F42" i="2"/>
  <c r="G42" i="2"/>
  <c r="F43" i="2"/>
  <c r="G43" i="2"/>
  <c r="F44" i="2"/>
  <c r="G44" i="2"/>
  <c r="D53" i="1"/>
  <c r="E53" i="1"/>
  <c r="F53" i="1"/>
  <c r="G53" i="1"/>
  <c r="D54" i="1"/>
  <c r="E54" i="1"/>
  <c r="F54" i="1"/>
  <c r="G54" i="1"/>
  <c r="D55" i="1"/>
  <c r="E55" i="1"/>
  <c r="F55" i="1"/>
  <c r="G55" i="1"/>
  <c r="D56" i="1"/>
  <c r="E56" i="1"/>
  <c r="F56" i="1"/>
  <c r="G56" i="1"/>
  <c r="D57" i="1"/>
  <c r="E57" i="1"/>
  <c r="F57" i="1"/>
  <c r="G57" i="1"/>
  <c r="D46" i="3"/>
  <c r="E46" i="3"/>
  <c r="F46" i="3"/>
  <c r="G46" i="3"/>
  <c r="G24" i="2"/>
  <c r="G59" i="2"/>
  <c r="G24" i="3"/>
  <c r="F24" i="2"/>
  <c r="F59" i="2"/>
  <c r="F24" i="3"/>
  <c r="E24" i="2"/>
  <c r="E59" i="2"/>
  <c r="E24" i="3"/>
  <c r="D24" i="2"/>
  <c r="D59" i="2"/>
  <c r="D24" i="3"/>
  <c r="C24" i="2"/>
  <c r="C59" i="2"/>
  <c r="C24" i="3"/>
  <c r="C14" i="3"/>
  <c r="D14" i="3"/>
  <c r="E14" i="3"/>
  <c r="F14" i="3"/>
  <c r="G14" i="3"/>
  <c r="C50" i="2"/>
  <c r="C15" i="3"/>
  <c r="D50" i="2"/>
  <c r="D15" i="3"/>
  <c r="E50" i="2"/>
  <c r="E15" i="3"/>
  <c r="F50" i="2"/>
  <c r="F15" i="3"/>
  <c r="G50" i="2"/>
  <c r="G15" i="3"/>
  <c r="C17" i="3"/>
  <c r="D17" i="3"/>
  <c r="E17" i="3"/>
  <c r="F17" i="3"/>
  <c r="G17" i="3"/>
  <c r="N16" i="3"/>
  <c r="M16" i="3"/>
  <c r="L16" i="3"/>
  <c r="K16" i="3"/>
  <c r="J16" i="3"/>
  <c r="N15" i="3"/>
  <c r="M15" i="3"/>
  <c r="L15" i="3"/>
  <c r="K15" i="3"/>
  <c r="J15" i="3"/>
  <c r="C53" i="2"/>
  <c r="J18" i="3"/>
  <c r="D53" i="2"/>
  <c r="K18" i="3"/>
  <c r="E53" i="2"/>
  <c r="L18" i="3"/>
  <c r="F53" i="2"/>
  <c r="M18" i="3"/>
  <c r="G53" i="2"/>
  <c r="N18" i="3"/>
  <c r="C19" i="2"/>
  <c r="C54" i="2"/>
  <c r="J19" i="3"/>
  <c r="D19" i="2"/>
  <c r="D54" i="2"/>
  <c r="K19" i="3"/>
  <c r="E19" i="2"/>
  <c r="E54" i="2"/>
  <c r="L19" i="3"/>
  <c r="F19" i="2"/>
  <c r="F54" i="2"/>
  <c r="M19" i="3"/>
  <c r="G19" i="2"/>
  <c r="G54" i="2"/>
  <c r="N19" i="3"/>
  <c r="C20" i="2"/>
  <c r="C55" i="2"/>
  <c r="J20" i="3"/>
  <c r="D20" i="2"/>
  <c r="D55" i="2"/>
  <c r="K20" i="3"/>
  <c r="E20" i="2"/>
  <c r="E55" i="2"/>
  <c r="L20" i="3"/>
  <c r="F20" i="2"/>
  <c r="F55" i="2"/>
  <c r="M20" i="3"/>
  <c r="G20" i="2"/>
  <c r="G55" i="2"/>
  <c r="N20" i="3"/>
  <c r="J21" i="3"/>
  <c r="K21" i="3"/>
  <c r="L21" i="3"/>
  <c r="M21" i="3"/>
  <c r="N21" i="3"/>
  <c r="C23" i="2"/>
  <c r="C58" i="2"/>
  <c r="J23" i="3"/>
  <c r="D23" i="2"/>
  <c r="D58" i="2"/>
  <c r="K23" i="3"/>
  <c r="E23" i="2"/>
  <c r="E58" i="2"/>
  <c r="L23" i="3"/>
  <c r="F23" i="2"/>
  <c r="F58" i="2"/>
  <c r="M23" i="3"/>
  <c r="G23" i="2"/>
  <c r="G58" i="2"/>
  <c r="N23" i="3"/>
  <c r="J24" i="3"/>
  <c r="K24" i="3"/>
  <c r="L24" i="3"/>
  <c r="M24" i="3"/>
  <c r="N24" i="3"/>
  <c r="C25" i="2"/>
  <c r="C60" i="2"/>
  <c r="J25" i="3"/>
  <c r="D25" i="2"/>
  <c r="D60" i="2"/>
  <c r="K25" i="3"/>
  <c r="E25" i="2"/>
  <c r="E60" i="2"/>
  <c r="L25" i="3"/>
  <c r="F25" i="2"/>
  <c r="F60" i="2"/>
  <c r="M25" i="3"/>
  <c r="G25" i="2"/>
  <c r="G60" i="2"/>
  <c r="N25" i="3"/>
  <c r="C26" i="2"/>
  <c r="C61" i="2"/>
  <c r="J26" i="3"/>
  <c r="D26" i="2"/>
  <c r="D61" i="2"/>
  <c r="K26" i="3"/>
  <c r="E26" i="2"/>
  <c r="E61" i="2"/>
  <c r="L26" i="3"/>
  <c r="F26" i="2"/>
  <c r="F61" i="2"/>
  <c r="M26" i="3"/>
  <c r="G26" i="2"/>
  <c r="G61" i="2"/>
  <c r="N26" i="3"/>
  <c r="J27" i="3"/>
  <c r="K27" i="3"/>
  <c r="L27" i="3"/>
  <c r="M27" i="3"/>
  <c r="N27" i="3"/>
  <c r="C18" i="3"/>
  <c r="D18" i="3"/>
  <c r="E18" i="3"/>
  <c r="F18" i="3"/>
  <c r="G18" i="3"/>
  <c r="C19" i="3"/>
  <c r="D19" i="3"/>
  <c r="E19" i="3"/>
  <c r="F19" i="3"/>
  <c r="G19" i="3"/>
  <c r="C20" i="3"/>
  <c r="D20" i="3"/>
  <c r="E20" i="3"/>
  <c r="F20" i="3"/>
  <c r="G20" i="3"/>
  <c r="C22" i="3"/>
  <c r="D22" i="3"/>
  <c r="E22" i="3"/>
  <c r="F22" i="3"/>
  <c r="G22" i="3"/>
  <c r="C23" i="3"/>
  <c r="D23" i="3"/>
  <c r="E23" i="3"/>
  <c r="F23" i="3"/>
  <c r="G23" i="3"/>
  <c r="C25" i="3"/>
  <c r="D25" i="3"/>
  <c r="E25" i="3"/>
  <c r="F25" i="3"/>
  <c r="G25" i="3"/>
  <c r="C26" i="3"/>
  <c r="D26" i="3"/>
  <c r="E26" i="3"/>
  <c r="F26" i="3"/>
  <c r="G26" i="3"/>
  <c r="G9" i="3"/>
  <c r="F9" i="3"/>
  <c r="E9" i="3"/>
  <c r="D9" i="3"/>
  <c r="C9" i="3"/>
  <c r="N9" i="3"/>
  <c r="M9" i="3"/>
  <c r="L9" i="3"/>
  <c r="K9" i="3"/>
  <c r="J9" i="3"/>
  <c r="G35" i="1"/>
  <c r="F35" i="1"/>
  <c r="E35" i="1"/>
  <c r="D35" i="1"/>
  <c r="C35" i="1"/>
  <c r="N15" i="1"/>
  <c r="N16" i="1"/>
  <c r="N17" i="1"/>
  <c r="N14" i="1"/>
  <c r="N61" i="3"/>
  <c r="N23" i="1"/>
  <c r="N21" i="1"/>
  <c r="N66" i="3"/>
  <c r="N71" i="3"/>
  <c r="N73" i="3"/>
  <c r="N75" i="3"/>
  <c r="N78" i="3"/>
  <c r="N79" i="3"/>
  <c r="N81" i="3"/>
  <c r="M15" i="1"/>
  <c r="M16" i="1"/>
  <c r="M17" i="1"/>
  <c r="M14" i="1"/>
  <c r="M61" i="3"/>
  <c r="M23" i="1"/>
  <c r="M21" i="1"/>
  <c r="M66" i="3"/>
  <c r="M71" i="3"/>
  <c r="M73" i="3"/>
  <c r="M75" i="3"/>
  <c r="M78" i="3"/>
  <c r="M79" i="3"/>
  <c r="M81" i="3"/>
  <c r="L15" i="1"/>
  <c r="L16" i="1"/>
  <c r="L17" i="1"/>
  <c r="L14" i="1"/>
  <c r="L61" i="3"/>
  <c r="L23" i="1"/>
  <c r="L21" i="1"/>
  <c r="L66" i="3"/>
  <c r="L71" i="3"/>
  <c r="L73" i="3"/>
  <c r="L75" i="3"/>
  <c r="L78" i="3"/>
  <c r="L79" i="3"/>
  <c r="L81" i="3"/>
  <c r="K15" i="1"/>
  <c r="K16" i="1"/>
  <c r="K17" i="1"/>
  <c r="K14" i="1"/>
  <c r="K61" i="3"/>
  <c r="K23" i="1"/>
  <c r="K21" i="1"/>
  <c r="K66" i="3"/>
  <c r="K71" i="3"/>
  <c r="K73" i="3"/>
  <c r="K75" i="3"/>
  <c r="K78" i="3"/>
  <c r="K79" i="3"/>
  <c r="K81" i="3"/>
  <c r="J23" i="1"/>
  <c r="J21" i="1"/>
  <c r="J66" i="3"/>
  <c r="J71" i="3"/>
  <c r="J73" i="3"/>
  <c r="J75" i="3"/>
  <c r="J78" i="3"/>
  <c r="J79" i="3"/>
  <c r="J81" i="3"/>
  <c r="E7" i="5"/>
  <c r="E8" i="5"/>
  <c r="E25" i="5"/>
  <c r="E26" i="5"/>
  <c r="E27" i="5"/>
  <c r="E29" i="5"/>
  <c r="E30" i="5"/>
  <c r="E31" i="5"/>
  <c r="N34" i="5"/>
  <c r="E46" i="5"/>
  <c r="E44" i="5"/>
  <c r="E48" i="5"/>
  <c r="F7" i="5"/>
  <c r="F8" i="5"/>
  <c r="F25" i="5"/>
  <c r="F26" i="5"/>
  <c r="F27" i="5"/>
  <c r="F29" i="5"/>
  <c r="F30" i="5"/>
  <c r="F31" i="5"/>
  <c r="O34" i="5"/>
  <c r="F46" i="5"/>
  <c r="F44" i="5"/>
  <c r="F48" i="5"/>
  <c r="G7" i="5"/>
  <c r="G8" i="5"/>
  <c r="G25" i="5"/>
  <c r="G26" i="5"/>
  <c r="G27" i="5"/>
  <c r="G29" i="5"/>
  <c r="G30" i="5"/>
  <c r="G31" i="5"/>
  <c r="P34" i="5"/>
  <c r="G46" i="5"/>
  <c r="G44" i="5"/>
  <c r="G48" i="5"/>
  <c r="H7" i="5"/>
  <c r="H8" i="5"/>
  <c r="H25" i="5"/>
  <c r="H26" i="5"/>
  <c r="H27" i="5"/>
  <c r="H29" i="5"/>
  <c r="H30" i="5"/>
  <c r="H31" i="5"/>
  <c r="Q34" i="5"/>
  <c r="H46" i="5"/>
  <c r="H44" i="5"/>
  <c r="H48" i="5"/>
  <c r="I7" i="5"/>
  <c r="I8" i="5"/>
  <c r="I25" i="5"/>
  <c r="I26" i="5"/>
  <c r="I27" i="5"/>
  <c r="I29" i="5"/>
  <c r="I30" i="5"/>
  <c r="I31" i="5"/>
  <c r="R34" i="5"/>
  <c r="I46" i="5"/>
  <c r="I44" i="5"/>
  <c r="I48" i="5"/>
  <c r="E38" i="5"/>
  <c r="E53" i="5"/>
  <c r="F38" i="5"/>
  <c r="F53" i="5"/>
  <c r="G38" i="5"/>
  <c r="G53" i="5"/>
  <c r="H38" i="5"/>
  <c r="H53" i="5"/>
  <c r="I38" i="5"/>
  <c r="I53" i="5"/>
  <c r="E33" i="5"/>
  <c r="N24" i="5"/>
  <c r="N25" i="5"/>
  <c r="N27" i="5"/>
  <c r="N31" i="5"/>
  <c r="N40" i="5"/>
  <c r="N43" i="5"/>
  <c r="N44" i="5"/>
  <c r="E39" i="5"/>
  <c r="E40" i="5"/>
  <c r="F54" i="5"/>
  <c r="O42" i="5"/>
  <c r="F33" i="5"/>
  <c r="O24" i="5"/>
  <c r="O25" i="5"/>
  <c r="O27" i="5"/>
  <c r="O31" i="5"/>
  <c r="O40" i="5"/>
  <c r="O43" i="5"/>
  <c r="O44" i="5"/>
  <c r="F39" i="5"/>
  <c r="F40" i="5"/>
  <c r="G54" i="5"/>
  <c r="P42" i="5"/>
  <c r="G33" i="5"/>
  <c r="P24" i="5"/>
  <c r="P25" i="5"/>
  <c r="P27" i="5"/>
  <c r="P31" i="5"/>
  <c r="P40" i="5"/>
  <c r="P43" i="5"/>
  <c r="P44" i="5"/>
  <c r="G39" i="5"/>
  <c r="G40" i="5"/>
  <c r="H54" i="5"/>
  <c r="Q42" i="5"/>
  <c r="H33" i="5"/>
  <c r="Q24" i="5"/>
  <c r="Q25" i="5"/>
  <c r="Q27" i="5"/>
  <c r="Q31" i="5"/>
  <c r="Q40" i="5"/>
  <c r="Q43" i="5"/>
  <c r="Q44" i="5"/>
  <c r="H39" i="5"/>
  <c r="H40" i="5"/>
  <c r="I54" i="5"/>
  <c r="E42" i="5"/>
  <c r="E55" i="5"/>
  <c r="E57" i="5"/>
  <c r="E59" i="5"/>
  <c r="F42" i="5"/>
  <c r="F55" i="5"/>
  <c r="F57" i="5"/>
  <c r="F59" i="5"/>
  <c r="G42" i="5"/>
  <c r="G55" i="5"/>
  <c r="G57" i="5"/>
  <c r="G59" i="5"/>
  <c r="H42" i="5"/>
  <c r="H55" i="5"/>
  <c r="H57" i="5"/>
  <c r="H59" i="5"/>
  <c r="R42" i="5"/>
  <c r="I33" i="5"/>
  <c r="R24" i="5"/>
  <c r="R25" i="5"/>
  <c r="R27" i="5"/>
  <c r="R31" i="5"/>
  <c r="R40" i="5"/>
  <c r="R43" i="5"/>
  <c r="R44" i="5"/>
  <c r="I39" i="5"/>
  <c r="I40" i="5"/>
  <c r="I42" i="5"/>
  <c r="I55" i="5"/>
  <c r="I57" i="5"/>
  <c r="I59" i="5"/>
  <c r="D15" i="1"/>
  <c r="D16" i="1"/>
  <c r="D17" i="1"/>
  <c r="D14" i="1"/>
  <c r="D61" i="3"/>
  <c r="D23" i="1"/>
  <c r="D21" i="1"/>
  <c r="D66" i="3"/>
  <c r="D71" i="3"/>
  <c r="D73" i="3"/>
  <c r="F7" i="4"/>
  <c r="F8" i="4"/>
  <c r="F25" i="4"/>
  <c r="F26" i="4"/>
  <c r="F27" i="4"/>
  <c r="F29" i="4"/>
  <c r="F30" i="4"/>
  <c r="F31" i="4"/>
  <c r="F116" i="4"/>
  <c r="E15" i="1"/>
  <c r="E16" i="1"/>
  <c r="E17" i="1"/>
  <c r="E14" i="1"/>
  <c r="E61" i="3"/>
  <c r="E23" i="1"/>
  <c r="E21" i="1"/>
  <c r="E66" i="3"/>
  <c r="E71" i="3"/>
  <c r="E73" i="3"/>
  <c r="G7" i="4"/>
  <c r="G8" i="4"/>
  <c r="G25" i="4"/>
  <c r="G26" i="4"/>
  <c r="G27" i="4"/>
  <c r="G29" i="4"/>
  <c r="G30" i="4"/>
  <c r="G31" i="4"/>
  <c r="G116" i="4"/>
  <c r="F15" i="1"/>
  <c r="F16" i="1"/>
  <c r="F17" i="1"/>
  <c r="F14" i="1"/>
  <c r="F61" i="3"/>
  <c r="F23" i="1"/>
  <c r="F21" i="1"/>
  <c r="F66" i="3"/>
  <c r="F71" i="3"/>
  <c r="F73" i="3"/>
  <c r="H7" i="4"/>
  <c r="H8" i="4"/>
  <c r="H25" i="4"/>
  <c r="H26" i="4"/>
  <c r="H27" i="4"/>
  <c r="H29" i="4"/>
  <c r="H30" i="4"/>
  <c r="H31" i="4"/>
  <c r="H116" i="4"/>
  <c r="G15" i="1"/>
  <c r="G16" i="1"/>
  <c r="G17" i="1"/>
  <c r="G14" i="1"/>
  <c r="G61" i="3"/>
  <c r="G23" i="1"/>
  <c r="G21" i="1"/>
  <c r="G66" i="3"/>
  <c r="G71" i="3"/>
  <c r="G73" i="3"/>
  <c r="I7" i="4"/>
  <c r="I8" i="4"/>
  <c r="I25" i="4"/>
  <c r="I26" i="4"/>
  <c r="I27" i="4"/>
  <c r="I29" i="4"/>
  <c r="I30" i="4"/>
  <c r="I31" i="4"/>
  <c r="I116" i="4"/>
  <c r="C23" i="1"/>
  <c r="C21" i="1"/>
  <c r="C66" i="3"/>
  <c r="C71" i="3"/>
  <c r="C73" i="3"/>
  <c r="E7" i="4"/>
  <c r="E8" i="4"/>
  <c r="E25" i="4"/>
  <c r="E26" i="4"/>
  <c r="E27" i="4"/>
  <c r="E29" i="4"/>
  <c r="E30" i="4"/>
  <c r="E31" i="4"/>
  <c r="E116" i="4"/>
  <c r="F113" i="4"/>
  <c r="G113" i="4"/>
  <c r="H113" i="4"/>
  <c r="I113" i="4"/>
  <c r="E113" i="4"/>
  <c r="G75" i="3"/>
  <c r="G78" i="3"/>
  <c r="G79" i="3"/>
  <c r="G81" i="3"/>
  <c r="E38" i="4"/>
  <c r="F38" i="4"/>
  <c r="G38" i="4"/>
  <c r="H38" i="4"/>
  <c r="I38" i="4"/>
  <c r="E33" i="4"/>
  <c r="N24" i="4"/>
  <c r="N25" i="4"/>
  <c r="N27" i="4"/>
  <c r="N31" i="4"/>
  <c r="N34" i="4"/>
  <c r="N40" i="4"/>
  <c r="N43" i="4"/>
  <c r="N44" i="4"/>
  <c r="O42" i="4"/>
  <c r="F33" i="4"/>
  <c r="O24" i="4"/>
  <c r="O25" i="4"/>
  <c r="O27" i="4"/>
  <c r="O31" i="4"/>
  <c r="O34" i="4"/>
  <c r="O40" i="4"/>
  <c r="O43" i="4"/>
  <c r="O44" i="4"/>
  <c r="P42" i="4"/>
  <c r="G33" i="4"/>
  <c r="P24" i="4"/>
  <c r="P25" i="4"/>
  <c r="P27" i="4"/>
  <c r="P31" i="4"/>
  <c r="P34" i="4"/>
  <c r="P40" i="4"/>
  <c r="P43" i="4"/>
  <c r="P44" i="4"/>
  <c r="Q42" i="4"/>
  <c r="H33" i="4"/>
  <c r="Q24" i="4"/>
  <c r="Q25" i="4"/>
  <c r="Q27" i="4"/>
  <c r="Q31" i="4"/>
  <c r="Q34" i="4"/>
  <c r="Q40" i="4"/>
  <c r="Q43" i="4"/>
  <c r="Q44" i="4"/>
  <c r="R42" i="4"/>
  <c r="I33" i="4"/>
  <c r="R24" i="4"/>
  <c r="R25" i="4"/>
  <c r="R27" i="4"/>
  <c r="R31" i="4"/>
  <c r="R34" i="4"/>
  <c r="R40" i="4"/>
  <c r="R43" i="4"/>
  <c r="R44" i="4"/>
  <c r="I39" i="4"/>
  <c r="I40" i="4"/>
  <c r="I42" i="4"/>
  <c r="I55" i="4"/>
  <c r="I57" i="4"/>
  <c r="I59" i="4"/>
  <c r="I53" i="4"/>
  <c r="E39" i="4"/>
  <c r="E40" i="4"/>
  <c r="F54" i="4"/>
  <c r="F39" i="4"/>
  <c r="F40" i="4"/>
  <c r="G54" i="4"/>
  <c r="G39" i="4"/>
  <c r="G40" i="4"/>
  <c r="H54" i="4"/>
  <c r="H39" i="4"/>
  <c r="H40" i="4"/>
  <c r="I54" i="4"/>
  <c r="F53" i="4"/>
  <c r="G53" i="4"/>
  <c r="H53" i="4"/>
  <c r="E53" i="4"/>
  <c r="H42" i="4"/>
  <c r="H55" i="4"/>
  <c r="H57" i="4"/>
  <c r="H59" i="4"/>
  <c r="G42" i="4"/>
  <c r="G55" i="4"/>
  <c r="G57" i="4"/>
  <c r="G59" i="4"/>
  <c r="F42" i="4"/>
  <c r="F55" i="4"/>
  <c r="F57" i="4"/>
  <c r="F59" i="4"/>
  <c r="E42" i="4"/>
  <c r="E55" i="4"/>
  <c r="E57" i="4"/>
  <c r="E59" i="4"/>
  <c r="E46" i="4"/>
  <c r="E44" i="4"/>
  <c r="E48" i="4"/>
  <c r="F46" i="4"/>
  <c r="G46" i="4"/>
  <c r="G44" i="4"/>
  <c r="G48" i="4"/>
  <c r="F44" i="4"/>
  <c r="F48" i="4"/>
  <c r="C75" i="3"/>
  <c r="C78" i="3"/>
  <c r="C79" i="3"/>
  <c r="C81" i="3"/>
  <c r="D75" i="3"/>
  <c r="D78" i="3"/>
  <c r="D79" i="3"/>
  <c r="D81" i="3"/>
  <c r="E75" i="3"/>
  <c r="E78" i="3"/>
  <c r="E79" i="3"/>
  <c r="E81" i="3"/>
  <c r="F75" i="3"/>
  <c r="F78" i="3"/>
  <c r="F79" i="3"/>
  <c r="F81" i="3"/>
  <c r="H46" i="4"/>
  <c r="I46" i="4"/>
  <c r="I44" i="4"/>
  <c r="I48" i="4"/>
  <c r="H44" i="4"/>
  <c r="H48" i="4"/>
  <c r="G101" i="1"/>
  <c r="F101" i="1"/>
  <c r="E101" i="1"/>
  <c r="D101" i="1"/>
  <c r="H101" i="1"/>
  <c r="C100" i="1"/>
  <c r="D100" i="1"/>
  <c r="E100" i="1"/>
  <c r="F100" i="1"/>
  <c r="G100" i="1"/>
  <c r="H100" i="1"/>
  <c r="D104" i="1"/>
  <c r="C104" i="1"/>
  <c r="E104" i="1"/>
  <c r="F104" i="1"/>
  <c r="G104" i="1"/>
  <c r="H104" i="1"/>
</calcChain>
</file>

<file path=xl/sharedStrings.xml><?xml version="1.0" encoding="utf-8"?>
<sst xmlns="http://schemas.openxmlformats.org/spreadsheetml/2006/main" count="628" uniqueCount="206">
  <si>
    <t>Fixed Costs</t>
  </si>
  <si>
    <t>Y1</t>
  </si>
  <si>
    <t>Y2</t>
  </si>
  <si>
    <t>Y3</t>
  </si>
  <si>
    <t>Y4</t>
  </si>
  <si>
    <t>Y5</t>
  </si>
  <si>
    <t>Communication</t>
  </si>
  <si>
    <t>Car exhibition</t>
  </si>
  <si>
    <t>Direct marketing</t>
  </si>
  <si>
    <t>Inauguration Day</t>
  </si>
  <si>
    <t>Webmarketing</t>
  </si>
  <si>
    <t>Real Estate</t>
  </si>
  <si>
    <t>Reference car</t>
  </si>
  <si>
    <t>Furniture</t>
  </si>
  <si>
    <t>printer</t>
  </si>
  <si>
    <t>Others</t>
  </si>
  <si>
    <t>Office electricity</t>
  </si>
  <si>
    <t>Telephone + Internet</t>
  </si>
  <si>
    <t>Brand deposit</t>
  </si>
  <si>
    <t>engineer</t>
  </si>
  <si>
    <t>commercial</t>
  </si>
  <si>
    <t>animator</t>
  </si>
  <si>
    <t>marketing director</t>
  </si>
  <si>
    <t>PDG (Président directeur général)</t>
  </si>
  <si>
    <t>Number of employees</t>
  </si>
  <si>
    <t>Net annual wages</t>
  </si>
  <si>
    <t>Employee contribution (28% of net)</t>
  </si>
  <si>
    <t>Employer contribution (54% of net)</t>
  </si>
  <si>
    <t>Wages (*)</t>
  </si>
  <si>
    <t>Furniture (*)</t>
  </si>
  <si>
    <t>Company car for commercials</t>
  </si>
  <si>
    <t>Website</t>
  </si>
  <si>
    <t>desk</t>
  </si>
  <si>
    <t>computer</t>
  </si>
  <si>
    <t>rack (for the warehouse)</t>
  </si>
  <si>
    <t>shelf (for the headquarter)</t>
  </si>
  <si>
    <t>TV</t>
  </si>
  <si>
    <t>screen for computer</t>
  </si>
  <si>
    <t>Unit price</t>
  </si>
  <si>
    <t>Decomposition of costs</t>
  </si>
  <si>
    <t>Year 1</t>
  </si>
  <si>
    <t>Year 2</t>
  </si>
  <si>
    <t>Year 3</t>
  </si>
  <si>
    <t>Year 4</t>
  </si>
  <si>
    <t>Year 5</t>
  </si>
  <si>
    <t>Circuit and teaching</t>
  </si>
  <si>
    <t>circuit rental (circuit, rooms, insurance)</t>
  </si>
  <si>
    <t>professionnal pilote</t>
  </si>
  <si>
    <t>security pack</t>
  </si>
  <si>
    <t>staff</t>
  </si>
  <si>
    <t>Delivering on the circuit</t>
  </si>
  <si>
    <t>car insurance</t>
  </si>
  <si>
    <t>Total</t>
  </si>
  <si>
    <t>Hotel (3 days rest and food) per person</t>
  </si>
  <si>
    <t>Total variable cost</t>
  </si>
  <si>
    <t>Margin</t>
  </si>
  <si>
    <t>Number of participant</t>
  </si>
  <si>
    <t>Final price</t>
  </si>
  <si>
    <t xml:space="preserve"> </t>
  </si>
  <si>
    <t>HIGH HYPOTHESIS</t>
  </si>
  <si>
    <t>LOW HYPOTHESIS</t>
  </si>
  <si>
    <t>Operating Expenses</t>
  </si>
  <si>
    <t>Sales and Marketing</t>
  </si>
  <si>
    <t>Total Sales and Marketing Expenses  [M]</t>
  </si>
  <si>
    <t>Research and Development</t>
  </si>
  <si>
    <t>Technology licenses</t>
  </si>
  <si>
    <t>Total Research and Development Expenses  [N]</t>
  </si>
  <si>
    <t>Wages and salaries</t>
  </si>
  <si>
    <t>Electricity</t>
  </si>
  <si>
    <t>Rent</t>
  </si>
  <si>
    <t>Phone + Internet</t>
  </si>
  <si>
    <t>Total General and Adminstrative Expenses  [O]</t>
  </si>
  <si>
    <t>Total Operating Expenses  [P=M+N+O]</t>
  </si>
  <si>
    <t>Taxes</t>
  </si>
  <si>
    <t>Total Taxes  [S]</t>
  </si>
  <si>
    <t>12 to 14 people</t>
  </si>
  <si>
    <t>15 to 19 people</t>
  </si>
  <si>
    <t>20 to 25 people</t>
  </si>
  <si>
    <t>Volume</t>
  </si>
  <si>
    <t>Final Price</t>
  </si>
  <si>
    <t>Seminar type</t>
  </si>
  <si>
    <t>Sales revenues</t>
  </si>
  <si>
    <t>Cost of sales</t>
  </si>
  <si>
    <t>Total Sales Revenue [A]</t>
  </si>
  <si>
    <t>Total Cost of Sales [B]</t>
  </si>
  <si>
    <t>Gross Profit  [C=A-B]</t>
  </si>
  <si>
    <t>General and administrative</t>
  </si>
  <si>
    <t>Income from Operations  [I=C-P]</t>
  </si>
  <si>
    <t>Net Profit  [T=I-S]</t>
  </si>
  <si>
    <t>High hypothesis</t>
  </si>
  <si>
    <t>Tax rate</t>
  </si>
  <si>
    <t>Turnover</t>
  </si>
  <si>
    <t>Interest rate</t>
  </si>
  <si>
    <t>Depreciation</t>
  </si>
  <si>
    <t>Number of years</t>
  </si>
  <si>
    <t>cost/years</t>
  </si>
  <si>
    <t>Furniture on purchase</t>
  </si>
  <si>
    <t>Car on purchase</t>
  </si>
  <si>
    <t>Circuit reservation</t>
  </si>
  <si>
    <t>Supplier delay of paiement</t>
  </si>
  <si>
    <t>Delay for finding a customer</t>
  </si>
  <si>
    <t>Client delay of paiement</t>
  </si>
  <si>
    <t>Fixed assets investment</t>
  </si>
  <si>
    <t>Operating expenses (cash)</t>
  </si>
  <si>
    <t>Loan</t>
  </si>
  <si>
    <t>Term (years)</t>
  </si>
  <si>
    <t>Statement of Income</t>
  </si>
  <si>
    <t>-</t>
  </si>
  <si>
    <t>=</t>
  </si>
  <si>
    <t>Operating income</t>
  </si>
  <si>
    <t>Financial expense</t>
  </si>
  <si>
    <t>EBT (Earning before taxing)</t>
  </si>
  <si>
    <t>tax</t>
  </si>
  <si>
    <t>Net income</t>
  </si>
  <si>
    <t>Nopat (net operative profit after taxes)</t>
  </si>
  <si>
    <t>Sales &amp; operating expenses (cash)</t>
  </si>
  <si>
    <t>Cash flow statement</t>
  </si>
  <si>
    <t>NOPAT</t>
  </si>
  <si>
    <t>+</t>
  </si>
  <si>
    <t>Change in Working capital</t>
  </si>
  <si>
    <t>Cash flow from investing (2)</t>
  </si>
  <si>
    <t>Free Cash flow (3) = (1) - (2)</t>
  </si>
  <si>
    <t>Capital increase</t>
  </si>
  <si>
    <t>Dividends</t>
  </si>
  <si>
    <t>New loan</t>
  </si>
  <si>
    <t>Loan repayment</t>
  </si>
  <si>
    <t>Interest charge</t>
  </si>
  <si>
    <t>Tax shield on interest charge</t>
  </si>
  <si>
    <t>Cash flow from financing (4)</t>
  </si>
  <si>
    <t>Cash beginning of year</t>
  </si>
  <si>
    <t>Change in cash position (3) + (4)</t>
  </si>
  <si>
    <t>Cash end of year</t>
  </si>
  <si>
    <t>Operating Cash Flow (1)</t>
  </si>
  <si>
    <t>as percentage of Net Income</t>
  </si>
  <si>
    <t xml:space="preserve">Balance sheet </t>
  </si>
  <si>
    <t>Beginning</t>
  </si>
  <si>
    <t>End Y1</t>
  </si>
  <si>
    <t>End Y2</t>
  </si>
  <si>
    <t>End Y3</t>
  </si>
  <si>
    <t>End Y4</t>
  </si>
  <si>
    <t>End Y5</t>
  </si>
  <si>
    <t>Cash</t>
  </si>
  <si>
    <t>Capital employed</t>
  </si>
  <si>
    <t>Equity</t>
  </si>
  <si>
    <t>Retained earnings</t>
  </si>
  <si>
    <t>Financial Debt</t>
  </si>
  <si>
    <t>Total CE financing</t>
  </si>
  <si>
    <t>Share capital</t>
  </si>
  <si>
    <t>Financial analysis</t>
  </si>
  <si>
    <t>Fixed assets as % of sales</t>
  </si>
  <si>
    <t>ROCE end of year, before tax</t>
  </si>
  <si>
    <t>Working capital as % of sales</t>
  </si>
  <si>
    <t>Capital productivity (turnover/capital employed)</t>
  </si>
  <si>
    <t>Operating margin (operating income/turnover)</t>
  </si>
  <si>
    <t>working capital-working capital requirement = cash</t>
  </si>
  <si>
    <t>Working capital (€)</t>
  </si>
  <si>
    <t>&lt;-- high cash so as to invest in machines</t>
  </si>
  <si>
    <t>Fixed assets (net)</t>
  </si>
  <si>
    <t>Working capital requirement (days)</t>
  </si>
  <si>
    <t>Days for WCR calculation</t>
  </si>
  <si>
    <t>&lt;-- margin/CE</t>
  </si>
  <si>
    <t>Depreciation (salvation value = 1000€)</t>
  </si>
  <si>
    <t>Salvation value</t>
  </si>
  <si>
    <t>Low hypothesis</t>
  </si>
  <si>
    <t>Net wage</t>
  </si>
  <si>
    <t>ocupation</t>
  </si>
  <si>
    <t>Quantity in high hypothesis</t>
  </si>
  <si>
    <t>Quantity in low hypothesis</t>
  </si>
  <si>
    <t>Furniture depreciation</t>
  </si>
  <si>
    <t>Furniture quantity in high hypothesis</t>
  </si>
  <si>
    <t>Furniture quantity in low hypothesis</t>
  </si>
  <si>
    <t>car transportation (people &amp; vehicle)</t>
  </si>
  <si>
    <t>Differences between high and low :</t>
  </si>
  <si>
    <t>- no differences on the first year (obviously)</t>
  </si>
  <si>
    <t>- direct marketing</t>
  </si>
  <si>
    <t>- net wage increasing</t>
  </si>
  <si>
    <t>- employment volume</t>
  </si>
  <si>
    <t>- furniture quantity</t>
  </si>
  <si>
    <t>No differences between high and low</t>
  </si>
  <si>
    <t>- seminar volumes</t>
  </si>
  <si>
    <t>- operating expenses from fixed costs</t>
  </si>
  <si>
    <t>- number of company car</t>
  </si>
  <si>
    <t>- parts</t>
  </si>
  <si>
    <t>- former differences</t>
  </si>
  <si>
    <t>- dividends percentage</t>
  </si>
  <si>
    <t>- first year of dividend generation (2 vs 3) due to net income difference</t>
  </si>
  <si>
    <t>- new loans on the 2nd year and 3rd year</t>
  </si>
  <si>
    <t>- new capital increase on the 2nd year</t>
  </si>
  <si>
    <t>- client delay of paiment</t>
  </si>
  <si>
    <t>- supplier delay of paiment</t>
  </si>
  <si>
    <t>Toolings</t>
  </si>
  <si>
    <t>Accounting firm</t>
  </si>
  <si>
    <t>Money is our motive</t>
  </si>
  <si>
    <t>Fixed costs</t>
  </si>
  <si>
    <t>Variable costs</t>
  </si>
  <si>
    <t>Fixed costs repartition</t>
  </si>
  <si>
    <t>Wages</t>
  </si>
  <si>
    <t>Product</t>
  </si>
  <si>
    <t>Office and warehouse</t>
  </si>
  <si>
    <t>Communication &amp; Marketing</t>
  </si>
  <si>
    <t>cumulative (5y)</t>
  </si>
  <si>
    <t>Total fixed cost</t>
  </si>
  <si>
    <t>Insurance</t>
  </si>
  <si>
    <t>Office rental</t>
  </si>
  <si>
    <t>Warehouse rental</t>
  </si>
  <si>
    <t>Parts &amp; kits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</si>
</sst>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6" formatCode="#,##0\ &quot;€&quot;;[Red]\-#,##0\ &quot;€&quot;"/>
    <numFmt numFmtId="164" formatCode="_-* #,##0.00\ _€_-;\-* #,##0.00\ _€_-;_-* &quot;-&quot;??\ _€_-;_-@_-"/>
    <numFmt numFmtId="165" formatCode="_-[$€-2]\ * #,##0.00_-;\-[$€-2]\ * #,##0.00_-;_-[$€-2]\ * &quot;-&quot;??_-;_-@"/>
    <numFmt numFmtId="166" formatCode="_-[$€-2]\ * #,##0_-;\-[$€-2]\ * #,##0_-;_-[$€-2]\ * &quot;-&quot;??_-;_-@"/>
    <numFmt numFmtId="167" formatCode="_ [$€-2]\ * #,##0_ ;_ [$€-2]\ * \-#,##0_ ;_ [$€-2]\ * &quot;-&quot;??_ ;_ @_ "/>
    <numFmt numFmtId="168" formatCode="_-* #,##0\ _€_-;\-* #,##0\ _€_-;_-* &quot;-&quot;??\ _€_-;_-@_-"/>
    <numFmt numFmtId="169" formatCode="[$-409]mmm\-yy;@"/>
    <numFmt numFmtId="170" formatCode="_-* #,##0\ &quot;€&quot;_-;\-* #,##0\ &quot;€&quot;_-;_-* &quot;-&quot;??\ &quot;€&quot;_-;_-@_-"/>
    <numFmt numFmtId="171" formatCode="#,##0\ &quot;€&quot;"/>
    <numFmt numFmtId="172" formatCode="#,##0.00\ &quot;€&quot;"/>
    <numFmt numFmtId="173" formatCode="0.0%"/>
  </numFmts>
  <fonts count="31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8"/>
      <name val="Tahoma"/>
      <family val="2"/>
    </font>
    <font>
      <sz val="8"/>
      <name val="Tahoma"/>
      <family val="2"/>
    </font>
    <font>
      <b/>
      <i/>
      <sz val="8"/>
      <name val="Tahoma"/>
      <family val="2"/>
    </font>
    <font>
      <b/>
      <sz val="11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name val="Calibri"/>
      <family val="2"/>
      <scheme val="minor"/>
    </font>
    <font>
      <i/>
      <sz val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9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rgb="FFFFFFFF"/>
        <bgColor rgb="FFFFFFFF"/>
      </patternFill>
    </fill>
    <fill>
      <patternFill patternType="solid">
        <fgColor rgb="FFFB6435"/>
        <bgColor rgb="FF5B9BD5"/>
      </patternFill>
    </fill>
    <fill>
      <patternFill patternType="solid">
        <fgColor rgb="FFFB6435"/>
        <bgColor indexed="64"/>
      </patternFill>
    </fill>
    <fill>
      <patternFill patternType="solid">
        <fgColor rgb="FFFCAEA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CAEAE"/>
        <bgColor rgb="FF5B9BD5"/>
      </patternFill>
    </fill>
    <fill>
      <patternFill patternType="solid">
        <fgColor rgb="FFFCAEAE"/>
        <bgColor rgb="FF9CC2E5"/>
      </patternFill>
    </fill>
    <fill>
      <patternFill patternType="solid">
        <fgColor theme="0" tint="-0.14999847407452621"/>
        <bgColor rgb="FF5B9B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B6435"/>
        <bgColor rgb="FF366092"/>
      </patternFill>
    </fill>
    <fill>
      <patternFill patternType="solid">
        <fgColor rgb="FFFCAEAE"/>
        <bgColor rgb="FFDEEAF6"/>
      </patternFill>
    </fill>
    <fill>
      <patternFill patternType="solid">
        <fgColor rgb="FFFB6435"/>
        <bgColor rgb="FFDEEAF6"/>
      </patternFill>
    </fill>
    <fill>
      <patternFill patternType="solid">
        <fgColor rgb="FFFFFF99"/>
        <bgColor rgb="FFFFFF99"/>
      </patternFill>
    </fill>
    <fill>
      <patternFill patternType="solid">
        <fgColor rgb="FFFCAEAE"/>
        <bgColor rgb="FFCCFFFF"/>
      </patternFill>
    </fill>
    <fill>
      <patternFill patternType="solid">
        <fgColor rgb="FFFFC000"/>
        <bgColor indexed="64"/>
      </patternFill>
    </fill>
    <fill>
      <patternFill patternType="solid">
        <fgColor rgb="FFFB6435"/>
        <bgColor rgb="FF99CCFF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rgb="FFFFFF99"/>
      </patternFill>
    </fill>
    <fill>
      <patternFill patternType="solid">
        <fgColor rgb="FFFCAEAE"/>
        <bgColor rgb="FF99CCFF"/>
      </patternFill>
    </fill>
    <fill>
      <patternFill patternType="solid">
        <fgColor rgb="FFFB6435"/>
        <bgColor rgb="FFCCFFFF"/>
      </patternFill>
    </fill>
    <fill>
      <patternFill patternType="solid">
        <fgColor rgb="FFFB6435"/>
        <bgColor rgb="FFFFFF99"/>
      </patternFill>
    </fill>
    <fill>
      <patternFill patternType="solid">
        <fgColor rgb="FFFFFF99"/>
        <bgColor rgb="FFCCFFFF"/>
      </patternFill>
    </fill>
    <fill>
      <patternFill patternType="solid">
        <fgColor rgb="FFFFC000"/>
        <bgColor rgb="FF33CCCC"/>
      </patternFill>
    </fill>
    <fill>
      <patternFill patternType="solid">
        <fgColor rgb="FFFCAEAE"/>
        <bgColor rgb="FFFFFF99"/>
      </patternFill>
    </fill>
    <fill>
      <patternFill patternType="solid">
        <fgColor rgb="FFFFFF99"/>
        <bgColor indexed="64"/>
      </patternFill>
    </fill>
    <fill>
      <patternFill patternType="solid">
        <fgColor rgb="FFFEEB5E"/>
        <bgColor indexed="64"/>
      </patternFill>
    </fill>
    <fill>
      <patternFill patternType="solid">
        <fgColor rgb="FFFD9523"/>
        <bgColor indexed="64"/>
      </patternFill>
    </fill>
    <fill>
      <patternFill patternType="solid">
        <fgColor rgb="FFFED05E"/>
        <bgColor indexed="64"/>
      </patternFill>
    </fill>
  </fills>
  <borders count="14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indexed="64"/>
      </top>
      <bottom style="hair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auto="1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/>
      <top/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medium">
        <color indexed="64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medium">
        <color indexed="64"/>
      </right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/>
      <bottom style="thin">
        <color rgb="FF3F3F3F"/>
      </bottom>
      <diagonal/>
    </border>
    <border>
      <left style="medium">
        <color indexed="64"/>
      </left>
      <right/>
      <top style="thin">
        <color rgb="FF3F3F3F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medium">
        <color indexed="64"/>
      </bottom>
      <diagonal/>
    </border>
    <border>
      <left style="thin">
        <color rgb="FF3F3F3F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rgb="FF000000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medium">
        <color auto="1"/>
      </right>
      <top style="thin">
        <color rgb="FF000000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 style="hair">
        <color auto="1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auto="1"/>
      </top>
      <bottom/>
      <diagonal/>
    </border>
    <border>
      <left style="medium">
        <color indexed="64"/>
      </left>
      <right style="hair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hair">
        <color indexed="64"/>
      </bottom>
      <diagonal/>
    </border>
    <border>
      <left/>
      <right style="medium">
        <color indexed="64"/>
      </right>
      <top style="thin">
        <color auto="1"/>
      </top>
      <bottom style="hair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4" fillId="3" borderId="0" applyNumberFormat="0" applyBorder="0" applyAlignment="0" applyProtection="0"/>
    <xf numFmtId="164" fontId="23" fillId="0" borderId="0" applyFont="0" applyFill="0" applyBorder="0" applyAlignment="0" applyProtection="0"/>
  </cellStyleXfs>
  <cellXfs count="520">
    <xf numFmtId="0" fontId="0" fillId="0" borderId="0" xfId="0"/>
    <xf numFmtId="0" fontId="7" fillId="4" borderId="8" xfId="0" applyFont="1" applyFill="1" applyBorder="1" applyAlignment="1">
      <alignment vertical="center"/>
    </xf>
    <xf numFmtId="166" fontId="8" fillId="0" borderId="9" xfId="0" applyNumberFormat="1" applyFont="1" applyBorder="1" applyAlignment="1">
      <alignment vertical="center"/>
    </xf>
    <xf numFmtId="166" fontId="8" fillId="0" borderId="10" xfId="0" applyNumberFormat="1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167" fontId="0" fillId="0" borderId="0" xfId="0" applyNumberFormat="1" applyFont="1" applyBorder="1" applyAlignment="1">
      <alignment vertical="center"/>
    </xf>
    <xf numFmtId="167" fontId="0" fillId="0" borderId="12" xfId="0" applyNumberFormat="1" applyFont="1" applyBorder="1" applyAlignment="1">
      <alignment vertical="center"/>
    </xf>
    <xf numFmtId="0" fontId="7" fillId="4" borderId="13" xfId="0" applyFont="1" applyFill="1" applyBorder="1" applyAlignment="1">
      <alignment vertical="center"/>
    </xf>
    <xf numFmtId="166" fontId="8" fillId="0" borderId="14" xfId="0" applyNumberFormat="1" applyFont="1" applyBorder="1" applyAlignment="1">
      <alignment vertical="center"/>
    </xf>
    <xf numFmtId="166" fontId="8" fillId="0" borderId="15" xfId="0" applyNumberFormat="1" applyFont="1" applyBorder="1" applyAlignment="1">
      <alignment vertical="center"/>
    </xf>
    <xf numFmtId="0" fontId="7" fillId="4" borderId="17" xfId="0" applyFont="1" applyFill="1" applyBorder="1" applyAlignment="1">
      <alignment vertical="center"/>
    </xf>
    <xf numFmtId="0" fontId="0" fillId="0" borderId="9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0" xfId="0" applyBorder="1"/>
    <xf numFmtId="0" fontId="0" fillId="0" borderId="25" xfId="0" applyBorder="1"/>
    <xf numFmtId="0" fontId="0" fillId="0" borderId="27" xfId="0" applyBorder="1"/>
    <xf numFmtId="0" fontId="0" fillId="0" borderId="14" xfId="0" applyBorder="1"/>
    <xf numFmtId="0" fontId="0" fillId="0" borderId="28" xfId="0" applyBorder="1"/>
    <xf numFmtId="0" fontId="0" fillId="0" borderId="29" xfId="0" applyBorder="1"/>
    <xf numFmtId="0" fontId="0" fillId="0" borderId="0" xfId="0" applyBorder="1"/>
    <xf numFmtId="0" fontId="0" fillId="0" borderId="12" xfId="0" applyBorder="1"/>
    <xf numFmtId="0" fontId="0" fillId="0" borderId="30" xfId="0" applyBorder="1"/>
    <xf numFmtId="0" fontId="7" fillId="4" borderId="26" xfId="0" applyFont="1" applyFill="1" applyBorder="1" applyAlignment="1">
      <alignment vertical="center"/>
    </xf>
    <xf numFmtId="0" fontId="0" fillId="0" borderId="31" xfId="0" applyBorder="1"/>
    <xf numFmtId="0" fontId="7" fillId="4" borderId="32" xfId="0" applyFont="1" applyFill="1" applyBorder="1" applyAlignment="1">
      <alignment vertical="center"/>
    </xf>
    <xf numFmtId="0" fontId="0" fillId="0" borderId="33" xfId="0" applyBorder="1"/>
    <xf numFmtId="0" fontId="7" fillId="4" borderId="34" xfId="0" applyFont="1" applyFill="1" applyBorder="1" applyAlignment="1">
      <alignment vertical="center"/>
    </xf>
    <xf numFmtId="0" fontId="7" fillId="4" borderId="35" xfId="0" applyFont="1" applyFill="1" applyBorder="1" applyAlignment="1">
      <alignment vertical="center"/>
    </xf>
    <xf numFmtId="168" fontId="11" fillId="0" borderId="41" xfId="0" applyNumberFormat="1" applyFont="1" applyBorder="1" applyAlignment="1">
      <alignment horizontal="center" vertical="center"/>
    </xf>
    <xf numFmtId="168" fontId="11" fillId="0" borderId="42" xfId="0" applyNumberFormat="1" applyFont="1" applyBorder="1" applyAlignment="1">
      <alignment horizontal="center" vertical="center"/>
    </xf>
    <xf numFmtId="168" fontId="11" fillId="0" borderId="11" xfId="0" applyNumberFormat="1" applyFont="1" applyBorder="1" applyAlignment="1">
      <alignment horizontal="center" vertical="center"/>
    </xf>
    <xf numFmtId="168" fontId="11" fillId="0" borderId="43" xfId="0" applyNumberFormat="1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1" fillId="0" borderId="42" xfId="0" applyFont="1" applyBorder="1" applyAlignment="1">
      <alignment horizontal="center" vertical="center"/>
    </xf>
    <xf numFmtId="0" fontId="11" fillId="0" borderId="46" xfId="0" applyFont="1" applyFill="1" applyBorder="1" applyAlignment="1">
      <alignment horizontal="center" vertical="center"/>
    </xf>
    <xf numFmtId="0" fontId="0" fillId="0" borderId="46" xfId="0" applyBorder="1"/>
    <xf numFmtId="0" fontId="1" fillId="2" borderId="47" xfId="1" applyBorder="1"/>
    <xf numFmtId="0" fontId="1" fillId="2" borderId="48" xfId="1" applyBorder="1"/>
    <xf numFmtId="168" fontId="11" fillId="0" borderId="49" xfId="0" applyNumberFormat="1" applyFont="1" applyBorder="1" applyAlignment="1">
      <alignment horizontal="center" vertical="center"/>
    </xf>
    <xf numFmtId="168" fontId="11" fillId="0" borderId="46" xfId="0" applyNumberFormat="1" applyFont="1" applyBorder="1" applyAlignment="1">
      <alignment horizontal="center" vertical="center"/>
    </xf>
    <xf numFmtId="0" fontId="1" fillId="2" borderId="45" xfId="1" applyBorder="1"/>
    <xf numFmtId="6" fontId="1" fillId="2" borderId="16" xfId="1" applyNumberFormat="1" applyBorder="1"/>
    <xf numFmtId="6" fontId="1" fillId="2" borderId="44" xfId="1" applyNumberFormat="1" applyBorder="1"/>
    <xf numFmtId="0" fontId="1" fillId="2" borderId="54" xfId="1" applyBorder="1"/>
    <xf numFmtId="0" fontId="13" fillId="0" borderId="0" xfId="2" applyFont="1" applyFill="1" applyBorder="1"/>
    <xf numFmtId="0" fontId="0" fillId="0" borderId="0" xfId="0" applyFill="1"/>
    <xf numFmtId="168" fontId="1" fillId="2" borderId="1" xfId="1" applyNumberFormat="1" applyBorder="1"/>
    <xf numFmtId="168" fontId="1" fillId="2" borderId="57" xfId="1" applyNumberFormat="1" applyBorder="1"/>
    <xf numFmtId="168" fontId="1" fillId="2" borderId="58" xfId="1" applyNumberFormat="1" applyBorder="1"/>
    <xf numFmtId="168" fontId="1" fillId="2" borderId="59" xfId="1" applyNumberFormat="1" applyBorder="1"/>
    <xf numFmtId="168" fontId="11" fillId="0" borderId="60" xfId="0" applyNumberFormat="1" applyFont="1" applyBorder="1" applyAlignment="1">
      <alignment horizontal="center" vertical="center"/>
    </xf>
    <xf numFmtId="168" fontId="11" fillId="0" borderId="61" xfId="0" applyNumberFormat="1" applyFont="1" applyBorder="1" applyAlignment="1">
      <alignment horizontal="center" vertical="center"/>
    </xf>
    <xf numFmtId="0" fontId="5" fillId="5" borderId="36" xfId="0" applyFont="1" applyFill="1" applyBorder="1" applyAlignment="1">
      <alignment horizontal="center" vertical="center"/>
    </xf>
    <xf numFmtId="168" fontId="10" fillId="5" borderId="2" xfId="0" applyNumberFormat="1" applyFont="1" applyFill="1" applyBorder="1" applyAlignment="1">
      <alignment horizontal="center" vertical="center"/>
    </xf>
    <xf numFmtId="168" fontId="10" fillId="5" borderId="3" xfId="0" applyNumberFormat="1" applyFont="1" applyFill="1" applyBorder="1" applyAlignment="1">
      <alignment horizontal="center" vertical="center"/>
    </xf>
    <xf numFmtId="168" fontId="10" fillId="5" borderId="4" xfId="0" applyNumberFormat="1" applyFont="1" applyFill="1" applyBorder="1" applyAlignment="1">
      <alignment horizontal="center" vertical="center"/>
    </xf>
    <xf numFmtId="0" fontId="2" fillId="6" borderId="52" xfId="2" applyFont="1" applyFill="1" applyBorder="1"/>
    <xf numFmtId="0" fontId="2" fillId="6" borderId="53" xfId="2" applyFont="1" applyFill="1" applyBorder="1"/>
    <xf numFmtId="0" fontId="2" fillId="6" borderId="51" xfId="2" applyFont="1" applyFill="1" applyBorder="1" applyAlignment="1">
      <alignment horizontal="center"/>
    </xf>
    <xf numFmtId="0" fontId="0" fillId="0" borderId="0" xfId="0" applyFont="1" applyAlignment="1">
      <alignment vertical="center"/>
    </xf>
    <xf numFmtId="0" fontId="14" fillId="0" borderId="0" xfId="0" applyFont="1" applyBorder="1" applyAlignment="1">
      <alignment horizontal="center" vertical="center" textRotation="60" wrapText="1"/>
    </xf>
    <xf numFmtId="17" fontId="14" fillId="0" borderId="0" xfId="0" applyNumberFormat="1" applyFont="1" applyBorder="1" applyAlignment="1" applyProtection="1">
      <alignment horizontal="center" vertical="center" wrapText="1"/>
    </xf>
    <xf numFmtId="169" fontId="14" fillId="0" borderId="0" xfId="0" applyNumberFormat="1" applyFont="1" applyBorder="1" applyAlignment="1" applyProtection="1">
      <alignment horizontal="center" vertical="center" wrapText="1"/>
    </xf>
    <xf numFmtId="0" fontId="14" fillId="0" borderId="0" xfId="0" applyNumberFormat="1" applyFont="1" applyBorder="1" applyAlignment="1" applyProtection="1">
      <alignment horizontal="center" vertical="center" wrapText="1"/>
    </xf>
    <xf numFmtId="1" fontId="14" fillId="0" borderId="0" xfId="0" applyNumberFormat="1" applyFont="1" applyBorder="1" applyAlignment="1" applyProtection="1">
      <alignment horizontal="center" vertical="center" wrapText="1"/>
    </xf>
    <xf numFmtId="170" fontId="0" fillId="0" borderId="0" xfId="0" applyNumberFormat="1" applyFont="1" applyAlignment="1">
      <alignment vertical="center"/>
    </xf>
    <xf numFmtId="0" fontId="15" fillId="0" borderId="0" xfId="0" applyFont="1" applyBorder="1" applyAlignment="1">
      <alignment vertical="center" wrapText="1"/>
    </xf>
    <xf numFmtId="171" fontId="15" fillId="0" borderId="0" xfId="0" applyNumberFormat="1" applyFont="1" applyBorder="1" applyAlignment="1">
      <alignment horizontal="center" vertical="center" wrapText="1"/>
    </xf>
    <xf numFmtId="172" fontId="15" fillId="0" borderId="0" xfId="0" applyNumberFormat="1" applyFont="1" applyBorder="1" applyAlignment="1">
      <alignment horizontal="center" vertical="center" wrapText="1"/>
    </xf>
    <xf numFmtId="0" fontId="14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171" fontId="14" fillId="0" borderId="0" xfId="0" applyNumberFormat="1" applyFont="1" applyBorder="1" applyAlignment="1">
      <alignment horizontal="center" vertical="center" wrapText="1"/>
    </xf>
    <xf numFmtId="0" fontId="1" fillId="2" borderId="1" xfId="1" applyBorder="1"/>
    <xf numFmtId="0" fontId="1" fillId="2" borderId="57" xfId="1" applyBorder="1"/>
    <xf numFmtId="0" fontId="1" fillId="2" borderId="58" xfId="1" applyBorder="1"/>
    <xf numFmtId="0" fontId="1" fillId="2" borderId="59" xfId="1" applyBorder="1"/>
    <xf numFmtId="0" fontId="1" fillId="8" borderId="2" xfId="1" applyFill="1" applyBorder="1"/>
    <xf numFmtId="0" fontId="1" fillId="8" borderId="3" xfId="1" applyFill="1" applyBorder="1"/>
    <xf numFmtId="0" fontId="1" fillId="2" borderId="65" xfId="1" applyBorder="1"/>
    <xf numFmtId="0" fontId="1" fillId="2" borderId="66" xfId="1" applyBorder="1"/>
    <xf numFmtId="0" fontId="1" fillId="2" borderId="67" xfId="1" applyBorder="1"/>
    <xf numFmtId="0" fontId="5" fillId="9" borderId="62" xfId="0" applyFont="1" applyFill="1" applyBorder="1" applyAlignment="1">
      <alignment horizontal="center" vertical="center"/>
    </xf>
    <xf numFmtId="0" fontId="5" fillId="9" borderId="63" xfId="0" applyFont="1" applyFill="1" applyBorder="1" applyAlignment="1">
      <alignment horizontal="center" vertical="center"/>
    </xf>
    <xf numFmtId="0" fontId="5" fillId="9" borderId="64" xfId="0" applyFont="1" applyFill="1" applyBorder="1" applyAlignment="1">
      <alignment horizontal="center" vertical="center"/>
    </xf>
    <xf numFmtId="0" fontId="2" fillId="6" borderId="39" xfId="2" applyFont="1" applyFill="1" applyBorder="1"/>
    <xf numFmtId="0" fontId="0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8" fontId="1" fillId="0" borderId="1" xfId="1" applyNumberFormat="1" applyFill="1" applyBorder="1"/>
    <xf numFmtId="168" fontId="1" fillId="0" borderId="57" xfId="1" applyNumberFormat="1" applyFill="1" applyBorder="1"/>
    <xf numFmtId="168" fontId="1" fillId="0" borderId="58" xfId="1" applyNumberFormat="1" applyFill="1" applyBorder="1"/>
    <xf numFmtId="168" fontId="1" fillId="0" borderId="59" xfId="1" applyNumberFormat="1" applyFill="1" applyBorder="1"/>
    <xf numFmtId="0" fontId="1" fillId="2" borderId="68" xfId="1" applyBorder="1"/>
    <xf numFmtId="0" fontId="1" fillId="2" borderId="69" xfId="1" applyBorder="1"/>
    <xf numFmtId="0" fontId="2" fillId="6" borderId="70" xfId="2" applyFont="1" applyFill="1" applyBorder="1"/>
    <xf numFmtId="0" fontId="1" fillId="2" borderId="71" xfId="1" applyBorder="1"/>
    <xf numFmtId="0" fontId="1" fillId="2" borderId="72" xfId="1" applyBorder="1"/>
    <xf numFmtId="0" fontId="1" fillId="2" borderId="73" xfId="1" applyBorder="1"/>
    <xf numFmtId="168" fontId="11" fillId="0" borderId="16" xfId="0" applyNumberFormat="1" applyFont="1" applyBorder="1" applyAlignment="1">
      <alignment horizontal="center" vertical="center"/>
    </xf>
    <xf numFmtId="0" fontId="5" fillId="5" borderId="39" xfId="0" applyFont="1" applyFill="1" applyBorder="1" applyAlignment="1">
      <alignment horizontal="left" vertical="center"/>
    </xf>
    <xf numFmtId="0" fontId="1" fillId="2" borderId="76" xfId="1" applyBorder="1"/>
    <xf numFmtId="168" fontId="11" fillId="0" borderId="44" xfId="0" applyNumberFormat="1" applyFont="1" applyBorder="1" applyAlignment="1">
      <alignment horizontal="center" vertical="center"/>
    </xf>
    <xf numFmtId="168" fontId="11" fillId="0" borderId="55" xfId="0" applyNumberFormat="1" applyFont="1" applyBorder="1" applyAlignment="1">
      <alignment horizontal="center" vertical="center"/>
    </xf>
    <xf numFmtId="168" fontId="11" fillId="0" borderId="56" xfId="0" applyNumberFormat="1" applyFont="1" applyBorder="1" applyAlignment="1">
      <alignment horizontal="center" vertical="center"/>
    </xf>
    <xf numFmtId="168" fontId="1" fillId="0" borderId="77" xfId="1" applyNumberFormat="1" applyFill="1" applyBorder="1"/>
    <xf numFmtId="168" fontId="11" fillId="0" borderId="0" xfId="0" applyNumberFormat="1" applyFont="1" applyBorder="1" applyAlignment="1">
      <alignment horizontal="center" vertical="center"/>
    </xf>
    <xf numFmtId="168" fontId="1" fillId="0" borderId="0" xfId="1" applyNumberFormat="1" applyFill="1" applyBorder="1"/>
    <xf numFmtId="0" fontId="1" fillId="0" borderId="0" xfId="1" applyFill="1" applyBorder="1"/>
    <xf numFmtId="168" fontId="1" fillId="2" borderId="68" xfId="1" applyNumberFormat="1" applyBorder="1"/>
    <xf numFmtId="168" fontId="1" fillId="2" borderId="69" xfId="1" applyNumberFormat="1" applyBorder="1"/>
    <xf numFmtId="168" fontId="1" fillId="8" borderId="3" xfId="1" applyNumberFormat="1" applyFill="1" applyBorder="1"/>
    <xf numFmtId="168" fontId="1" fillId="8" borderId="38" xfId="1" applyNumberFormat="1" applyFill="1" applyBorder="1"/>
    <xf numFmtId="0" fontId="6" fillId="10" borderId="62" xfId="0" applyFont="1" applyFill="1" applyBorder="1" applyAlignment="1">
      <alignment horizontal="left" vertical="center"/>
    </xf>
    <xf numFmtId="171" fontId="6" fillId="10" borderId="63" xfId="0" applyNumberFormat="1" applyFont="1" applyFill="1" applyBorder="1" applyAlignment="1">
      <alignment horizontal="center" vertical="center"/>
    </xf>
    <xf numFmtId="171" fontId="6" fillId="10" borderId="64" xfId="0" applyNumberFormat="1" applyFont="1" applyFill="1" applyBorder="1" applyAlignment="1">
      <alignment horizontal="center" vertical="center"/>
    </xf>
    <xf numFmtId="171" fontId="18" fillId="0" borderId="16" xfId="0" applyNumberFormat="1" applyFont="1" applyFill="1" applyBorder="1" applyAlignment="1">
      <alignment horizontal="center" vertical="center" wrapText="1"/>
    </xf>
    <xf numFmtId="171" fontId="18" fillId="0" borderId="44" xfId="0" applyNumberFormat="1" applyFont="1" applyFill="1" applyBorder="1" applyAlignment="1">
      <alignment horizontal="center" vertical="center" wrapText="1"/>
    </xf>
    <xf numFmtId="0" fontId="18" fillId="12" borderId="51" xfId="0" applyFont="1" applyFill="1" applyBorder="1" applyAlignment="1">
      <alignment horizontal="right" vertical="center" wrapText="1"/>
    </xf>
    <xf numFmtId="0" fontId="18" fillId="12" borderId="45" xfId="0" applyFont="1" applyFill="1" applyBorder="1" applyAlignment="1">
      <alignment horizontal="right" vertical="center" wrapText="1"/>
    </xf>
    <xf numFmtId="0" fontId="2" fillId="6" borderId="74" xfId="2" applyFont="1" applyFill="1" applyBorder="1"/>
    <xf numFmtId="0" fontId="2" fillId="6" borderId="75" xfId="2" applyFont="1" applyFill="1" applyBorder="1"/>
    <xf numFmtId="170" fontId="18" fillId="0" borderId="52" xfId="0" applyNumberFormat="1" applyFont="1" applyFill="1" applyBorder="1" applyAlignment="1">
      <alignment horizontal="center" vertical="center" wrapText="1"/>
    </xf>
    <xf numFmtId="170" fontId="18" fillId="0" borderId="16" xfId="0" applyNumberFormat="1" applyFont="1" applyFill="1" applyBorder="1" applyAlignment="1">
      <alignment horizontal="center" vertical="center" wrapText="1"/>
    </xf>
    <xf numFmtId="170" fontId="18" fillId="0" borderId="70" xfId="0" applyNumberFormat="1" applyFont="1" applyFill="1" applyBorder="1" applyAlignment="1">
      <alignment horizontal="center" vertical="center" wrapText="1"/>
    </xf>
    <xf numFmtId="0" fontId="2" fillId="6" borderId="3" xfId="2" applyFont="1" applyFill="1" applyBorder="1"/>
    <xf numFmtId="0" fontId="2" fillId="6" borderId="4" xfId="2" applyFont="1" applyFill="1" applyBorder="1"/>
    <xf numFmtId="0" fontId="5" fillId="5" borderId="62" xfId="0" applyFont="1" applyFill="1" applyBorder="1" applyAlignment="1">
      <alignment horizontal="center" vertical="center"/>
    </xf>
    <xf numFmtId="171" fontId="5" fillId="5" borderId="63" xfId="0" applyNumberFormat="1" applyFont="1" applyFill="1" applyBorder="1" applyAlignment="1">
      <alignment horizontal="center" vertical="center"/>
    </xf>
    <xf numFmtId="171" fontId="5" fillId="5" borderId="64" xfId="0" applyNumberFormat="1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7" fillId="11" borderId="62" xfId="0" applyFont="1" applyFill="1" applyBorder="1" applyAlignment="1">
      <alignment horizontal="center" vertical="center"/>
    </xf>
    <xf numFmtId="171" fontId="17" fillId="11" borderId="63" xfId="0" applyNumberFormat="1" applyFont="1" applyFill="1" applyBorder="1" applyAlignment="1">
      <alignment horizontal="center" vertical="center"/>
    </xf>
    <xf numFmtId="171" fontId="17" fillId="11" borderId="64" xfId="0" applyNumberFormat="1" applyFont="1" applyFill="1" applyBorder="1" applyAlignment="1">
      <alignment horizontal="center" vertical="center"/>
    </xf>
    <xf numFmtId="0" fontId="18" fillId="0" borderId="36" xfId="0" applyFont="1" applyBorder="1" applyAlignment="1">
      <alignment vertical="center" wrapText="1"/>
    </xf>
    <xf numFmtId="171" fontId="18" fillId="0" borderId="3" xfId="0" applyNumberFormat="1" applyFont="1" applyFill="1" applyBorder="1" applyAlignment="1">
      <alignment horizontal="center" vertical="center" wrapText="1"/>
    </xf>
    <xf numFmtId="171" fontId="18" fillId="0" borderId="4" xfId="0" applyNumberFormat="1" applyFont="1" applyFill="1" applyBorder="1" applyAlignment="1">
      <alignment horizontal="center" vertical="center" wrapText="1"/>
    </xf>
    <xf numFmtId="0" fontId="2" fillId="6" borderId="36" xfId="2" applyFont="1" applyFill="1" applyBorder="1"/>
    <xf numFmtId="168" fontId="1" fillId="2" borderId="78" xfId="1" applyNumberFormat="1" applyBorder="1"/>
    <xf numFmtId="168" fontId="1" fillId="2" borderId="79" xfId="1" applyNumberFormat="1" applyBorder="1"/>
    <xf numFmtId="0" fontId="5" fillId="13" borderId="2" xfId="0" applyFont="1" applyFill="1" applyBorder="1" applyAlignment="1">
      <alignment vertical="center"/>
    </xf>
    <xf numFmtId="165" fontId="5" fillId="13" borderId="3" xfId="0" applyNumberFormat="1" applyFont="1" applyFill="1" applyBorder="1" applyAlignment="1">
      <alignment vertical="center"/>
    </xf>
    <xf numFmtId="165" fontId="5" fillId="13" borderId="4" xfId="0" applyNumberFormat="1" applyFont="1" applyFill="1" applyBorder="1" applyAlignment="1">
      <alignment vertical="center"/>
    </xf>
    <xf numFmtId="0" fontId="6" fillId="14" borderId="5" xfId="0" applyFont="1" applyFill="1" applyBorder="1" applyAlignment="1">
      <alignment vertical="center"/>
    </xf>
    <xf numFmtId="166" fontId="6" fillId="14" borderId="6" xfId="0" applyNumberFormat="1" applyFont="1" applyFill="1" applyBorder="1" applyAlignment="1">
      <alignment vertical="center"/>
    </xf>
    <xf numFmtId="166" fontId="6" fillId="14" borderId="7" xfId="0" applyNumberFormat="1" applyFont="1" applyFill="1" applyBorder="1" applyAlignment="1">
      <alignment vertical="center"/>
    </xf>
    <xf numFmtId="0" fontId="6" fillId="14" borderId="8" xfId="0" applyFont="1" applyFill="1" applyBorder="1" applyAlignment="1">
      <alignment vertical="center"/>
    </xf>
    <xf numFmtId="166" fontId="6" fillId="14" borderId="9" xfId="0" applyNumberFormat="1" applyFont="1" applyFill="1" applyBorder="1" applyAlignment="1">
      <alignment vertical="center"/>
    </xf>
    <xf numFmtId="166" fontId="6" fillId="14" borderId="10" xfId="0" applyNumberFormat="1" applyFont="1" applyFill="1" applyBorder="1" applyAlignment="1">
      <alignment vertical="center"/>
    </xf>
    <xf numFmtId="0" fontId="9" fillId="15" borderId="2" xfId="0" applyFont="1" applyFill="1" applyBorder="1" applyAlignment="1">
      <alignment vertical="center"/>
    </xf>
    <xf numFmtId="166" fontId="9" fillId="15" borderId="3" xfId="0" applyNumberFormat="1" applyFont="1" applyFill="1" applyBorder="1" applyAlignment="1">
      <alignment vertical="center"/>
    </xf>
    <xf numFmtId="166" fontId="9" fillId="15" borderId="4" xfId="0" applyNumberFormat="1" applyFont="1" applyFill="1" applyBorder="1" applyAlignment="1">
      <alignment vertical="center"/>
    </xf>
    <xf numFmtId="0" fontId="11" fillId="0" borderId="39" xfId="0" applyFont="1" applyBorder="1"/>
    <xf numFmtId="0" fontId="11" fillId="0" borderId="50" xfId="0" applyFont="1" applyBorder="1"/>
    <xf numFmtId="0" fontId="11" fillId="0" borderId="11" xfId="0" applyFont="1" applyBorder="1"/>
    <xf numFmtId="0" fontId="11" fillId="0" borderId="0" xfId="0" applyFont="1" applyBorder="1"/>
    <xf numFmtId="0" fontId="11" fillId="0" borderId="26" xfId="0" applyFont="1" applyBorder="1"/>
    <xf numFmtId="0" fontId="11" fillId="0" borderId="80" xfId="0" applyFont="1" applyBorder="1"/>
    <xf numFmtId="0" fontId="11" fillId="0" borderId="0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0" borderId="80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166" fontId="9" fillId="15" borderId="81" xfId="0" applyNumberFormat="1" applyFont="1" applyFill="1" applyBorder="1" applyAlignment="1">
      <alignment vertical="center"/>
    </xf>
    <xf numFmtId="166" fontId="9" fillId="15" borderId="2" xfId="0" applyNumberFormat="1" applyFont="1" applyFill="1" applyBorder="1" applyAlignment="1">
      <alignment vertical="center"/>
    </xf>
    <xf numFmtId="0" fontId="7" fillId="4" borderId="5" xfId="0" applyFont="1" applyFill="1" applyBorder="1" applyAlignment="1">
      <alignment vertical="center"/>
    </xf>
    <xf numFmtId="0" fontId="0" fillId="0" borderId="50" xfId="0" applyBorder="1"/>
    <xf numFmtId="0" fontId="0" fillId="0" borderId="50" xfId="0" applyFill="1" applyBorder="1"/>
    <xf numFmtId="0" fontId="0" fillId="0" borderId="10" xfId="0" applyFill="1" applyBorder="1"/>
    <xf numFmtId="0" fontId="9" fillId="6" borderId="36" xfId="0" applyFont="1" applyFill="1" applyBorder="1" applyAlignment="1">
      <alignment vertical="center"/>
    </xf>
    <xf numFmtId="0" fontId="22" fillId="0" borderId="11" xfId="0" applyFont="1" applyBorder="1" applyAlignment="1">
      <alignment vertical="center"/>
    </xf>
    <xf numFmtId="0" fontId="19" fillId="17" borderId="39" xfId="0" applyFont="1" applyFill="1" applyBorder="1"/>
    <xf numFmtId="0" fontId="18" fillId="17" borderId="82" xfId="0" applyFont="1" applyFill="1" applyBorder="1"/>
    <xf numFmtId="0" fontId="11" fillId="6" borderId="84" xfId="0" applyFont="1" applyFill="1" applyBorder="1"/>
    <xf numFmtId="0" fontId="11" fillId="0" borderId="87" xfId="0" applyFont="1" applyBorder="1"/>
    <xf numFmtId="0" fontId="11" fillId="0" borderId="88" xfId="0" applyFont="1" applyBorder="1"/>
    <xf numFmtId="0" fontId="11" fillId="0" borderId="89" xfId="0" applyFont="1" applyBorder="1"/>
    <xf numFmtId="0" fontId="12" fillId="6" borderId="85" xfId="0" applyFont="1" applyFill="1" applyBorder="1" applyAlignment="1">
      <alignment horizontal="center"/>
    </xf>
    <xf numFmtId="0" fontId="12" fillId="6" borderId="16" xfId="0" applyFont="1" applyFill="1" applyBorder="1" applyAlignment="1">
      <alignment horizontal="center"/>
    </xf>
    <xf numFmtId="0" fontId="12" fillId="6" borderId="44" xfId="0" applyFont="1" applyFill="1" applyBorder="1" applyAlignment="1">
      <alignment horizontal="center"/>
    </xf>
    <xf numFmtId="0" fontId="19" fillId="17" borderId="24" xfId="0" applyFont="1" applyFill="1" applyBorder="1" applyAlignment="1">
      <alignment horizontal="center"/>
    </xf>
    <xf numFmtId="170" fontId="11" fillId="0" borderId="50" xfId="0" applyNumberFormat="1" applyFont="1" applyBorder="1"/>
    <xf numFmtId="170" fontId="11" fillId="0" borderId="0" xfId="0" applyNumberFormat="1" applyFont="1" applyBorder="1"/>
    <xf numFmtId="170" fontId="11" fillId="0" borderId="0" xfId="0" applyNumberFormat="1" applyFont="1" applyBorder="1" applyAlignment="1"/>
    <xf numFmtId="170" fontId="11" fillId="0" borderId="12" xfId="0" applyNumberFormat="1" applyFont="1" applyBorder="1" applyAlignment="1"/>
    <xf numFmtId="170" fontId="11" fillId="0" borderId="12" xfId="0" applyNumberFormat="1" applyFont="1" applyBorder="1"/>
    <xf numFmtId="170" fontId="11" fillId="0" borderId="24" xfId="0" applyNumberFormat="1" applyFont="1" applyBorder="1"/>
    <xf numFmtId="0" fontId="19" fillId="17" borderId="90" xfId="0" applyFont="1" applyFill="1" applyBorder="1" applyAlignment="1">
      <alignment horizontal="center"/>
    </xf>
    <xf numFmtId="0" fontId="19" fillId="17" borderId="52" xfId="0" applyFont="1" applyFill="1" applyBorder="1" applyAlignment="1">
      <alignment horizontal="center"/>
    </xf>
    <xf numFmtId="0" fontId="0" fillId="0" borderId="80" xfId="0" applyBorder="1"/>
    <xf numFmtId="170" fontId="0" fillId="0" borderId="80" xfId="0" applyNumberFormat="1" applyBorder="1"/>
    <xf numFmtId="170" fontId="0" fillId="0" borderId="29" xfId="0" applyNumberFormat="1" applyBorder="1"/>
    <xf numFmtId="0" fontId="24" fillId="6" borderId="60" xfId="0" applyFont="1" applyFill="1" applyBorder="1"/>
    <xf numFmtId="0" fontId="11" fillId="16" borderId="36" xfId="0" applyFont="1" applyFill="1" applyBorder="1"/>
    <xf numFmtId="0" fontId="11" fillId="16" borderId="37" xfId="0" applyFont="1" applyFill="1" applyBorder="1"/>
    <xf numFmtId="173" fontId="11" fillId="16" borderId="38" xfId="0" applyNumberFormat="1" applyFont="1" applyFill="1" applyBorder="1" applyAlignment="1">
      <alignment horizontal="center"/>
    </xf>
    <xf numFmtId="3" fontId="11" fillId="0" borderId="51" xfId="0" applyNumberFormat="1" applyFont="1" applyBorder="1" applyAlignment="1">
      <alignment horizontal="left"/>
    </xf>
    <xf numFmtId="9" fontId="11" fillId="16" borderId="53" xfId="0" applyNumberFormat="1" applyFont="1" applyFill="1" applyBorder="1" applyAlignment="1">
      <alignment horizontal="center"/>
    </xf>
    <xf numFmtId="0" fontId="11" fillId="0" borderId="54" xfId="0" applyFont="1" applyBorder="1" applyAlignment="1">
      <alignment horizontal="left"/>
    </xf>
    <xf numFmtId="0" fontId="11" fillId="16" borderId="56" xfId="0" applyFont="1" applyFill="1" applyBorder="1" applyAlignment="1">
      <alignment horizontal="center"/>
    </xf>
    <xf numFmtId="3" fontId="2" fillId="6" borderId="82" xfId="0" applyNumberFormat="1" applyFont="1" applyFill="1" applyBorder="1" applyAlignment="1">
      <alignment horizontal="left"/>
    </xf>
    <xf numFmtId="0" fontId="11" fillId="16" borderId="4" xfId="0" applyFont="1" applyFill="1" applyBorder="1"/>
    <xf numFmtId="0" fontId="2" fillId="19" borderId="82" xfId="0" applyFont="1" applyFill="1" applyBorder="1" applyAlignment="1"/>
    <xf numFmtId="0" fontId="11" fillId="0" borderId="39" xfId="0" applyFont="1" applyBorder="1" applyAlignment="1">
      <alignment horizontal="center"/>
    </xf>
    <xf numFmtId="0" fontId="11" fillId="0" borderId="24" xfId="0" applyFont="1" applyBorder="1"/>
    <xf numFmtId="0" fontId="11" fillId="0" borderId="11" xfId="0" applyFont="1" applyBorder="1" applyAlignment="1">
      <alignment horizontal="center"/>
    </xf>
    <xf numFmtId="0" fontId="11" fillId="0" borderId="0" xfId="0" applyFont="1" applyBorder="1" applyAlignment="1">
      <alignment horizontal="left"/>
    </xf>
    <xf numFmtId="0" fontId="11" fillId="0" borderId="12" xfId="0" applyFont="1" applyBorder="1"/>
    <xf numFmtId="0" fontId="20" fillId="0" borderId="0" xfId="0" applyFont="1" applyBorder="1" applyAlignment="1">
      <alignment horizontal="left"/>
    </xf>
    <xf numFmtId="3" fontId="11" fillId="0" borderId="0" xfId="0" applyNumberFormat="1" applyFont="1" applyBorder="1" applyAlignment="1">
      <alignment horizontal="left"/>
    </xf>
    <xf numFmtId="0" fontId="21" fillId="0" borderId="0" xfId="0" applyFont="1" applyBorder="1" applyAlignment="1">
      <alignment horizontal="left"/>
    </xf>
    <xf numFmtId="173" fontId="11" fillId="0" borderId="0" xfId="0" applyNumberFormat="1" applyFont="1" applyBorder="1"/>
    <xf numFmtId="0" fontId="11" fillId="0" borderId="0" xfId="0" applyFont="1" applyBorder="1" applyAlignment="1">
      <alignment horizontal="right"/>
    </xf>
    <xf numFmtId="0" fontId="11" fillId="0" borderId="26" xfId="0" applyFont="1" applyBorder="1" applyAlignment="1">
      <alignment horizontal="center"/>
    </xf>
    <xf numFmtId="0" fontId="11" fillId="0" borderId="29" xfId="0" applyFont="1" applyBorder="1"/>
    <xf numFmtId="168" fontId="11" fillId="0" borderId="0" xfId="3" applyNumberFormat="1" applyFont="1" applyBorder="1"/>
    <xf numFmtId="0" fontId="18" fillId="9" borderId="62" xfId="0" applyFont="1" applyFill="1" applyBorder="1" applyAlignment="1">
      <alignment horizontal="center" vertical="center"/>
    </xf>
    <xf numFmtId="0" fontId="18" fillId="9" borderId="63" xfId="0" applyFont="1" applyFill="1" applyBorder="1" applyAlignment="1">
      <alignment horizontal="center" vertical="center"/>
    </xf>
    <xf numFmtId="0" fontId="18" fillId="9" borderId="64" xfId="0" applyFont="1" applyFill="1" applyBorder="1" applyAlignment="1">
      <alignment horizontal="center" vertical="center"/>
    </xf>
    <xf numFmtId="0" fontId="19" fillId="22" borderId="39" xfId="0" applyFont="1" applyFill="1" applyBorder="1"/>
    <xf numFmtId="168" fontId="18" fillId="9" borderId="91" xfId="3" applyNumberFormat="1" applyFont="1" applyFill="1" applyBorder="1" applyAlignment="1">
      <alignment horizontal="center" vertical="center"/>
    </xf>
    <xf numFmtId="168" fontId="18" fillId="9" borderId="92" xfId="3" applyNumberFormat="1" applyFont="1" applyFill="1" applyBorder="1" applyAlignment="1">
      <alignment horizontal="center" vertical="center"/>
    </xf>
    <xf numFmtId="168" fontId="18" fillId="9" borderId="93" xfId="3" applyNumberFormat="1" applyFont="1" applyFill="1" applyBorder="1" applyAlignment="1">
      <alignment horizontal="center" vertical="center"/>
    </xf>
    <xf numFmtId="168" fontId="4" fillId="23" borderId="41" xfId="3" applyNumberFormat="1" applyFont="1" applyFill="1" applyBorder="1"/>
    <xf numFmtId="168" fontId="18" fillId="22" borderId="24" xfId="3" applyNumberFormat="1" applyFont="1" applyFill="1" applyBorder="1"/>
    <xf numFmtId="168" fontId="19" fillId="0" borderId="0" xfId="3" applyNumberFormat="1" applyFont="1" applyFill="1" applyBorder="1"/>
    <xf numFmtId="170" fontId="11" fillId="0" borderId="16" xfId="3" applyNumberFormat="1" applyFont="1" applyBorder="1"/>
    <xf numFmtId="170" fontId="11" fillId="0" borderId="44" xfId="3" applyNumberFormat="1" applyFont="1" applyBorder="1"/>
    <xf numFmtId="0" fontId="11" fillId="0" borderId="60" xfId="0" applyFont="1" applyBorder="1" applyAlignment="1">
      <alignment horizontal="center"/>
    </xf>
    <xf numFmtId="0" fontId="11" fillId="0" borderId="41" xfId="0" applyFont="1" applyBorder="1" applyAlignment="1">
      <alignment horizontal="center"/>
    </xf>
    <xf numFmtId="0" fontId="11" fillId="20" borderId="86" xfId="0" applyFont="1" applyFill="1" applyBorder="1"/>
    <xf numFmtId="0" fontId="11" fillId="20" borderId="100" xfId="0" applyFont="1" applyFill="1" applyBorder="1"/>
    <xf numFmtId="0" fontId="11" fillId="20" borderId="96" xfId="0" applyFont="1" applyFill="1" applyBorder="1"/>
    <xf numFmtId="0" fontId="11" fillId="0" borderId="94" xfId="0" applyFont="1" applyBorder="1" applyAlignment="1">
      <alignment horizontal="center"/>
    </xf>
    <xf numFmtId="0" fontId="11" fillId="20" borderId="95" xfId="0" applyFont="1" applyFill="1" applyBorder="1"/>
    <xf numFmtId="0" fontId="11" fillId="20" borderId="113" xfId="0" applyFont="1" applyFill="1" applyBorder="1"/>
    <xf numFmtId="0" fontId="11" fillId="20" borderId="101" xfId="0" applyFont="1" applyFill="1" applyBorder="1"/>
    <xf numFmtId="0" fontId="11" fillId="0" borderId="113" xfId="0" applyFont="1" applyBorder="1"/>
    <xf numFmtId="0" fontId="19" fillId="22" borderId="36" xfId="0" applyFont="1" applyFill="1" applyBorder="1"/>
    <xf numFmtId="0" fontId="19" fillId="22" borderId="38" xfId="0" applyFont="1" applyFill="1" applyBorder="1"/>
    <xf numFmtId="170" fontId="11" fillId="16" borderId="37" xfId="0" applyNumberFormat="1" applyFont="1" applyFill="1" applyBorder="1" applyAlignment="1"/>
    <xf numFmtId="170" fontId="11" fillId="16" borderId="38" xfId="0" applyNumberFormat="1" applyFont="1" applyFill="1" applyBorder="1" applyAlignment="1"/>
    <xf numFmtId="170" fontId="11" fillId="0" borderId="101" xfId="0" applyNumberFormat="1" applyFont="1" applyBorder="1"/>
    <xf numFmtId="0" fontId="4" fillId="24" borderId="49" xfId="0" applyFont="1" applyFill="1" applyBorder="1"/>
    <xf numFmtId="0" fontId="4" fillId="24" borderId="97" xfId="0" applyFont="1" applyFill="1" applyBorder="1"/>
    <xf numFmtId="0" fontId="4" fillId="24" borderId="41" xfId="0" applyFont="1" applyFill="1" applyBorder="1"/>
    <xf numFmtId="0" fontId="4" fillId="24" borderId="96" xfId="0" applyFont="1" applyFill="1" applyBorder="1"/>
    <xf numFmtId="0" fontId="4" fillId="24" borderId="101" xfId="0" applyFont="1" applyFill="1" applyBorder="1"/>
    <xf numFmtId="0" fontId="25" fillId="17" borderId="36" xfId="0" applyFont="1" applyFill="1" applyBorder="1"/>
    <xf numFmtId="0" fontId="25" fillId="17" borderId="37" xfId="0" applyFont="1" applyFill="1" applyBorder="1"/>
    <xf numFmtId="0" fontId="25" fillId="17" borderId="38" xfId="0" applyFont="1" applyFill="1" applyBorder="1"/>
    <xf numFmtId="0" fontId="18" fillId="22" borderId="37" xfId="0" applyFont="1" applyFill="1" applyBorder="1"/>
    <xf numFmtId="170" fontId="11" fillId="0" borderId="45" xfId="0" applyNumberFormat="1" applyFont="1" applyBorder="1"/>
    <xf numFmtId="170" fontId="11" fillId="0" borderId="85" xfId="0" applyNumberFormat="1" applyFont="1" applyBorder="1"/>
    <xf numFmtId="170" fontId="11" fillId="0" borderId="16" xfId="0" applyNumberFormat="1" applyFont="1" applyBorder="1"/>
    <xf numFmtId="170" fontId="11" fillId="0" borderId="44" xfId="0" applyNumberFormat="1" applyFont="1" applyBorder="1"/>
    <xf numFmtId="170" fontId="4" fillId="24" borderId="54" xfId="0" applyNumberFormat="1" applyFont="1" applyFill="1" applyBorder="1"/>
    <xf numFmtId="170" fontId="4" fillId="24" borderId="55" xfId="0" applyNumberFormat="1" applyFont="1" applyFill="1" applyBorder="1"/>
    <xf numFmtId="170" fontId="4" fillId="24" borderId="56" xfId="0" applyNumberFormat="1" applyFont="1" applyFill="1" applyBorder="1"/>
    <xf numFmtId="170" fontId="4" fillId="24" borderId="45" xfId="0" applyNumberFormat="1" applyFont="1" applyFill="1" applyBorder="1"/>
    <xf numFmtId="170" fontId="4" fillId="24" borderId="85" xfId="0" applyNumberFormat="1" applyFont="1" applyFill="1" applyBorder="1"/>
    <xf numFmtId="170" fontId="4" fillId="24" borderId="101" xfId="0" applyNumberFormat="1" applyFont="1" applyFill="1" applyBorder="1"/>
    <xf numFmtId="170" fontId="4" fillId="24" borderId="16" xfId="0" applyNumberFormat="1" applyFont="1" applyFill="1" applyBorder="1"/>
    <xf numFmtId="170" fontId="4" fillId="24" borderId="44" xfId="0" applyNumberFormat="1" applyFont="1" applyFill="1" applyBorder="1"/>
    <xf numFmtId="170" fontId="11" fillId="0" borderId="51" xfId="3" applyNumberFormat="1" applyFont="1" applyBorder="1" applyAlignment="1"/>
    <xf numFmtId="170" fontId="11" fillId="0" borderId="52" xfId="3" applyNumberFormat="1" applyFont="1" applyBorder="1"/>
    <xf numFmtId="170" fontId="11" fillId="0" borderId="53" xfId="3" applyNumberFormat="1" applyFont="1" applyBorder="1"/>
    <xf numFmtId="170" fontId="11" fillId="0" borderId="45" xfId="0" applyNumberFormat="1" applyFont="1" applyBorder="1" applyAlignment="1"/>
    <xf numFmtId="170" fontId="11" fillId="0" borderId="44" xfId="3" applyNumberFormat="1" applyFont="1" applyBorder="1" applyAlignment="1"/>
    <xf numFmtId="170" fontId="11" fillId="0" borderId="54" xfId="0" applyNumberFormat="1" applyFont="1" applyBorder="1"/>
    <xf numFmtId="170" fontId="11" fillId="0" borderId="55" xfId="0" applyNumberFormat="1" applyFont="1" applyBorder="1"/>
    <xf numFmtId="170" fontId="11" fillId="0" borderId="56" xfId="0" applyNumberFormat="1" applyFont="1" applyBorder="1" applyAlignment="1"/>
    <xf numFmtId="170" fontId="25" fillId="17" borderId="3" xfId="0" applyNumberFormat="1" applyFont="1" applyFill="1" applyBorder="1"/>
    <xf numFmtId="170" fontId="25" fillId="17" borderId="4" xfId="3" applyNumberFormat="1" applyFont="1" applyFill="1" applyBorder="1" applyAlignment="1"/>
    <xf numFmtId="170" fontId="2" fillId="23" borderId="16" xfId="3" applyNumberFormat="1" applyFont="1" applyFill="1" applyBorder="1"/>
    <xf numFmtId="170" fontId="2" fillId="23" borderId="44" xfId="3" applyNumberFormat="1" applyFont="1" applyFill="1" applyBorder="1"/>
    <xf numFmtId="170" fontId="25" fillId="17" borderId="55" xfId="3" applyNumberFormat="1" applyFont="1" applyFill="1" applyBorder="1"/>
    <xf numFmtId="170" fontId="25" fillId="17" borderId="56" xfId="3" applyNumberFormat="1" applyFont="1" applyFill="1" applyBorder="1"/>
    <xf numFmtId="170" fontId="11" fillId="0" borderId="120" xfId="3" applyNumberFormat="1" applyFont="1" applyBorder="1"/>
    <xf numFmtId="170" fontId="11" fillId="0" borderId="121" xfId="3" applyNumberFormat="1" applyFont="1" applyBorder="1"/>
    <xf numFmtId="170" fontId="11" fillId="0" borderId="122" xfId="3" applyNumberFormat="1" applyFont="1" applyBorder="1"/>
    <xf numFmtId="170" fontId="25" fillId="17" borderId="2" xfId="0" applyNumberFormat="1" applyFont="1" applyFill="1" applyBorder="1"/>
    <xf numFmtId="0" fontId="18" fillId="22" borderId="39" xfId="0" applyFont="1" applyFill="1" applyBorder="1"/>
    <xf numFmtId="0" fontId="18" fillId="22" borderId="24" xfId="0" applyFont="1" applyFill="1" applyBorder="1"/>
    <xf numFmtId="0" fontId="11" fillId="25" borderId="83" xfId="0" applyFont="1" applyFill="1" applyBorder="1" applyAlignment="1">
      <alignment horizontal="center"/>
    </xf>
    <xf numFmtId="0" fontId="11" fillId="27" borderId="36" xfId="0" applyFont="1" applyFill="1" applyBorder="1"/>
    <xf numFmtId="0" fontId="10" fillId="9" borderId="99" xfId="0" applyFont="1" applyFill="1" applyBorder="1" applyAlignment="1">
      <alignment horizontal="center" vertical="center"/>
    </xf>
    <xf numFmtId="0" fontId="10" fillId="9" borderId="92" xfId="0" applyFont="1" applyFill="1" applyBorder="1" applyAlignment="1">
      <alignment horizontal="center" vertical="center"/>
    </xf>
    <xf numFmtId="0" fontId="10" fillId="9" borderId="93" xfId="0" applyFont="1" applyFill="1" applyBorder="1" applyAlignment="1">
      <alignment horizontal="center" vertical="center"/>
    </xf>
    <xf numFmtId="0" fontId="19" fillId="0" borderId="50" xfId="0" applyFont="1" applyFill="1" applyBorder="1"/>
    <xf numFmtId="0" fontId="19" fillId="0" borderId="0" xfId="0" applyFont="1" applyFill="1" applyBorder="1"/>
    <xf numFmtId="170" fontId="11" fillId="25" borderId="40" xfId="0" applyNumberFormat="1" applyFont="1" applyFill="1" applyBorder="1"/>
    <xf numFmtId="170" fontId="11" fillId="0" borderId="90" xfId="0" applyNumberFormat="1" applyFont="1" applyBorder="1"/>
    <xf numFmtId="170" fontId="11" fillId="25" borderId="43" xfId="0" applyNumberFormat="1" applyFont="1" applyFill="1" applyBorder="1"/>
    <xf numFmtId="170" fontId="27" fillId="26" borderId="82" xfId="0" applyNumberFormat="1" applyFont="1" applyFill="1" applyBorder="1"/>
    <xf numFmtId="170" fontId="11" fillId="27" borderId="112" xfId="0" applyNumberFormat="1" applyFont="1" applyFill="1" applyBorder="1"/>
    <xf numFmtId="170" fontId="11" fillId="27" borderId="3" xfId="0" applyNumberFormat="1" applyFont="1" applyFill="1" applyBorder="1"/>
    <xf numFmtId="170" fontId="11" fillId="27" borderId="4" xfId="0" applyNumberFormat="1" applyFont="1" applyFill="1" applyBorder="1"/>
    <xf numFmtId="170" fontId="11" fillId="0" borderId="52" xfId="0" applyNumberFormat="1" applyFont="1" applyBorder="1"/>
    <xf numFmtId="170" fontId="11" fillId="0" borderId="53" xfId="0" applyNumberFormat="1" applyFont="1" applyBorder="1"/>
    <xf numFmtId="170" fontId="26" fillId="25" borderId="42" xfId="0" applyNumberFormat="1" applyFont="1" applyFill="1" applyBorder="1" applyAlignment="1">
      <alignment horizontal="right"/>
    </xf>
    <xf numFmtId="170" fontId="26" fillId="0" borderId="85" xfId="0" applyNumberFormat="1" applyFont="1" applyBorder="1"/>
    <xf numFmtId="170" fontId="26" fillId="25" borderId="46" xfId="0" applyNumberFormat="1" applyFont="1" applyFill="1" applyBorder="1" applyAlignment="1">
      <alignment horizontal="left"/>
    </xf>
    <xf numFmtId="170" fontId="11" fillId="25" borderId="82" xfId="0" applyNumberFormat="1" applyFont="1" applyFill="1" applyBorder="1"/>
    <xf numFmtId="170" fontId="11" fillId="0" borderId="112" xfId="0" applyNumberFormat="1" applyFont="1" applyBorder="1"/>
    <xf numFmtId="170" fontId="11" fillId="0" borderId="3" xfId="0" applyNumberFormat="1" applyFont="1" applyBorder="1"/>
    <xf numFmtId="170" fontId="11" fillId="0" borderId="4" xfId="0" applyNumberFormat="1" applyFont="1" applyBorder="1"/>
    <xf numFmtId="170" fontId="11" fillId="25" borderId="126" xfId="0" applyNumberFormat="1" applyFont="1" applyFill="1" applyBorder="1"/>
    <xf numFmtId="170" fontId="11" fillId="0" borderId="127" xfId="0" applyNumberFormat="1" applyFont="1" applyBorder="1"/>
    <xf numFmtId="170" fontId="11" fillId="0" borderId="128" xfId="0" applyNumberFormat="1" applyFont="1" applyBorder="1"/>
    <xf numFmtId="170" fontId="11" fillId="0" borderId="129" xfId="0" applyNumberFormat="1" applyFont="1" applyBorder="1"/>
    <xf numFmtId="10" fontId="12" fillId="28" borderId="116" xfId="3" applyNumberFormat="1" applyFont="1" applyFill="1" applyBorder="1"/>
    <xf numFmtId="10" fontId="12" fillId="28" borderId="114" xfId="3" applyNumberFormat="1" applyFont="1" applyFill="1" applyBorder="1"/>
    <xf numFmtId="10" fontId="12" fillId="29" borderId="114" xfId="3" applyNumberFormat="1" applyFont="1" applyFill="1" applyBorder="1"/>
    <xf numFmtId="173" fontId="11" fillId="0" borderId="16" xfId="0" applyNumberFormat="1" applyFont="1" applyBorder="1" applyAlignment="1">
      <alignment horizontal="center"/>
    </xf>
    <xf numFmtId="173" fontId="11" fillId="0" borderId="44" xfId="0" applyNumberFormat="1" applyFont="1" applyBorder="1" applyAlignment="1">
      <alignment horizontal="center"/>
    </xf>
    <xf numFmtId="0" fontId="2" fillId="24" borderId="112" xfId="0" applyFont="1" applyFill="1" applyBorder="1"/>
    <xf numFmtId="173" fontId="2" fillId="24" borderId="3" xfId="0" applyNumberFormat="1" applyFont="1" applyFill="1" applyBorder="1" applyAlignment="1">
      <alignment horizontal="center"/>
    </xf>
    <xf numFmtId="173" fontId="2" fillId="24" borderId="4" xfId="0" applyNumberFormat="1" applyFont="1" applyFill="1" applyBorder="1" applyAlignment="1">
      <alignment horizontal="center"/>
    </xf>
    <xf numFmtId="0" fontId="2" fillId="24" borderId="37" xfId="0" applyFont="1" applyFill="1" applyBorder="1"/>
    <xf numFmtId="168" fontId="18" fillId="9" borderId="99" xfId="3" applyNumberFormat="1" applyFont="1" applyFill="1" applyBorder="1" applyAlignment="1">
      <alignment horizontal="center" vertical="center"/>
    </xf>
    <xf numFmtId="0" fontId="11" fillId="12" borderId="11" xfId="0" applyFont="1" applyFill="1" applyBorder="1" applyAlignment="1">
      <alignment horizontal="center"/>
    </xf>
    <xf numFmtId="0" fontId="11" fillId="12" borderId="123" xfId="0" applyFont="1" applyFill="1" applyBorder="1"/>
    <xf numFmtId="170" fontId="11" fillId="12" borderId="123" xfId="0" applyNumberFormat="1" applyFont="1" applyFill="1" applyBorder="1"/>
    <xf numFmtId="170" fontId="11" fillId="12" borderId="124" xfId="0" applyNumberFormat="1" applyFont="1" applyFill="1" applyBorder="1"/>
    <xf numFmtId="170" fontId="11" fillId="12" borderId="125" xfId="0" applyNumberFormat="1" applyFont="1" applyFill="1" applyBorder="1"/>
    <xf numFmtId="0" fontId="11" fillId="12" borderId="39" xfId="0" applyFont="1" applyFill="1" applyBorder="1" applyAlignment="1">
      <alignment horizontal="center"/>
    </xf>
    <xf numFmtId="0" fontId="11" fillId="21" borderId="50" xfId="0" applyFont="1" applyFill="1" applyBorder="1"/>
    <xf numFmtId="170" fontId="11" fillId="12" borderId="51" xfId="0" applyNumberFormat="1" applyFont="1" applyFill="1" applyBorder="1"/>
    <xf numFmtId="170" fontId="11" fillId="12" borderId="52" xfId="0" applyNumberFormat="1" applyFont="1" applyFill="1" applyBorder="1"/>
    <xf numFmtId="170" fontId="11" fillId="12" borderId="53" xfId="0" applyNumberFormat="1" applyFont="1" applyFill="1" applyBorder="1"/>
    <xf numFmtId="0" fontId="11" fillId="12" borderId="60" xfId="0" applyFont="1" applyFill="1" applyBorder="1" applyAlignment="1">
      <alignment horizontal="center"/>
    </xf>
    <xf numFmtId="0" fontId="11" fillId="12" borderId="86" xfId="0" applyFont="1" applyFill="1" applyBorder="1"/>
    <xf numFmtId="170" fontId="11" fillId="12" borderId="45" xfId="0" applyNumberFormat="1" applyFont="1" applyFill="1" applyBorder="1"/>
    <xf numFmtId="170" fontId="11" fillId="12" borderId="16" xfId="0" applyNumberFormat="1" applyFont="1" applyFill="1" applyBorder="1"/>
    <xf numFmtId="170" fontId="11" fillId="12" borderId="44" xfId="0" applyNumberFormat="1" applyFont="1" applyFill="1" applyBorder="1"/>
    <xf numFmtId="0" fontId="11" fillId="12" borderId="0" xfId="0" applyFont="1" applyFill="1" applyBorder="1"/>
    <xf numFmtId="0" fontId="11" fillId="12" borderId="12" xfId="0" applyFont="1" applyFill="1" applyBorder="1"/>
    <xf numFmtId="168" fontId="11" fillId="12" borderId="41" xfId="3" applyNumberFormat="1" applyFont="1" applyFill="1" applyBorder="1" applyAlignment="1">
      <alignment horizontal="center"/>
    </xf>
    <xf numFmtId="168" fontId="11" fillId="12" borderId="96" xfId="3" applyNumberFormat="1" applyFont="1" applyFill="1" applyBorder="1"/>
    <xf numFmtId="168" fontId="11" fillId="12" borderId="85" xfId="3" applyNumberFormat="1" applyFont="1" applyFill="1" applyBorder="1"/>
    <xf numFmtId="170" fontId="11" fillId="12" borderId="16" xfId="3" applyNumberFormat="1" applyFont="1" applyFill="1" applyBorder="1"/>
    <xf numFmtId="170" fontId="11" fillId="12" borderId="44" xfId="3" applyNumberFormat="1" applyFont="1" applyFill="1" applyBorder="1"/>
    <xf numFmtId="0" fontId="11" fillId="27" borderId="37" xfId="0" applyFont="1" applyFill="1" applyBorder="1"/>
    <xf numFmtId="168" fontId="11" fillId="20" borderId="90" xfId="3" applyNumberFormat="1" applyFont="1" applyFill="1" applyBorder="1"/>
    <xf numFmtId="0" fontId="11" fillId="20" borderId="50" xfId="0" applyFont="1" applyFill="1" applyBorder="1"/>
    <xf numFmtId="0" fontId="11" fillId="20" borderId="85" xfId="0" applyFont="1" applyFill="1" applyBorder="1"/>
    <xf numFmtId="0" fontId="11" fillId="12" borderId="124" xfId="0" applyFont="1" applyFill="1" applyBorder="1"/>
    <xf numFmtId="0" fontId="11" fillId="12" borderId="125" xfId="0" applyFont="1" applyFill="1" applyBorder="1"/>
    <xf numFmtId="0" fontId="10" fillId="9" borderId="74" xfId="0" applyFont="1" applyFill="1" applyBorder="1" applyAlignment="1">
      <alignment horizontal="center" vertical="center"/>
    </xf>
    <xf numFmtId="0" fontId="11" fillId="20" borderId="109" xfId="0" applyFont="1" applyFill="1" applyBorder="1"/>
    <xf numFmtId="173" fontId="11" fillId="0" borderId="110" xfId="0" applyNumberFormat="1" applyFont="1" applyBorder="1" applyAlignment="1">
      <alignment horizontal="center"/>
    </xf>
    <xf numFmtId="2" fontId="2" fillId="24" borderId="3" xfId="0" applyNumberFormat="1" applyFont="1" applyFill="1" applyBorder="1" applyAlignment="1">
      <alignment horizontal="center"/>
    </xf>
    <xf numFmtId="2" fontId="2" fillId="24" borderId="4" xfId="0" applyNumberFormat="1" applyFont="1" applyFill="1" applyBorder="1" applyAlignment="1">
      <alignment horizontal="center"/>
    </xf>
    <xf numFmtId="0" fontId="11" fillId="20" borderId="37" xfId="0" applyFont="1" applyFill="1" applyBorder="1"/>
    <xf numFmtId="0" fontId="10" fillId="9" borderId="24" xfId="0" applyFont="1" applyFill="1" applyBorder="1" applyAlignment="1">
      <alignment horizontal="center" vertical="center"/>
    </xf>
    <xf numFmtId="0" fontId="10" fillId="9" borderId="52" xfId="0" applyFont="1" applyFill="1" applyBorder="1" applyAlignment="1">
      <alignment horizontal="center" vertical="center"/>
    </xf>
    <xf numFmtId="0" fontId="11" fillId="20" borderId="94" xfId="0" applyFont="1" applyFill="1" applyBorder="1" applyAlignment="1">
      <alignment horizontal="center"/>
    </xf>
    <xf numFmtId="0" fontId="11" fillId="20" borderId="26" xfId="0" applyFont="1" applyFill="1" applyBorder="1" applyAlignment="1">
      <alignment horizontal="center"/>
    </xf>
    <xf numFmtId="0" fontId="11" fillId="20" borderId="0" xfId="0" applyFont="1" applyFill="1" applyBorder="1"/>
    <xf numFmtId="173" fontId="11" fillId="0" borderId="111" xfId="0" applyNumberFormat="1" applyFont="1" applyBorder="1" applyAlignment="1">
      <alignment horizontal="center"/>
    </xf>
    <xf numFmtId="0" fontId="0" fillId="7" borderId="36" xfId="0" applyFont="1" applyFill="1" applyBorder="1"/>
    <xf numFmtId="0" fontId="18" fillId="22" borderId="38" xfId="0" applyFont="1" applyFill="1" applyBorder="1"/>
    <xf numFmtId="0" fontId="28" fillId="0" borderId="0" xfId="0" applyFont="1" applyBorder="1"/>
    <xf numFmtId="0" fontId="0" fillId="0" borderId="0" xfId="0" applyFont="1"/>
    <xf numFmtId="0" fontId="0" fillId="6" borderId="36" xfId="0" applyFont="1" applyFill="1" applyBorder="1"/>
    <xf numFmtId="0" fontId="0" fillId="12" borderId="11" xfId="0" applyFont="1" applyFill="1" applyBorder="1"/>
    <xf numFmtId="170" fontId="11" fillId="12" borderId="54" xfId="0" applyNumberFormat="1" applyFont="1" applyFill="1" applyBorder="1"/>
    <xf numFmtId="170" fontId="11" fillId="12" borderId="55" xfId="0" applyNumberFormat="1" applyFont="1" applyFill="1" applyBorder="1"/>
    <xf numFmtId="170" fontId="11" fillId="12" borderId="56" xfId="0" applyNumberFormat="1" applyFont="1" applyFill="1" applyBorder="1"/>
    <xf numFmtId="0" fontId="11" fillId="20" borderId="41" xfId="0" applyFont="1" applyFill="1" applyBorder="1" applyAlignment="1">
      <alignment horizontal="center"/>
    </xf>
    <xf numFmtId="168" fontId="11" fillId="20" borderId="39" xfId="3" applyNumberFormat="1" applyFont="1" applyFill="1" applyBorder="1" applyAlignment="1">
      <alignment horizontal="center"/>
    </xf>
    <xf numFmtId="168" fontId="11" fillId="20" borderId="50" xfId="3" applyNumberFormat="1" applyFont="1" applyFill="1" applyBorder="1"/>
    <xf numFmtId="168" fontId="11" fillId="20" borderId="106" xfId="3" applyNumberFormat="1" applyFont="1" applyFill="1" applyBorder="1" applyAlignment="1">
      <alignment horizontal="center"/>
    </xf>
    <xf numFmtId="168" fontId="11" fillId="20" borderId="41" xfId="3" applyNumberFormat="1" applyFont="1" applyFill="1" applyBorder="1" applyAlignment="1">
      <alignment horizontal="center"/>
    </xf>
    <xf numFmtId="0" fontId="26" fillId="20" borderId="80" xfId="0" applyFont="1" applyFill="1" applyBorder="1" applyAlignment="1">
      <alignment horizontal="left"/>
    </xf>
    <xf numFmtId="0" fontId="11" fillId="20" borderId="36" xfId="0" applyFont="1" applyFill="1" applyBorder="1" applyAlignment="1">
      <alignment horizontal="center"/>
    </xf>
    <xf numFmtId="0" fontId="21" fillId="20" borderId="37" xfId="0" applyFont="1" applyFill="1" applyBorder="1"/>
    <xf numFmtId="0" fontId="26" fillId="20" borderId="101" xfId="0" applyFont="1" applyFill="1" applyBorder="1" applyAlignment="1">
      <alignment horizontal="left"/>
    </xf>
    <xf numFmtId="0" fontId="0" fillId="20" borderId="39" xfId="0" applyFont="1" applyFill="1" applyBorder="1"/>
    <xf numFmtId="0" fontId="0" fillId="20" borderId="106" xfId="0" applyFont="1" applyFill="1" applyBorder="1"/>
    <xf numFmtId="0" fontId="0" fillId="20" borderId="49" xfId="0" applyFont="1" applyFill="1" applyBorder="1"/>
    <xf numFmtId="0" fontId="11" fillId="20" borderId="107" xfId="0" applyFont="1" applyFill="1" applyBorder="1"/>
    <xf numFmtId="0" fontId="11" fillId="20" borderId="103" xfId="0" applyFont="1" applyFill="1" applyBorder="1" applyAlignment="1">
      <alignment horizontal="center"/>
    </xf>
    <xf numFmtId="0" fontId="11" fillId="20" borderId="104" xfId="0" applyFont="1" applyFill="1" applyBorder="1"/>
    <xf numFmtId="0" fontId="11" fillId="20" borderId="105" xfId="0" applyFont="1" applyFill="1" applyBorder="1"/>
    <xf numFmtId="0" fontId="11" fillId="20" borderId="49" xfId="0" applyFont="1" applyFill="1" applyBorder="1" applyAlignment="1">
      <alignment horizontal="center"/>
    </xf>
    <xf numFmtId="0" fontId="11" fillId="20" borderId="97" xfId="0" applyFont="1" applyFill="1" applyBorder="1"/>
    <xf numFmtId="0" fontId="11" fillId="20" borderId="102" xfId="0" applyFont="1" applyFill="1" applyBorder="1"/>
    <xf numFmtId="0" fontId="11" fillId="20" borderId="117" xfId="0" applyFont="1" applyFill="1" applyBorder="1"/>
    <xf numFmtId="0" fontId="11" fillId="20" borderId="115" xfId="0" applyFont="1" applyFill="1" applyBorder="1"/>
    <xf numFmtId="0" fontId="10" fillId="9" borderId="91" xfId="0" applyFont="1" applyFill="1" applyBorder="1" applyAlignment="1">
      <alignment horizontal="center" vertical="center"/>
    </xf>
    <xf numFmtId="170" fontId="11" fillId="27" borderId="2" xfId="0" applyNumberFormat="1" applyFont="1" applyFill="1" applyBorder="1"/>
    <xf numFmtId="170" fontId="11" fillId="12" borderId="88" xfId="0" applyNumberFormat="1" applyFont="1" applyFill="1" applyBorder="1"/>
    <xf numFmtId="170" fontId="26" fillId="0" borderId="101" xfId="0" applyNumberFormat="1" applyFont="1" applyBorder="1"/>
    <xf numFmtId="0" fontId="11" fillId="20" borderId="60" xfId="0" applyFont="1" applyFill="1" applyBorder="1" applyAlignment="1">
      <alignment horizontal="center"/>
    </xf>
    <xf numFmtId="10" fontId="12" fillId="30" borderId="30" xfId="3" applyNumberFormat="1" applyFont="1" applyFill="1" applyBorder="1"/>
    <xf numFmtId="10" fontId="12" fillId="18" borderId="132" xfId="3" applyNumberFormat="1" applyFont="1" applyFill="1" applyBorder="1"/>
    <xf numFmtId="0" fontId="0" fillId="0" borderId="17" xfId="0" applyFill="1" applyBorder="1"/>
    <xf numFmtId="0" fontId="0" fillId="0" borderId="35" xfId="0" applyFill="1" applyBorder="1"/>
    <xf numFmtId="0" fontId="0" fillId="0" borderId="9" xfId="0" applyFill="1" applyBorder="1"/>
    <xf numFmtId="0" fontId="0" fillId="0" borderId="133" xfId="0" applyFill="1" applyBorder="1"/>
    <xf numFmtId="0" fontId="0" fillId="0" borderId="6" xfId="0" applyFill="1" applyBorder="1"/>
    <xf numFmtId="0" fontId="0" fillId="0" borderId="14" xfId="0" applyFill="1" applyBorder="1"/>
    <xf numFmtId="0" fontId="2" fillId="6" borderId="3" xfId="0" applyFont="1" applyFill="1" applyBorder="1"/>
    <xf numFmtId="0" fontId="0" fillId="0" borderId="7" xfId="0" applyFill="1" applyBorder="1"/>
    <xf numFmtId="0" fontId="0" fillId="0" borderId="15" xfId="0" applyFill="1" applyBorder="1"/>
    <xf numFmtId="0" fontId="0" fillId="0" borderId="24" xfId="0" applyBorder="1"/>
    <xf numFmtId="0" fontId="0" fillId="0" borderId="134" xfId="0" applyBorder="1"/>
    <xf numFmtId="0" fontId="0" fillId="0" borderId="135" xfId="0" applyBorder="1"/>
    <xf numFmtId="0" fontId="0" fillId="0" borderId="15" xfId="0" applyBorder="1"/>
    <xf numFmtId="0" fontId="18" fillId="0" borderId="0" xfId="0" applyFont="1" applyFill="1" applyBorder="1" applyAlignment="1"/>
    <xf numFmtId="168" fontId="0" fillId="0" borderId="0" xfId="0" applyNumberFormat="1"/>
    <xf numFmtId="0" fontId="1" fillId="8" borderId="38" xfId="1" applyFont="1" applyFill="1" applyBorder="1"/>
    <xf numFmtId="0" fontId="1" fillId="8" borderId="2" xfId="0" applyFont="1" applyFill="1" applyBorder="1"/>
    <xf numFmtId="0" fontId="1" fillId="8" borderId="3" xfId="0" applyFont="1" applyFill="1" applyBorder="1"/>
    <xf numFmtId="0" fontId="1" fillId="8" borderId="4" xfId="0" applyFont="1" applyFill="1" applyBorder="1"/>
    <xf numFmtId="0" fontId="0" fillId="0" borderId="115" xfId="0" applyBorder="1"/>
    <xf numFmtId="0" fontId="0" fillId="0" borderId="82" xfId="0" applyBorder="1"/>
    <xf numFmtId="0" fontId="0" fillId="0" borderId="12" xfId="0" applyBorder="1" applyAlignment="1"/>
    <xf numFmtId="0" fontId="0" fillId="0" borderId="43" xfId="0" applyBorder="1" applyAlignment="1"/>
    <xf numFmtId="0" fontId="0" fillId="0" borderId="0" xfId="0" quotePrefix="1"/>
    <xf numFmtId="170" fontId="26" fillId="0" borderId="109" xfId="0" applyNumberFormat="1" applyFont="1" applyBorder="1"/>
    <xf numFmtId="170" fontId="26" fillId="0" borderId="108" xfId="0" applyNumberFormat="1" applyFont="1" applyBorder="1"/>
    <xf numFmtId="170" fontId="26" fillId="25" borderId="131" xfId="0" applyNumberFormat="1" applyFont="1" applyFill="1" applyBorder="1" applyAlignment="1">
      <alignment horizontal="left"/>
    </xf>
    <xf numFmtId="170" fontId="11" fillId="0" borderId="130" xfId="0" applyNumberFormat="1" applyFont="1" applyBorder="1"/>
    <xf numFmtId="0" fontId="11" fillId="20" borderId="98" xfId="0" applyFont="1" applyFill="1" applyBorder="1"/>
    <xf numFmtId="173" fontId="11" fillId="0" borderId="55" xfId="0" applyNumberFormat="1" applyFont="1" applyBorder="1" applyAlignment="1">
      <alignment horizontal="center"/>
    </xf>
    <xf numFmtId="173" fontId="11" fillId="0" borderId="56" xfId="0" applyNumberFormat="1" applyFont="1" applyBorder="1" applyAlignment="1">
      <alignment horizontal="center"/>
    </xf>
    <xf numFmtId="170" fontId="11" fillId="25" borderId="112" xfId="0" applyNumberFormat="1" applyFont="1" applyFill="1" applyBorder="1"/>
    <xf numFmtId="170" fontId="11" fillId="25" borderId="3" xfId="0" applyNumberFormat="1" applyFont="1" applyFill="1" applyBorder="1"/>
    <xf numFmtId="170" fontId="11" fillId="25" borderId="4" xfId="0" applyNumberFormat="1" applyFont="1" applyFill="1" applyBorder="1"/>
    <xf numFmtId="0" fontId="18" fillId="0" borderId="82" xfId="0" applyFont="1" applyFill="1" applyBorder="1" applyAlignment="1">
      <alignment horizontal="center" vertical="center" wrapText="1"/>
    </xf>
    <xf numFmtId="0" fontId="18" fillId="12" borderId="11" xfId="0" applyFont="1" applyFill="1" applyBorder="1" applyAlignment="1">
      <alignment horizontal="right" vertical="center" wrapText="1"/>
    </xf>
    <xf numFmtId="171" fontId="18" fillId="0" borderId="70" xfId="0" applyNumberFormat="1" applyFont="1" applyFill="1" applyBorder="1" applyAlignment="1">
      <alignment horizontal="center" vertical="center" wrapText="1"/>
    </xf>
    <xf numFmtId="171" fontId="18" fillId="0" borderId="136" xfId="0" applyNumberFormat="1" applyFont="1" applyFill="1" applyBorder="1" applyAlignment="1">
      <alignment horizontal="center" vertical="center" wrapText="1"/>
    </xf>
    <xf numFmtId="171" fontId="18" fillId="0" borderId="110" xfId="0" applyNumberFormat="1" applyFont="1" applyFill="1" applyBorder="1" applyAlignment="1">
      <alignment horizontal="center" vertical="center" wrapText="1"/>
    </xf>
    <xf numFmtId="171" fontId="18" fillId="0" borderId="111" xfId="0" applyNumberFormat="1" applyFont="1" applyFill="1" applyBorder="1" applyAlignment="1">
      <alignment horizontal="center" vertical="center" wrapText="1"/>
    </xf>
    <xf numFmtId="0" fontId="18" fillId="12" borderId="106" xfId="0" applyFont="1" applyFill="1" applyBorder="1" applyAlignment="1">
      <alignment horizontal="right" vertical="center" wrapText="1"/>
    </xf>
    <xf numFmtId="0" fontId="18" fillId="12" borderId="87" xfId="0" applyFont="1" applyFill="1" applyBorder="1" applyAlignment="1">
      <alignment horizontal="right" vertical="center" wrapText="1"/>
    </xf>
    <xf numFmtId="170" fontId="18" fillId="0" borderId="110" xfId="0" applyNumberFormat="1" applyFont="1" applyFill="1" applyBorder="1" applyAlignment="1">
      <alignment horizontal="center" vertical="center" wrapText="1"/>
    </xf>
    <xf numFmtId="0" fontId="17" fillId="11" borderId="36" xfId="0" applyFont="1" applyFill="1" applyBorder="1" applyAlignment="1">
      <alignment horizontal="center" vertical="center"/>
    </xf>
    <xf numFmtId="170" fontId="18" fillId="0" borderId="53" xfId="0" applyNumberFormat="1" applyFont="1" applyFill="1" applyBorder="1" applyAlignment="1">
      <alignment horizontal="center" vertical="center" wrapText="1"/>
    </xf>
    <xf numFmtId="170" fontId="18" fillId="0" borderId="44" xfId="0" applyNumberFormat="1" applyFont="1" applyFill="1" applyBorder="1" applyAlignment="1">
      <alignment horizontal="center" vertical="center" wrapText="1"/>
    </xf>
    <xf numFmtId="170" fontId="18" fillId="0" borderId="111" xfId="0" applyNumberFormat="1" applyFont="1" applyFill="1" applyBorder="1" applyAlignment="1">
      <alignment horizontal="center" vertical="center" wrapText="1"/>
    </xf>
    <xf numFmtId="0" fontId="16" fillId="0" borderId="26" xfId="0" applyFont="1" applyBorder="1" applyAlignment="1">
      <alignment vertical="center" wrapText="1"/>
    </xf>
    <xf numFmtId="171" fontId="15" fillId="0" borderId="80" xfId="0" applyNumberFormat="1" applyFont="1" applyBorder="1" applyAlignment="1">
      <alignment horizontal="center" vertical="center" wrapText="1"/>
    </xf>
    <xf numFmtId="171" fontId="15" fillId="0" borderId="29" xfId="0" applyNumberFormat="1" applyFont="1" applyBorder="1" applyAlignment="1">
      <alignment horizontal="center" vertical="center" wrapText="1"/>
    </xf>
    <xf numFmtId="170" fontId="18" fillId="0" borderId="136" xfId="0" applyNumberFormat="1" applyFont="1" applyFill="1" applyBorder="1" applyAlignment="1">
      <alignment horizontal="center" vertical="center" wrapText="1"/>
    </xf>
    <xf numFmtId="170" fontId="11" fillId="25" borderId="83" xfId="0" applyNumberFormat="1" applyFont="1" applyFill="1" applyBorder="1"/>
    <xf numFmtId="170" fontId="11" fillId="25" borderId="46" xfId="0" applyNumberFormat="1" applyFont="1" applyFill="1" applyBorder="1"/>
    <xf numFmtId="170" fontId="11" fillId="0" borderId="98" xfId="0" applyNumberFormat="1" applyFont="1" applyBorder="1"/>
    <xf numFmtId="170" fontId="11" fillId="0" borderId="102" xfId="0" applyNumberFormat="1" applyFont="1" applyBorder="1"/>
    <xf numFmtId="170" fontId="11" fillId="25" borderId="131" xfId="0" applyNumberFormat="1" applyFont="1" applyFill="1" applyBorder="1"/>
    <xf numFmtId="170" fontId="11" fillId="0" borderId="87" xfId="0" applyNumberFormat="1" applyFont="1" applyBorder="1"/>
    <xf numFmtId="170" fontId="11" fillId="0" borderId="109" xfId="0" applyNumberFormat="1" applyFont="1" applyBorder="1"/>
    <xf numFmtId="170" fontId="11" fillId="0" borderId="108" xfId="0" applyNumberFormat="1" applyFont="1" applyBorder="1"/>
    <xf numFmtId="170" fontId="11" fillId="25" borderId="2" xfId="0" applyNumberFormat="1" applyFont="1" applyFill="1" applyBorder="1"/>
    <xf numFmtId="170" fontId="11" fillId="0" borderId="110" xfId="3" applyNumberFormat="1" applyFont="1" applyBorder="1"/>
    <xf numFmtId="10" fontId="12" fillId="31" borderId="16" xfId="3" applyNumberFormat="1" applyFont="1" applyFill="1" applyBorder="1"/>
    <xf numFmtId="0" fontId="7" fillId="4" borderId="137" xfId="0" applyFont="1" applyFill="1" applyBorder="1" applyAlignment="1">
      <alignment vertical="center"/>
    </xf>
    <xf numFmtId="166" fontId="8" fillId="0" borderId="20" xfId="0" applyNumberFormat="1" applyFont="1" applyBorder="1" applyAlignment="1">
      <alignment vertical="center"/>
    </xf>
    <xf numFmtId="166" fontId="8" fillId="0" borderId="134" xfId="0" applyNumberFormat="1" applyFont="1" applyBorder="1" applyAlignment="1">
      <alignment vertical="center"/>
    </xf>
    <xf numFmtId="166" fontId="0" fillId="0" borderId="50" xfId="0" applyNumberFormat="1" applyBorder="1"/>
    <xf numFmtId="166" fontId="0" fillId="0" borderId="20" xfId="0" applyNumberFormat="1" applyBorder="1"/>
    <xf numFmtId="166" fontId="0" fillId="0" borderId="18" xfId="0" applyNumberFormat="1" applyBorder="1"/>
    <xf numFmtId="166" fontId="0" fillId="0" borderId="33" xfId="0" applyNumberFormat="1" applyBorder="1"/>
    <xf numFmtId="166" fontId="0" fillId="0" borderId="31" xfId="0" applyNumberFormat="1" applyBorder="1"/>
    <xf numFmtId="166" fontId="0" fillId="0" borderId="22" xfId="0" applyNumberFormat="1" applyBorder="1"/>
    <xf numFmtId="166" fontId="9" fillId="15" borderId="83" xfId="0" applyNumberFormat="1" applyFont="1" applyFill="1" applyBorder="1" applyAlignment="1">
      <alignment vertical="center"/>
    </xf>
    <xf numFmtId="166" fontId="0" fillId="0" borderId="40" xfId="0" applyNumberFormat="1" applyBorder="1"/>
    <xf numFmtId="166" fontId="0" fillId="0" borderId="42" xfId="0" applyNumberFormat="1" applyBorder="1"/>
    <xf numFmtId="166" fontId="0" fillId="0" borderId="46" xfId="0" applyNumberFormat="1" applyBorder="1"/>
    <xf numFmtId="0" fontId="7" fillId="4" borderId="36" xfId="0" applyFont="1" applyFill="1" applyBorder="1" applyAlignment="1">
      <alignment vertical="center"/>
    </xf>
    <xf numFmtId="166" fontId="0" fillId="0" borderId="37" xfId="0" applyNumberFormat="1" applyBorder="1"/>
    <xf numFmtId="166" fontId="0" fillId="0" borderId="82" xfId="0" applyNumberFormat="1" applyBorder="1"/>
    <xf numFmtId="0" fontId="6" fillId="14" borderId="32" xfId="0" applyFont="1" applyFill="1" applyBorder="1" applyAlignment="1">
      <alignment vertical="center"/>
    </xf>
    <xf numFmtId="166" fontId="6" fillId="14" borderId="138" xfId="0" applyNumberFormat="1" applyFont="1" applyFill="1" applyBorder="1" applyAlignment="1">
      <alignment vertical="center"/>
    </xf>
    <xf numFmtId="166" fontId="6" fillId="14" borderId="139" xfId="0" applyNumberFormat="1" applyFont="1" applyFill="1" applyBorder="1" applyAlignment="1">
      <alignment vertical="center"/>
    </xf>
    <xf numFmtId="6" fontId="1" fillId="2" borderId="55" xfId="1" applyNumberFormat="1" applyBorder="1"/>
    <xf numFmtId="6" fontId="1" fillId="2" borderId="56" xfId="1" applyNumberFormat="1" applyBorder="1"/>
    <xf numFmtId="0" fontId="3" fillId="7" borderId="36" xfId="0" applyFont="1" applyFill="1" applyBorder="1" applyAlignment="1">
      <alignment horizontal="center"/>
    </xf>
    <xf numFmtId="0" fontId="3" fillId="7" borderId="37" xfId="0" applyFont="1" applyFill="1" applyBorder="1" applyAlignment="1">
      <alignment horizontal="center"/>
    </xf>
    <xf numFmtId="0" fontId="3" fillId="7" borderId="38" xfId="0" applyFont="1" applyFill="1" applyBorder="1" applyAlignment="1">
      <alignment horizontal="center"/>
    </xf>
    <xf numFmtId="0" fontId="29" fillId="7" borderId="39" xfId="0" applyFont="1" applyFill="1" applyBorder="1" applyAlignment="1">
      <alignment horizontal="center" vertical="center"/>
    </xf>
    <xf numFmtId="0" fontId="29" fillId="7" borderId="50" xfId="0" applyFont="1" applyFill="1" applyBorder="1" applyAlignment="1">
      <alignment horizontal="center" vertical="center"/>
    </xf>
    <xf numFmtId="0" fontId="29" fillId="7" borderId="24" xfId="0" applyFont="1" applyFill="1" applyBorder="1" applyAlignment="1">
      <alignment horizontal="center" vertical="center"/>
    </xf>
    <xf numFmtId="0" fontId="3" fillId="7" borderId="36" xfId="0" applyFont="1" applyFill="1" applyBorder="1" applyAlignment="1">
      <alignment horizontal="center" vertical="center"/>
    </xf>
    <xf numFmtId="0" fontId="3" fillId="7" borderId="37" xfId="0" applyFont="1" applyFill="1" applyBorder="1" applyAlignment="1">
      <alignment horizontal="center" vertical="center"/>
    </xf>
    <xf numFmtId="0" fontId="3" fillId="7" borderId="38" xfId="0" applyFont="1" applyFill="1" applyBorder="1" applyAlignment="1">
      <alignment horizontal="center" vertical="center"/>
    </xf>
    <xf numFmtId="0" fontId="18" fillId="7" borderId="36" xfId="0" applyFont="1" applyFill="1" applyBorder="1" applyAlignment="1">
      <alignment horizontal="center"/>
    </xf>
    <xf numFmtId="0" fontId="18" fillId="7" borderId="37" xfId="0" applyFont="1" applyFill="1" applyBorder="1" applyAlignment="1">
      <alignment horizontal="center"/>
    </xf>
    <xf numFmtId="0" fontId="18" fillId="7" borderId="38" xfId="0" applyFont="1" applyFill="1" applyBorder="1" applyAlignment="1">
      <alignment horizontal="center"/>
    </xf>
    <xf numFmtId="0" fontId="3" fillId="7" borderId="39" xfId="0" applyFont="1" applyFill="1" applyBorder="1" applyAlignment="1">
      <alignment horizontal="center"/>
    </xf>
    <xf numFmtId="0" fontId="3" fillId="7" borderId="50" xfId="0" applyFont="1" applyFill="1" applyBorder="1" applyAlignment="1">
      <alignment horizontal="center"/>
    </xf>
    <xf numFmtId="0" fontId="3" fillId="7" borderId="24" xfId="0" applyFont="1" applyFill="1" applyBorder="1" applyAlignment="1">
      <alignment horizontal="center"/>
    </xf>
    <xf numFmtId="0" fontId="0" fillId="7" borderId="37" xfId="0" applyFill="1" applyBorder="1" applyAlignment="1">
      <alignment horizontal="center"/>
    </xf>
    <xf numFmtId="0" fontId="0" fillId="7" borderId="38" xfId="0" applyFill="1" applyBorder="1" applyAlignment="1">
      <alignment horizontal="center"/>
    </xf>
    <xf numFmtId="0" fontId="12" fillId="28" borderId="0" xfId="0" applyFont="1" applyFill="1" applyBorder="1" applyAlignment="1">
      <alignment horizontal="left"/>
    </xf>
    <xf numFmtId="0" fontId="12" fillId="28" borderId="12" xfId="0" applyFont="1" applyFill="1" applyBorder="1" applyAlignment="1">
      <alignment horizontal="left"/>
    </xf>
    <xf numFmtId="0" fontId="11" fillId="0" borderId="118" xfId="0" applyFont="1" applyBorder="1" applyAlignment="1">
      <alignment horizontal="center" vertical="center"/>
    </xf>
    <xf numFmtId="0" fontId="11" fillId="0" borderId="119" xfId="0" applyFont="1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36" xfId="0" applyFont="1" applyFill="1" applyBorder="1" applyAlignment="1">
      <alignment horizontal="center"/>
    </xf>
    <xf numFmtId="0" fontId="2" fillId="6" borderId="37" xfId="0" applyFont="1" applyFill="1" applyBorder="1" applyAlignment="1">
      <alignment horizontal="center"/>
    </xf>
    <xf numFmtId="168" fontId="11" fillId="20" borderId="85" xfId="3" applyNumberFormat="1" applyFont="1" applyFill="1" applyBorder="1" applyAlignment="1">
      <alignment horizontal="left"/>
    </xf>
    <xf numFmtId="168" fontId="11" fillId="20" borderId="16" xfId="3" applyNumberFormat="1" applyFont="1" applyFill="1" applyBorder="1" applyAlignment="1">
      <alignment horizontal="left"/>
    </xf>
    <xf numFmtId="168" fontId="11" fillId="20" borderId="96" xfId="3" applyNumberFormat="1" applyFont="1" applyFill="1" applyBorder="1" applyAlignment="1">
      <alignment horizontal="left"/>
    </xf>
    <xf numFmtId="168" fontId="25" fillId="17" borderId="49" xfId="3" applyNumberFormat="1" applyFont="1" applyFill="1" applyBorder="1" applyAlignment="1">
      <alignment horizontal="left"/>
    </xf>
    <xf numFmtId="168" fontId="25" fillId="17" borderId="97" xfId="3" applyNumberFormat="1" applyFont="1" applyFill="1" applyBorder="1" applyAlignment="1">
      <alignment horizontal="left"/>
    </xf>
    <xf numFmtId="168" fontId="25" fillId="17" borderId="98" xfId="3" applyNumberFormat="1" applyFont="1" applyFill="1" applyBorder="1" applyAlignment="1">
      <alignment horizontal="left"/>
    </xf>
    <xf numFmtId="168" fontId="2" fillId="23" borderId="96" xfId="3" applyNumberFormat="1" applyFont="1" applyFill="1" applyBorder="1" applyAlignment="1">
      <alignment horizontal="left"/>
    </xf>
    <xf numFmtId="168" fontId="2" fillId="23" borderId="85" xfId="3" applyNumberFormat="1" applyFont="1" applyFill="1" applyBorder="1" applyAlignment="1">
      <alignment horizontal="left"/>
    </xf>
    <xf numFmtId="0" fontId="30" fillId="0" borderId="0" xfId="0" applyFont="1" applyAlignment="1">
      <alignment horizontal="center" vertical="center"/>
    </xf>
  </cellXfs>
  <cellStyles count="4">
    <cellStyle name="Accent1" xfId="2" builtinId="29"/>
    <cellStyle name="Milliers" xfId="3" builtinId="3"/>
    <cellStyle name="Normal" xfId="0" builtinId="0"/>
    <cellStyle name="Sortie" xfId="1" builtinId="21"/>
  </cellStyles>
  <dxfs count="0"/>
  <tableStyles count="0" defaultTableStyle="TableStyleMedium2" defaultPivotStyle="PivotStyleLight16"/>
  <colors>
    <mruColors>
      <color rgb="FFFED05E"/>
      <color rgb="FFFEEB5E"/>
      <color rgb="FF3F3F3F"/>
      <color rgb="FFFCAEAE"/>
      <color rgb="FFFFFF5D"/>
      <color rgb="FFFFFF99"/>
      <color rgb="FFE53A05"/>
      <color rgb="FFFB6435"/>
      <color rgb="FFFD9523"/>
      <color rgb="FFFD86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Fixed costs (first year)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D08-46DD-97C6-D875B6ECF36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9BC-4846-91B4-815E23F552A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9BC-4846-91B4-815E23F552A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9BC-4846-91B4-815E23F552A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9BC-4846-91B4-815E23F552AA}"/>
              </c:ext>
            </c:extLst>
          </c:dPt>
          <c:dLbls>
            <c:dLbl>
              <c:idx val="0"/>
              <c:layout>
                <c:manualLayout>
                  <c:x val="0.11111111111111101"/>
                  <c:y val="-0.11574074074074074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D08-46DD-97C6-D875B6ECF360}"/>
                </c:ext>
              </c:extLst>
            </c:dLbl>
            <c:dLbl>
              <c:idx val="1"/>
              <c:layout>
                <c:manualLayout>
                  <c:x val="9.7311658702946141E-2"/>
                  <c:y val="0.14814814814814806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9BC-4846-91B4-815E23F552AA}"/>
                </c:ext>
              </c:extLst>
            </c:dLbl>
            <c:dLbl>
              <c:idx val="2"/>
              <c:layout>
                <c:manualLayout>
                  <c:x val="-0.11399365733773692"/>
                  <c:y val="9.7222222222222224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9BC-4846-91B4-815E23F552AA}"/>
                </c:ext>
              </c:extLst>
            </c:dLbl>
            <c:dLbl>
              <c:idx val="3"/>
              <c:layout>
                <c:manualLayout>
                  <c:x val="-8.3409993173953867E-2"/>
                  <c:y val="-0.12962962962962968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9BC-4846-91B4-815E23F552AA}"/>
                </c:ext>
              </c:extLst>
            </c:dLbl>
            <c:dLbl>
              <c:idx val="4"/>
              <c:layout>
                <c:manualLayout>
                  <c:x val="4.170499658697692E-2"/>
                  <c:y val="-0.14351851851851855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9BC-4846-91B4-815E23F552AA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'fixed costs'!$B$99:$B$103</c:f>
              <c:strCache>
                <c:ptCount val="5"/>
                <c:pt idx="0">
                  <c:v>Communication &amp; Marketing</c:v>
                </c:pt>
                <c:pt idx="1">
                  <c:v>Office and warehouse</c:v>
                </c:pt>
                <c:pt idx="2">
                  <c:v>Wages</c:v>
                </c:pt>
                <c:pt idx="3">
                  <c:v>Product</c:v>
                </c:pt>
                <c:pt idx="4">
                  <c:v>Others</c:v>
                </c:pt>
              </c:strCache>
            </c:strRef>
          </c:cat>
          <c:val>
            <c:numRef>
              <c:f>'fixed costs'!$C$99:$C$103</c:f>
              <c:numCache>
                <c:formatCode>_-[$€-2]\ * #\ ##0_-;\-[$€-2]\ * #\ ##0_-;_-[$€-2]\ * "-"??_-;_-@</c:formatCode>
                <c:ptCount val="5"/>
                <c:pt idx="0">
                  <c:v>112000</c:v>
                </c:pt>
                <c:pt idx="1">
                  <c:v>30971.333333333332</c:v>
                </c:pt>
                <c:pt idx="2">
                  <c:v>297570</c:v>
                </c:pt>
                <c:pt idx="3">
                  <c:v>71000</c:v>
                </c:pt>
                <c:pt idx="4">
                  <c:v>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08-46DD-97C6-D875B6ECF36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Fixed costs (total five 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09D-486F-BABC-8EB3BF722D5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09D-486F-BABC-8EB3BF722D5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09D-486F-BABC-8EB3BF722D5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09D-486F-BABC-8EB3BF722D5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E09D-486F-BABC-8EB3BF722D5F}"/>
              </c:ext>
            </c:extLst>
          </c:dPt>
          <c:dLbls>
            <c:dLbl>
              <c:idx val="0"/>
              <c:layout>
                <c:manualLayout>
                  <c:x val="0.11959100358554015"/>
                  <c:y val="-8.7962962962963007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09D-486F-BABC-8EB3BF722D5F}"/>
                </c:ext>
              </c:extLst>
            </c:dLbl>
            <c:dLbl>
              <c:idx val="1"/>
              <c:layout>
                <c:manualLayout>
                  <c:x val="0.14740286488450294"/>
                  <c:y val="7.8703703703703706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09D-486F-BABC-8EB3BF722D5F}"/>
                </c:ext>
              </c:extLst>
            </c:dLbl>
            <c:dLbl>
              <c:idx val="2"/>
              <c:layout>
                <c:manualLayout>
                  <c:x val="-0.14184049262471052"/>
                  <c:y val="0.1111111111111111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09D-486F-BABC-8EB3BF722D5F}"/>
                </c:ext>
              </c:extLst>
            </c:dLbl>
            <c:dLbl>
              <c:idx val="3"/>
              <c:layout>
                <c:manualLayout>
                  <c:x val="-6.674846711751084E-2"/>
                  <c:y val="-0.1527777777777778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09D-486F-BABC-8EB3BF722D5F}"/>
                </c:ext>
              </c:extLst>
            </c:dLbl>
            <c:dLbl>
              <c:idx val="4"/>
              <c:layout>
                <c:manualLayout>
                  <c:x val="8.7607363091732934E-2"/>
                  <c:y val="-0.15740740740740744"/>
                </c:manualLayout>
              </c:layout>
              <c:numFmt formatCode="0.00%" sourceLinked="0"/>
              <c:spPr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2059223059230285"/>
                      <c:h val="7.039370078740157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E09D-486F-BABC-8EB3BF722D5F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'fixed costs'!$B$99:$B$103</c:f>
              <c:strCache>
                <c:ptCount val="5"/>
                <c:pt idx="0">
                  <c:v>Communication &amp; Marketing</c:v>
                </c:pt>
                <c:pt idx="1">
                  <c:v>Office and warehouse</c:v>
                </c:pt>
                <c:pt idx="2">
                  <c:v>Wages</c:v>
                </c:pt>
                <c:pt idx="3">
                  <c:v>Product</c:v>
                </c:pt>
                <c:pt idx="4">
                  <c:v>Others</c:v>
                </c:pt>
              </c:strCache>
            </c:strRef>
          </c:cat>
          <c:val>
            <c:numRef>
              <c:f>'fixed costs'!$H$99:$H$103</c:f>
              <c:numCache>
                <c:formatCode>_-[$€-2]\ * #\ ##0_-;\-[$€-2]\ * #\ ##0_-;_-[$€-2]\ * "-"??_-;_-@</c:formatCode>
                <c:ptCount val="5"/>
                <c:pt idx="0">
                  <c:v>415857.14285714284</c:v>
                </c:pt>
                <c:pt idx="1">
                  <c:v>160096.98049013334</c:v>
                </c:pt>
                <c:pt idx="2">
                  <c:v>3110653.3169712005</c:v>
                </c:pt>
                <c:pt idx="3">
                  <c:v>192000</c:v>
                </c:pt>
                <c:pt idx="4">
                  <c:v>24200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D9-4D88-B32A-994458EFCF0B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Turnover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B643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CAEAE"/>
              </a:solidFill>
              <a:ln w="9525">
                <a:solidFill>
                  <a:srgbClr val="FB6435"/>
                </a:solidFill>
              </a:ln>
              <a:effectLst/>
            </c:spPr>
          </c:marker>
          <c:cat>
            <c:strRef>
              <c:f>'High hypothesis'!$E$3:$I$3</c:f>
              <c:strCache>
                <c:ptCount val="5"/>
                <c:pt idx="0">
                  <c:v>Y1</c:v>
                </c:pt>
                <c:pt idx="1">
                  <c:v>Y2</c:v>
                </c:pt>
                <c:pt idx="2">
                  <c:v>Y3</c:v>
                </c:pt>
                <c:pt idx="3">
                  <c:v>Y4</c:v>
                </c:pt>
                <c:pt idx="4">
                  <c:v>Y5</c:v>
                </c:pt>
              </c:strCache>
            </c:strRef>
          </c:cat>
          <c:val>
            <c:numRef>
              <c:f>'High hypothesis'!$E$5:$I$5</c:f>
              <c:numCache>
                <c:formatCode>_-* #\ ##0\ "€"_-;\-* #\ ##0\ "€"_-;_-* "-"??\ "€"_-;_-@_-</c:formatCode>
                <c:ptCount val="5"/>
                <c:pt idx="0">
                  <c:v>842416.66666666674</c:v>
                </c:pt>
                <c:pt idx="1">
                  <c:v>1314516.3333333337</c:v>
                </c:pt>
                <c:pt idx="2">
                  <c:v>2043763.5666666673</c:v>
                </c:pt>
                <c:pt idx="3">
                  <c:v>2529466.3818666674</c:v>
                </c:pt>
                <c:pt idx="4">
                  <c:v>3601777.8868800011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372-4F91-BC3C-E09D4F61BD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2964352"/>
        <c:axId val="392967632"/>
      </c:lineChart>
      <c:catAx>
        <c:axId val="392964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 b="0"/>
                  <a:t>years of activity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2967632"/>
        <c:crosses val="autoZero"/>
        <c:auto val="1"/>
        <c:lblAlgn val="ctr"/>
        <c:lblOffset val="100"/>
        <c:noMultiLvlLbl val="0"/>
      </c:catAx>
      <c:valAx>
        <c:axId val="39296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2964352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Net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B643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CAEAE"/>
              </a:solidFill>
              <a:ln w="9525">
                <a:solidFill>
                  <a:srgbClr val="FB6435"/>
                </a:solidFill>
              </a:ln>
              <a:effectLst/>
            </c:spPr>
          </c:marker>
          <c:cat>
            <c:strRef>
              <c:f>'High hypothesis'!$E$23:$I$23</c:f>
              <c:strCache>
                <c:ptCount val="5"/>
                <c:pt idx="0">
                  <c:v> Y1 </c:v>
                </c:pt>
                <c:pt idx="1">
                  <c:v> Y2 </c:v>
                </c:pt>
                <c:pt idx="2">
                  <c:v> Y3 </c:v>
                </c:pt>
                <c:pt idx="3">
                  <c:v> Y4 </c:v>
                </c:pt>
                <c:pt idx="4">
                  <c:v> Y5 </c:v>
                </c:pt>
              </c:strCache>
            </c:strRef>
          </c:cat>
          <c:val>
            <c:numRef>
              <c:f>'High hypothesis'!$E$31:$I$31</c:f>
              <c:numCache>
                <c:formatCode>_-* #\ ##0\ "€"_-;\-* #\ ##0\ "€"_-;_-* "-"??\ "€"_-;_-@_-</c:formatCode>
                <c:ptCount val="5"/>
                <c:pt idx="0">
                  <c:v>-8074.6666666665888</c:v>
                </c:pt>
                <c:pt idx="1">
                  <c:v>199204.78730158752</c:v>
                </c:pt>
                <c:pt idx="2">
                  <c:v>450715.23885714344</c:v>
                </c:pt>
                <c:pt idx="3">
                  <c:v>566689.5821587306</c:v>
                </c:pt>
                <c:pt idx="4">
                  <c:v>961482.43147022265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DF-47B9-8FFF-A3E97E335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1147616"/>
        <c:axId val="571146632"/>
      </c:lineChart>
      <c:catAx>
        <c:axId val="571147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baseline="0">
                    <a:effectLst/>
                  </a:rPr>
                  <a:t>years of activity</a:t>
                </a:r>
                <a:endParaRPr lang="fr-FR" sz="1000" b="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1146632"/>
        <c:crosses val="autoZero"/>
        <c:auto val="1"/>
        <c:lblAlgn val="ctr"/>
        <c:lblOffset val="100"/>
        <c:noMultiLvlLbl val="0"/>
      </c:catAx>
      <c:valAx>
        <c:axId val="571146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1147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Dividends (with percentage of net income)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'High hypothesis'!$L$34</c:f>
              <c:strCache>
                <c:ptCount val="1"/>
                <c:pt idx="0">
                  <c:v>Dividends</c:v>
                </c:pt>
              </c:strCache>
            </c:strRef>
          </c:tx>
          <c:spPr>
            <a:ln w="28575" cap="rnd">
              <a:solidFill>
                <a:srgbClr val="FB643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CAEAE"/>
              </a:solidFill>
              <a:ln w="9525">
                <a:solidFill>
                  <a:srgbClr val="FB6435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CE68BF4-B788-4A74-B79B-16000A08E9AE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7BE4-43C1-BB81-4BC0A1B6222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75BD870-022D-4734-877D-8B4515E1F36A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7BE4-43C1-BB81-4BC0A1B6222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B086AE5-0ABE-4D40-8CCA-88106F1F7230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7BE4-43C1-BB81-4BC0A1B6222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02C9222-B0DE-485A-8420-8C9D8D19F5AA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7BE4-43C1-BB81-4BC0A1B6222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CC6BBFF-52B0-4BD3-A9F6-76C4F4485C22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7BE4-43C1-BB81-4BC0A1B6222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cat>
            <c:strRef>
              <c:f>'High hypothesis'!$N$23:$R$23</c:f>
              <c:strCache>
                <c:ptCount val="5"/>
                <c:pt idx="0">
                  <c:v> Y1 </c:v>
                </c:pt>
                <c:pt idx="1">
                  <c:v> Y2 </c:v>
                </c:pt>
                <c:pt idx="2">
                  <c:v> Y3 </c:v>
                </c:pt>
                <c:pt idx="3">
                  <c:v> Y4 </c:v>
                </c:pt>
                <c:pt idx="4">
                  <c:v> Y5 </c:v>
                </c:pt>
              </c:strCache>
            </c:strRef>
          </c:cat>
          <c:val>
            <c:numRef>
              <c:f>'High hypothesis'!$N$34:$R$34</c:f>
              <c:numCache>
                <c:formatCode>_-* #\ ##0\ "€"_-;\-* #\ ##0\ "€"_-;_-* "-"??\ "€"_-;_-@_-</c:formatCode>
                <c:ptCount val="5"/>
                <c:pt idx="0">
                  <c:v>0</c:v>
                </c:pt>
                <c:pt idx="1">
                  <c:v>79681.914920635012</c:v>
                </c:pt>
                <c:pt idx="2">
                  <c:v>225357.61942857172</c:v>
                </c:pt>
                <c:pt idx="3">
                  <c:v>340013.74929523835</c:v>
                </c:pt>
                <c:pt idx="4">
                  <c:v>673037.7020291558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'High hypothesis'!$N$35:$R$35</c15:f>
                <c15:dlblRangeCache>
                  <c:ptCount val="5"/>
                  <c:pt idx="0">
                    <c:v>40,00%</c:v>
                  </c:pt>
                  <c:pt idx="1">
                    <c:v>40,00%</c:v>
                  </c:pt>
                  <c:pt idx="2">
                    <c:v>50,00%</c:v>
                  </c:pt>
                  <c:pt idx="3">
                    <c:v>60,00%</c:v>
                  </c:pt>
                  <c:pt idx="4">
                    <c:v>70,00%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7BE4-43C1-BB81-4BC0A1B622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4562504"/>
        <c:axId val="544565784"/>
      </c:lineChart>
      <c:catAx>
        <c:axId val="544562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baseline="0">
                    <a:effectLst/>
                  </a:rPr>
                  <a:t>years of activity</a:t>
                </a:r>
                <a:endParaRPr lang="fr-FR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4565784"/>
        <c:crosses val="autoZero"/>
        <c:auto val="1"/>
        <c:lblAlgn val="ctr"/>
        <c:lblOffset val="100"/>
        <c:noMultiLvlLbl val="0"/>
      </c:catAx>
      <c:valAx>
        <c:axId val="544565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4562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Cash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B643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CAEAE"/>
              </a:solidFill>
              <a:ln w="9525">
                <a:solidFill>
                  <a:srgbClr val="FB6435"/>
                </a:solidFill>
              </a:ln>
              <a:effectLst/>
            </c:spPr>
          </c:marker>
          <c:cat>
            <c:strRef>
              <c:f>'High hypothesis'!$N$23:$R$23</c:f>
              <c:strCache>
                <c:ptCount val="5"/>
                <c:pt idx="0">
                  <c:v> Y1 </c:v>
                </c:pt>
                <c:pt idx="1">
                  <c:v> Y2 </c:v>
                </c:pt>
                <c:pt idx="2">
                  <c:v> Y3 </c:v>
                </c:pt>
                <c:pt idx="3">
                  <c:v> Y4 </c:v>
                </c:pt>
                <c:pt idx="4">
                  <c:v> Y5 </c:v>
                </c:pt>
              </c:strCache>
            </c:strRef>
          </c:cat>
          <c:val>
            <c:numRef>
              <c:f>'High hypothesis'!$N$44:$R$44</c:f>
              <c:numCache>
                <c:formatCode>_-* #\ ##0\ "€"_-;\-* #\ ##0\ "€"_-;_-* "-"??\ "€"_-;_-@_-</c:formatCode>
                <c:ptCount val="5"/>
                <c:pt idx="0">
                  <c:v>197780.76614191197</c:v>
                </c:pt>
                <c:pt idx="1">
                  <c:v>209544.64976760879</c:v>
                </c:pt>
                <c:pt idx="2">
                  <c:v>322781.86716234847</c:v>
                </c:pt>
                <c:pt idx="3">
                  <c:v>428176.35163438035</c:v>
                </c:pt>
                <c:pt idx="4">
                  <c:v>588766.70436075865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6F-44A5-AC04-BE33D2D2B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1147288"/>
        <c:axId val="571149584"/>
      </c:lineChart>
      <c:catAx>
        <c:axId val="571147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baseline="0">
                    <a:effectLst/>
                  </a:rPr>
                  <a:t>years of activity</a:t>
                </a:r>
                <a:endParaRPr lang="fr-FR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1149584"/>
        <c:crosses val="autoZero"/>
        <c:auto val="1"/>
        <c:lblAlgn val="ctr"/>
        <c:lblOffset val="100"/>
        <c:noMultiLvlLbl val="0"/>
      </c:catAx>
      <c:valAx>
        <c:axId val="57114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1147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Net income and Dividends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'High hypothesis'!$C$31:$D$31</c:f>
              <c:strCache>
                <c:ptCount val="2"/>
                <c:pt idx="0">
                  <c:v> Net income </c:v>
                </c:pt>
              </c:strCache>
            </c:strRef>
          </c:tx>
          <c:spPr>
            <a:ln w="28575" cap="rnd">
              <a:solidFill>
                <a:srgbClr val="FB643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CAEAE"/>
              </a:solidFill>
              <a:ln w="9525">
                <a:solidFill>
                  <a:srgbClr val="FB6435"/>
                </a:solidFill>
              </a:ln>
              <a:effectLst/>
            </c:spPr>
          </c:marker>
          <c:cat>
            <c:strRef>
              <c:f>'High hypothesis'!$N$23:$R$23</c:f>
              <c:strCache>
                <c:ptCount val="5"/>
                <c:pt idx="0">
                  <c:v> Y1 </c:v>
                </c:pt>
                <c:pt idx="1">
                  <c:v> Y2 </c:v>
                </c:pt>
                <c:pt idx="2">
                  <c:v> Y3 </c:v>
                </c:pt>
                <c:pt idx="3">
                  <c:v> Y4 </c:v>
                </c:pt>
                <c:pt idx="4">
                  <c:v> Y5 </c:v>
                </c:pt>
              </c:strCache>
            </c:strRef>
          </c:cat>
          <c:val>
            <c:numRef>
              <c:f>'High hypothesis'!$E$31:$I$31</c:f>
              <c:numCache>
                <c:formatCode>_-* #\ ##0\ "€"_-;\-* #\ ##0\ "€"_-;_-* "-"??\ "€"_-;_-@_-</c:formatCode>
                <c:ptCount val="5"/>
                <c:pt idx="0">
                  <c:v>-8074.6666666665888</c:v>
                </c:pt>
                <c:pt idx="1">
                  <c:v>199204.78730158752</c:v>
                </c:pt>
                <c:pt idx="2">
                  <c:v>450715.23885714344</c:v>
                </c:pt>
                <c:pt idx="3">
                  <c:v>566689.5821587306</c:v>
                </c:pt>
                <c:pt idx="4">
                  <c:v>961482.43147022265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A5-42B6-ACF2-3CF560B05F3C}"/>
            </c:ext>
          </c:extLst>
        </c:ser>
        <c:ser>
          <c:idx val="2"/>
          <c:order val="1"/>
          <c:tx>
            <c:v>Dividends (with net income %)</c:v>
          </c:tx>
          <c:spPr>
            <a:ln w="28575" cap="rnd">
              <a:solidFill>
                <a:srgbClr val="FCAEAE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B6435"/>
              </a:solidFill>
              <a:ln w="9525">
                <a:solidFill>
                  <a:srgbClr val="FCAEAE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9A5-42B6-ACF2-3CF560B05F3C}"/>
                </c:ext>
              </c:extLst>
            </c:dLbl>
            <c:dLbl>
              <c:idx val="1"/>
              <c:layout>
                <c:manualLayout>
                  <c:x val="9.4659980957976023E-3"/>
                  <c:y val="1.2351572627618816E-2"/>
                </c:manualLayout>
              </c:layout>
              <c:tx>
                <c:rich>
                  <a:bodyPr/>
                  <a:lstStyle/>
                  <a:p>
                    <a:fld id="{202CD56B-76A7-4517-B8B7-F8C921BC4C12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F9A5-42B6-ACF2-3CF560B05F3C}"/>
                </c:ext>
              </c:extLst>
            </c:dLbl>
            <c:dLbl>
              <c:idx val="2"/>
              <c:layout>
                <c:manualLayout>
                  <c:x val="1.3222346546510839E-2"/>
                  <c:y val="4.1585959278323141E-2"/>
                </c:manualLayout>
              </c:layout>
              <c:tx>
                <c:rich>
                  <a:bodyPr/>
                  <a:lstStyle/>
                  <a:p>
                    <a:fld id="{B1BC8585-DF9B-4168-B73D-9983B725B5C4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F9A5-42B6-ACF2-3CF560B05F3C}"/>
                </c:ext>
              </c:extLst>
            </c:dLbl>
            <c:dLbl>
              <c:idx val="3"/>
              <c:layout>
                <c:manualLayout>
                  <c:x val="1.8856869222580799E-2"/>
                  <c:y val="3.9337160305192125E-2"/>
                </c:manualLayout>
              </c:layout>
              <c:tx>
                <c:rich>
                  <a:bodyPr/>
                  <a:lstStyle/>
                  <a:p>
                    <a:fld id="{77F90A52-E3D0-415D-888F-8F130161FF28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F9A5-42B6-ACF2-3CF560B05F3C}"/>
                </c:ext>
              </c:extLst>
            </c:dLbl>
            <c:dLbl>
              <c:idx val="4"/>
              <c:layout>
                <c:manualLayout>
                  <c:x val="-1.3072092608482308E-2"/>
                  <c:y val="6.1825150036503143E-2"/>
                </c:manualLayout>
              </c:layout>
              <c:tx>
                <c:rich>
                  <a:bodyPr/>
                  <a:lstStyle/>
                  <a:p>
                    <a:fld id="{33AAC9AB-DC83-4D76-A65C-C3113B03A9D9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F9A5-42B6-ACF2-3CF560B05F3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'High hypothesis'!$N$23:$R$23</c:f>
              <c:strCache>
                <c:ptCount val="5"/>
                <c:pt idx="0">
                  <c:v> Y1 </c:v>
                </c:pt>
                <c:pt idx="1">
                  <c:v> Y2 </c:v>
                </c:pt>
                <c:pt idx="2">
                  <c:v> Y3 </c:v>
                </c:pt>
                <c:pt idx="3">
                  <c:v> Y4 </c:v>
                </c:pt>
                <c:pt idx="4">
                  <c:v> Y5 </c:v>
                </c:pt>
              </c:strCache>
            </c:strRef>
          </c:cat>
          <c:val>
            <c:numRef>
              <c:f>'High hypothesis'!$N$34:$R$34</c:f>
              <c:numCache>
                <c:formatCode>_-* #\ ##0\ "€"_-;\-* #\ ##0\ "€"_-;_-* "-"??\ "€"_-;_-@_-</c:formatCode>
                <c:ptCount val="5"/>
                <c:pt idx="0">
                  <c:v>0</c:v>
                </c:pt>
                <c:pt idx="1">
                  <c:v>79681.914920635012</c:v>
                </c:pt>
                <c:pt idx="2">
                  <c:v>225357.61942857172</c:v>
                </c:pt>
                <c:pt idx="3">
                  <c:v>340013.74929523835</c:v>
                </c:pt>
                <c:pt idx="4">
                  <c:v>673037.7020291558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'High hypothesis'!$N$35:$R$35</c15:f>
                <c15:dlblRangeCache>
                  <c:ptCount val="5"/>
                  <c:pt idx="0">
                    <c:v>40,00%</c:v>
                  </c:pt>
                  <c:pt idx="1">
                    <c:v>40,00%</c:v>
                  </c:pt>
                  <c:pt idx="2">
                    <c:v>50,00%</c:v>
                  </c:pt>
                  <c:pt idx="3">
                    <c:v>60,00%</c:v>
                  </c:pt>
                  <c:pt idx="4">
                    <c:v>70,00%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F9A5-42B6-ACF2-3CF560B05F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5319312"/>
        <c:axId val="595321608"/>
      </c:lineChart>
      <c:catAx>
        <c:axId val="595319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baseline="0">
                    <a:effectLst/>
                  </a:rPr>
                  <a:t>years of activity</a:t>
                </a:r>
                <a:endParaRPr lang="fr-FR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0.57189710089758983"/>
              <c:y val="0.747954256949895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rgbClr val="FF0000"/>
          </a:solidFill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5321608"/>
        <c:crosses val="autoZero"/>
        <c:auto val="1"/>
        <c:lblAlgn val="ctr"/>
        <c:lblOffset val="100"/>
        <c:noMultiLvlLbl val="0"/>
      </c:catAx>
      <c:valAx>
        <c:axId val="595321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53193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'High hypothesis'!$C$59:$D$59</c:f>
              <c:strCache>
                <c:ptCount val="2"/>
                <c:pt idx="0">
                  <c:v>ROCE end of year, before tax</c:v>
                </c:pt>
              </c:strCache>
            </c:strRef>
          </c:tx>
          <c:spPr>
            <a:ln w="28575" cap="rnd">
              <a:solidFill>
                <a:srgbClr val="FB643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CAEAE"/>
              </a:solidFill>
              <a:ln w="9525">
                <a:solidFill>
                  <a:srgbClr val="FB6435"/>
                </a:solidFill>
              </a:ln>
              <a:effectLst/>
            </c:spPr>
          </c:marker>
          <c:cat>
            <c:strRef>
              <c:f>'High hypothesis'!$E$52:$I$52</c:f>
              <c:strCache>
                <c:ptCount val="5"/>
                <c:pt idx="0">
                  <c:v>Y1</c:v>
                </c:pt>
                <c:pt idx="1">
                  <c:v>Y2</c:v>
                </c:pt>
                <c:pt idx="2">
                  <c:v>Y3</c:v>
                </c:pt>
                <c:pt idx="3">
                  <c:v>Y4</c:v>
                </c:pt>
                <c:pt idx="4">
                  <c:v>Y5</c:v>
                </c:pt>
              </c:strCache>
            </c:strRef>
          </c:cat>
          <c:val>
            <c:numRef>
              <c:f>'High hypothesis'!$E$59:$I$59</c:f>
              <c:numCache>
                <c:formatCode>0.0%</c:formatCode>
                <c:ptCount val="5"/>
                <c:pt idx="0">
                  <c:v>-1.4039393389283462E-2</c:v>
                </c:pt>
                <c:pt idx="1">
                  <c:v>0.98796074198968187</c:v>
                </c:pt>
                <c:pt idx="2">
                  <c:v>1.5396144089831696</c:v>
                </c:pt>
                <c:pt idx="3">
                  <c:v>1.5436579154650807</c:v>
                </c:pt>
                <c:pt idx="4">
                  <c:v>1.9627812184919289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70-408F-808E-0BE0F6EE5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0979104"/>
        <c:axId val="540978776"/>
      </c:lineChart>
      <c:catAx>
        <c:axId val="540979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baseline="0">
                    <a:effectLst/>
                  </a:rPr>
                  <a:t>years of activity</a:t>
                </a:r>
                <a:endParaRPr lang="fr-FR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0978776"/>
        <c:crosses val="autoZero"/>
        <c:auto val="1"/>
        <c:lblAlgn val="ctr"/>
        <c:lblOffset val="100"/>
        <c:noMultiLvlLbl val="0"/>
      </c:catAx>
      <c:valAx>
        <c:axId val="540978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0979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NOPAT (net operative profit after taxes)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'High hypothesis'!$B$33:$C$33</c:f>
              <c:strCache>
                <c:ptCount val="2"/>
                <c:pt idx="0">
                  <c:v> Nopat (net operative profit after taxes)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'High hypothesis'!$E$23:$I$23</c:f>
              <c:strCache>
                <c:ptCount val="5"/>
                <c:pt idx="0">
                  <c:v> Y1 </c:v>
                </c:pt>
                <c:pt idx="1">
                  <c:v> Y2 </c:v>
                </c:pt>
                <c:pt idx="2">
                  <c:v> Y3 </c:v>
                </c:pt>
                <c:pt idx="3">
                  <c:v> Y4 </c:v>
                </c:pt>
                <c:pt idx="4">
                  <c:v> Y5 </c:v>
                </c:pt>
              </c:strCache>
            </c:strRef>
          </c:cat>
          <c:val>
            <c:numRef>
              <c:f>'High hypothesis'!$E$33:$I$33</c:f>
              <c:numCache>
                <c:formatCode>_-* #\ ##0\ "€"_-;\-* #\ ##0\ "€"_-;_-* "-"??\ "€"_-;_-@_-</c:formatCode>
                <c:ptCount val="5"/>
                <c:pt idx="0">
                  <c:v>-2383.1111111110595</c:v>
                </c:pt>
                <c:pt idx="1">
                  <c:v>201604.78730158755</c:v>
                </c:pt>
                <c:pt idx="2">
                  <c:v>452515.23885714344</c:v>
                </c:pt>
                <c:pt idx="3">
                  <c:v>567889.58215873071</c:v>
                </c:pt>
                <c:pt idx="4">
                  <c:v>962082.43147022277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BA-4ACD-A64C-50A0C26DA0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1369904"/>
        <c:axId val="391366624"/>
      </c:lineChart>
      <c:catAx>
        <c:axId val="391369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baseline="0">
                    <a:effectLst/>
                  </a:rPr>
                  <a:t>years of activity</a:t>
                </a:r>
                <a:endParaRPr lang="fr-FR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1366624"/>
        <c:crosses val="autoZero"/>
        <c:auto val="1"/>
        <c:lblAlgn val="ctr"/>
        <c:lblOffset val="100"/>
        <c:noMultiLvlLbl val="0"/>
      </c:catAx>
      <c:valAx>
        <c:axId val="39136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136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Financial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7.4810280790372899E-2"/>
          <c:y val="5.2609929078014185E-2"/>
          <c:w val="0.67949120982518696"/>
          <c:h val="0.9102198023119451"/>
        </c:manualLayout>
      </c:layout>
      <c:lineChart>
        <c:grouping val="standard"/>
        <c:varyColors val="0"/>
        <c:ser>
          <c:idx val="0"/>
          <c:order val="0"/>
          <c:tx>
            <c:strRef>
              <c:f>'High hypothesis'!$C$5</c:f>
              <c:strCache>
                <c:ptCount val="1"/>
                <c:pt idx="0">
                  <c:v>Turnover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CAEAE"/>
              </a:solidFill>
              <a:ln w="9525">
                <a:solidFill>
                  <a:srgbClr val="FB6435"/>
                </a:solidFill>
              </a:ln>
              <a:effectLst/>
            </c:spPr>
          </c:marker>
          <c:cat>
            <c:strRef>
              <c:f>'High hypothesis'!$E$23:$I$23</c:f>
              <c:strCache>
                <c:ptCount val="5"/>
                <c:pt idx="0">
                  <c:v> Y1 </c:v>
                </c:pt>
                <c:pt idx="1">
                  <c:v> Y2 </c:v>
                </c:pt>
                <c:pt idx="2">
                  <c:v> Y3 </c:v>
                </c:pt>
                <c:pt idx="3">
                  <c:v> Y4 </c:v>
                </c:pt>
                <c:pt idx="4">
                  <c:v> Y5 </c:v>
                </c:pt>
              </c:strCache>
            </c:strRef>
          </c:cat>
          <c:val>
            <c:numRef>
              <c:f>'High hypothesis'!$E$5:$I$5</c:f>
              <c:numCache>
                <c:formatCode>_-* #\ ##0\ "€"_-;\-* #\ ##0\ "€"_-;_-* "-"??\ "€"_-;_-@_-</c:formatCode>
                <c:ptCount val="5"/>
                <c:pt idx="0">
                  <c:v>842416.66666666674</c:v>
                </c:pt>
                <c:pt idx="1">
                  <c:v>1314516.3333333337</c:v>
                </c:pt>
                <c:pt idx="2">
                  <c:v>2043763.5666666673</c:v>
                </c:pt>
                <c:pt idx="3">
                  <c:v>2529466.3818666674</c:v>
                </c:pt>
                <c:pt idx="4">
                  <c:v>3601777.8868800011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0A-472F-9BA1-5E7B047CF387}"/>
            </c:ext>
          </c:extLst>
        </c:ser>
        <c:ser>
          <c:idx val="1"/>
          <c:order val="1"/>
          <c:tx>
            <c:strRef>
              <c:f>'High hypothesis'!$C$31:$D$31</c:f>
              <c:strCache>
                <c:ptCount val="2"/>
                <c:pt idx="0">
                  <c:v> Net income </c:v>
                </c:pt>
              </c:strCache>
            </c:strRef>
          </c:tx>
          <c:spPr>
            <a:ln w="28575" cap="rnd">
              <a:solidFill>
                <a:srgbClr val="FB643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CAEAE"/>
              </a:solidFill>
              <a:ln w="9525">
                <a:solidFill>
                  <a:srgbClr val="FB6435"/>
                </a:solidFill>
              </a:ln>
              <a:effectLst/>
            </c:spPr>
          </c:marker>
          <c:cat>
            <c:strRef>
              <c:f>'High hypothesis'!$E$23:$I$23</c:f>
              <c:strCache>
                <c:ptCount val="5"/>
                <c:pt idx="0">
                  <c:v> Y1 </c:v>
                </c:pt>
                <c:pt idx="1">
                  <c:v> Y2 </c:v>
                </c:pt>
                <c:pt idx="2">
                  <c:v> Y3 </c:v>
                </c:pt>
                <c:pt idx="3">
                  <c:v> Y4 </c:v>
                </c:pt>
                <c:pt idx="4">
                  <c:v> Y5 </c:v>
                </c:pt>
              </c:strCache>
            </c:strRef>
          </c:cat>
          <c:val>
            <c:numRef>
              <c:f>'High hypothesis'!$E$31:$I$31</c:f>
              <c:numCache>
                <c:formatCode>_-* #\ ##0\ "€"_-;\-* #\ ##0\ "€"_-;_-* "-"??\ "€"_-;_-@_-</c:formatCode>
                <c:ptCount val="5"/>
                <c:pt idx="0">
                  <c:v>-8074.6666666665888</c:v>
                </c:pt>
                <c:pt idx="1">
                  <c:v>199204.78730158752</c:v>
                </c:pt>
                <c:pt idx="2">
                  <c:v>450715.23885714344</c:v>
                </c:pt>
                <c:pt idx="3">
                  <c:v>566689.5821587306</c:v>
                </c:pt>
                <c:pt idx="4">
                  <c:v>961482.43147022265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0A-472F-9BA1-5E7B047CF387}"/>
            </c:ext>
          </c:extLst>
        </c:ser>
        <c:ser>
          <c:idx val="2"/>
          <c:order val="2"/>
          <c:tx>
            <c:strRef>
              <c:f>'High hypothesis'!$L$44</c:f>
              <c:strCache>
                <c:ptCount val="1"/>
                <c:pt idx="0">
                  <c:v>Cash end of year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'High hypothesis'!$E$23:$I$23</c:f>
              <c:strCache>
                <c:ptCount val="5"/>
                <c:pt idx="0">
                  <c:v> Y1 </c:v>
                </c:pt>
                <c:pt idx="1">
                  <c:v> Y2 </c:v>
                </c:pt>
                <c:pt idx="2">
                  <c:v> Y3 </c:v>
                </c:pt>
                <c:pt idx="3">
                  <c:v> Y4 </c:v>
                </c:pt>
                <c:pt idx="4">
                  <c:v> Y5 </c:v>
                </c:pt>
              </c:strCache>
            </c:strRef>
          </c:cat>
          <c:val>
            <c:numRef>
              <c:f>'High hypothesis'!$N$44:$R$44</c:f>
              <c:numCache>
                <c:formatCode>_-* #\ ##0\ "€"_-;\-* #\ ##0\ "€"_-;_-* "-"??\ "€"_-;_-@_-</c:formatCode>
                <c:ptCount val="5"/>
                <c:pt idx="0">
                  <c:v>197780.76614191197</c:v>
                </c:pt>
                <c:pt idx="1">
                  <c:v>209544.64976760879</c:v>
                </c:pt>
                <c:pt idx="2">
                  <c:v>322781.86716234847</c:v>
                </c:pt>
                <c:pt idx="3">
                  <c:v>428176.35163438035</c:v>
                </c:pt>
                <c:pt idx="4">
                  <c:v>588766.70436075865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0A-472F-9BA1-5E7B047CF387}"/>
            </c:ext>
          </c:extLst>
        </c:ser>
        <c:ser>
          <c:idx val="3"/>
          <c:order val="3"/>
          <c:tx>
            <c:strRef>
              <c:f>'High hypothesis'!$L$34</c:f>
              <c:strCache>
                <c:ptCount val="1"/>
                <c:pt idx="0">
                  <c:v>Dividends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'High hypothesis'!$E$23:$I$23</c:f>
              <c:strCache>
                <c:ptCount val="5"/>
                <c:pt idx="0">
                  <c:v> Y1 </c:v>
                </c:pt>
                <c:pt idx="1">
                  <c:v> Y2 </c:v>
                </c:pt>
                <c:pt idx="2">
                  <c:v> Y3 </c:v>
                </c:pt>
                <c:pt idx="3">
                  <c:v> Y4 </c:v>
                </c:pt>
                <c:pt idx="4">
                  <c:v> Y5 </c:v>
                </c:pt>
              </c:strCache>
            </c:strRef>
          </c:cat>
          <c:val>
            <c:numRef>
              <c:f>'High hypothesis'!$N$34:$R$34</c:f>
              <c:numCache>
                <c:formatCode>_-* #\ ##0\ "€"_-;\-* #\ ##0\ "€"_-;_-* "-"??\ "€"_-;_-@_-</c:formatCode>
                <c:ptCount val="5"/>
                <c:pt idx="0">
                  <c:v>0</c:v>
                </c:pt>
                <c:pt idx="1">
                  <c:v>79681.914920635012</c:v>
                </c:pt>
                <c:pt idx="2">
                  <c:v>225357.61942857172</c:v>
                </c:pt>
                <c:pt idx="3">
                  <c:v>340013.74929523835</c:v>
                </c:pt>
                <c:pt idx="4">
                  <c:v>673037.7020291558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0A-472F-9BA1-5E7B047CF387}"/>
            </c:ext>
          </c:extLst>
        </c:ser>
        <c:ser>
          <c:idx val="4"/>
          <c:order val="4"/>
          <c:tx>
            <c:v>NOPAT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'High hypothesis'!$E$23:$I$23</c:f>
              <c:strCache>
                <c:ptCount val="5"/>
                <c:pt idx="0">
                  <c:v> Y1 </c:v>
                </c:pt>
                <c:pt idx="1">
                  <c:v> Y2 </c:v>
                </c:pt>
                <c:pt idx="2">
                  <c:v> Y3 </c:v>
                </c:pt>
                <c:pt idx="3">
                  <c:v> Y4 </c:v>
                </c:pt>
                <c:pt idx="4">
                  <c:v> Y5 </c:v>
                </c:pt>
              </c:strCache>
            </c:strRef>
          </c:cat>
          <c:val>
            <c:numRef>
              <c:f>'High hypothesis'!$E$33:$I$33</c:f>
              <c:numCache>
                <c:formatCode>_-* #\ ##0\ "€"_-;\-* #\ ##0\ "€"_-;_-* "-"??\ "€"_-;_-@_-</c:formatCode>
                <c:ptCount val="5"/>
                <c:pt idx="0">
                  <c:v>-2383.1111111110595</c:v>
                </c:pt>
                <c:pt idx="1">
                  <c:v>201604.78730158755</c:v>
                </c:pt>
                <c:pt idx="2">
                  <c:v>452515.23885714344</c:v>
                </c:pt>
                <c:pt idx="3">
                  <c:v>567889.58215873071</c:v>
                </c:pt>
                <c:pt idx="4">
                  <c:v>962082.43147022277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B0A-472F-9BA1-5E7B047CF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1147616"/>
        <c:axId val="571146632"/>
      </c:lineChart>
      <c:catAx>
        <c:axId val="571147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baseline="0">
                    <a:effectLst/>
                  </a:rPr>
                  <a:t>years of activity</a:t>
                </a:r>
                <a:endParaRPr lang="fr-FR" sz="1000" b="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1146632"/>
        <c:crosses val="autoZero"/>
        <c:auto val="1"/>
        <c:lblAlgn val="ctr"/>
        <c:lblOffset val="100"/>
        <c:noMultiLvlLbl val="0"/>
      </c:catAx>
      <c:valAx>
        <c:axId val="571146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1147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487317387213394"/>
          <c:y val="0.21894633383593007"/>
          <c:w val="0.23386896449264591"/>
          <c:h val="0.600532752554866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Financial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'High hypothesis'!$C$113</c:f>
              <c:strCache>
                <c:ptCount val="1"/>
                <c:pt idx="0">
                  <c:v>Fixed costs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'High hypothesis'!$E$111:$I$111</c:f>
              <c:strCache>
                <c:ptCount val="5"/>
                <c:pt idx="0">
                  <c:v>Y1</c:v>
                </c:pt>
                <c:pt idx="1">
                  <c:v>Y2</c:v>
                </c:pt>
                <c:pt idx="2">
                  <c:v>Y3</c:v>
                </c:pt>
                <c:pt idx="3">
                  <c:v>Y4</c:v>
                </c:pt>
                <c:pt idx="4">
                  <c:v>Y5</c:v>
                </c:pt>
              </c:strCache>
            </c:strRef>
          </c:cat>
          <c:val>
            <c:numRef>
              <c:f>'High hypothesis'!$E$113:$I$113</c:f>
              <c:numCache>
                <c:formatCode>_-* #\ ##0\ "€"_-;\-* #\ ##0\ "€"_-;_-* "-"??\ "€"_-;_-@_-</c:formatCode>
                <c:ptCount val="5"/>
                <c:pt idx="0">
                  <c:v>510605</c:v>
                </c:pt>
                <c:pt idx="1">
                  <c:v>511807.20000000007</c:v>
                </c:pt>
                <c:pt idx="2">
                  <c:v>622719.8559999998</c:v>
                </c:pt>
                <c:pt idx="3">
                  <c:v>956509.72200000007</c:v>
                </c:pt>
                <c:pt idx="4">
                  <c:v>1247579.1861280003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65-46D6-A615-0731A556EDB5}"/>
            </c:ext>
          </c:extLst>
        </c:ser>
        <c:ser>
          <c:idx val="1"/>
          <c:order val="1"/>
          <c:tx>
            <c:strRef>
              <c:f>'High hypothesis'!$C$114</c:f>
              <c:strCache>
                <c:ptCount val="1"/>
                <c:pt idx="0">
                  <c:v>Variable costs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'High hypothesis'!$E$111:$I$111</c:f>
              <c:strCache>
                <c:ptCount val="5"/>
                <c:pt idx="0">
                  <c:v>Y1</c:v>
                </c:pt>
                <c:pt idx="1">
                  <c:v>Y2</c:v>
                </c:pt>
                <c:pt idx="2">
                  <c:v>Y3</c:v>
                </c:pt>
                <c:pt idx="3">
                  <c:v>Y4</c:v>
                </c:pt>
                <c:pt idx="4">
                  <c:v>Y5</c:v>
                </c:pt>
              </c:strCache>
            </c:strRef>
          </c:cat>
          <c:val>
            <c:numRef>
              <c:f>'High hypothesis'!$E$114:$I$114</c:f>
              <c:numCache>
                <c:formatCode>_-* #\ ##0\ "€"_-;\-* #\ ##0\ "€"_-;_-* "-"??\ "€"_-;_-@_-</c:formatCode>
                <c:ptCount val="5"/>
                <c:pt idx="0">
                  <c:v>334250</c:v>
                </c:pt>
                <c:pt idx="1">
                  <c:v>496183</c:v>
                </c:pt>
                <c:pt idx="2">
                  <c:v>738121.9</c:v>
                </c:pt>
                <c:pt idx="3">
                  <c:v>714649.71519999998</c:v>
                </c:pt>
                <c:pt idx="4">
                  <c:v>897365.38688000001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65-46D6-A615-0731A556ED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039672"/>
        <c:axId val="461045904"/>
      </c:barChart>
      <c:lineChart>
        <c:grouping val="standard"/>
        <c:varyColors val="0"/>
        <c:ser>
          <c:idx val="2"/>
          <c:order val="2"/>
          <c:tx>
            <c:strRef>
              <c:f>'High hypothesis'!$C$115</c:f>
              <c:strCache>
                <c:ptCount val="1"/>
                <c:pt idx="0">
                  <c:v>Turnover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'High hypothesis'!$E$115:$I$115</c:f>
              <c:numCache>
                <c:formatCode>_-* #\ ##0\ "€"_-;\-* #\ ##0\ "€"_-;_-* "-"??\ "€"_-;_-@_-</c:formatCode>
                <c:ptCount val="5"/>
                <c:pt idx="0">
                  <c:v>842416.66666666674</c:v>
                </c:pt>
                <c:pt idx="1">
                  <c:v>1314516.3333333337</c:v>
                </c:pt>
                <c:pt idx="2">
                  <c:v>2043763.5666666673</c:v>
                </c:pt>
                <c:pt idx="3">
                  <c:v>2529466.3818666674</c:v>
                </c:pt>
                <c:pt idx="4">
                  <c:v>3601777.8868800011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65-46D6-A615-0731A556EDB5}"/>
            </c:ext>
          </c:extLst>
        </c:ser>
        <c:ser>
          <c:idx val="3"/>
          <c:order val="3"/>
          <c:tx>
            <c:strRef>
              <c:f>'High hypothesis'!$C$116</c:f>
              <c:strCache>
                <c:ptCount val="1"/>
                <c:pt idx="0">
                  <c:v>Net income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'High hypothesis'!$E$116:$I$116</c:f>
              <c:numCache>
                <c:formatCode>_-* #\ ##0\ "€"_-;\-* #\ ##0\ "€"_-;_-* "-"??\ "€"_-;_-@_-</c:formatCode>
                <c:ptCount val="5"/>
                <c:pt idx="0">
                  <c:v>-8074.6666666665888</c:v>
                </c:pt>
                <c:pt idx="1">
                  <c:v>199204.78730158752</c:v>
                </c:pt>
                <c:pt idx="2">
                  <c:v>450715.23885714344</c:v>
                </c:pt>
                <c:pt idx="3">
                  <c:v>566689.5821587306</c:v>
                </c:pt>
                <c:pt idx="4">
                  <c:v>961482.43147022265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65-46D6-A615-0731A556ED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1039672"/>
        <c:axId val="461045904"/>
      </c:lineChart>
      <c:catAx>
        <c:axId val="461039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1045904"/>
        <c:crosses val="autoZero"/>
        <c:auto val="1"/>
        <c:lblAlgn val="ctr"/>
        <c:lblOffset val="100"/>
        <c:noMultiLvlLbl val="0"/>
      </c:catAx>
      <c:valAx>
        <c:axId val="46104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\ &quot;€&quot;_-;\-* #\ ##0\ &quot;€&quot;_-;_-* &quot;-&quot;??\ &quot;€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103967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Turnover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B643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CAEAE"/>
              </a:solidFill>
              <a:ln w="9525">
                <a:solidFill>
                  <a:srgbClr val="FB6435"/>
                </a:solidFill>
              </a:ln>
              <a:effectLst/>
            </c:spPr>
          </c:marker>
          <c:cat>
            <c:strRef>
              <c:f>'High hypothesis'!$E$3:$I$3</c:f>
              <c:strCache>
                <c:ptCount val="5"/>
                <c:pt idx="0">
                  <c:v>Y1</c:v>
                </c:pt>
                <c:pt idx="1">
                  <c:v>Y2</c:v>
                </c:pt>
                <c:pt idx="2">
                  <c:v>Y3</c:v>
                </c:pt>
                <c:pt idx="3">
                  <c:v>Y4</c:v>
                </c:pt>
                <c:pt idx="4">
                  <c:v>Y5</c:v>
                </c:pt>
              </c:strCache>
            </c:strRef>
          </c:cat>
          <c:val>
            <c:numRef>
              <c:f>'Low Hypothesis'!$E$5:$I$5</c:f>
              <c:numCache>
                <c:formatCode>_-* #\ ##0\ "€"_-;\-* #\ ##0\ "€"_-;_-* "-"??\ "€"_-;_-@_-</c:formatCode>
                <c:ptCount val="5"/>
                <c:pt idx="0">
                  <c:v>508373.33333333337</c:v>
                </c:pt>
                <c:pt idx="1">
                  <c:v>822652.00000000012</c:v>
                </c:pt>
                <c:pt idx="2">
                  <c:v>1272506.7800000003</c:v>
                </c:pt>
                <c:pt idx="3">
                  <c:v>1622201.3400000003</c:v>
                </c:pt>
                <c:pt idx="4">
                  <c:v>2452583.9441760005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98-4667-8255-159D5D3439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2964352"/>
        <c:axId val="392967632"/>
      </c:lineChart>
      <c:catAx>
        <c:axId val="392964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 b="0"/>
                  <a:t>years of activity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2967632"/>
        <c:crosses val="autoZero"/>
        <c:auto val="1"/>
        <c:lblAlgn val="ctr"/>
        <c:lblOffset val="100"/>
        <c:noMultiLvlLbl val="0"/>
      </c:catAx>
      <c:valAx>
        <c:axId val="39296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2964352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Net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B643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CAEAE"/>
              </a:solidFill>
              <a:ln w="9525">
                <a:solidFill>
                  <a:srgbClr val="FB6435"/>
                </a:solidFill>
              </a:ln>
              <a:effectLst/>
            </c:spPr>
          </c:marker>
          <c:cat>
            <c:strRef>
              <c:f>'High hypothesis'!$E$23:$I$23</c:f>
              <c:strCache>
                <c:ptCount val="5"/>
                <c:pt idx="0">
                  <c:v> Y1 </c:v>
                </c:pt>
                <c:pt idx="1">
                  <c:v> Y2 </c:v>
                </c:pt>
                <c:pt idx="2">
                  <c:v> Y3 </c:v>
                </c:pt>
                <c:pt idx="3">
                  <c:v> Y4 </c:v>
                </c:pt>
                <c:pt idx="4">
                  <c:v> Y5 </c:v>
                </c:pt>
              </c:strCache>
            </c:strRef>
          </c:cat>
          <c:val>
            <c:numRef>
              <c:f>'Low Hypothesis'!$E$31:$I$31</c:f>
              <c:numCache>
                <c:formatCode>_-* #\ ##0\ "€"_-;\-* #\ ##0\ "€"_-;_-* "-"??\ "€"_-;_-@_-</c:formatCode>
                <c:ptCount val="5"/>
                <c:pt idx="0">
                  <c:v>-222907.99999999997</c:v>
                </c:pt>
                <c:pt idx="1">
                  <c:v>26726.120634920746</c:v>
                </c:pt>
                <c:pt idx="2">
                  <c:v>191064.9846349209</c:v>
                </c:pt>
                <c:pt idx="3">
                  <c:v>225733.90654984149</c:v>
                </c:pt>
                <c:pt idx="4">
                  <c:v>571766.15147197503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3E-4392-ADC4-C49C5C45B5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1147616"/>
        <c:axId val="571146632"/>
      </c:lineChart>
      <c:catAx>
        <c:axId val="571147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baseline="0">
                    <a:effectLst/>
                  </a:rPr>
                  <a:t>years of activity</a:t>
                </a:r>
                <a:endParaRPr lang="fr-FR" sz="1000" b="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1146632"/>
        <c:crosses val="autoZero"/>
        <c:auto val="1"/>
        <c:lblAlgn val="ctr"/>
        <c:lblOffset val="100"/>
        <c:noMultiLvlLbl val="0"/>
      </c:catAx>
      <c:valAx>
        <c:axId val="571146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1147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Dividends (with percentage of net income)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'Low Hypothesis'!$L$34</c:f>
              <c:strCache>
                <c:ptCount val="1"/>
                <c:pt idx="0">
                  <c:v>Dividends</c:v>
                </c:pt>
              </c:strCache>
            </c:strRef>
          </c:tx>
          <c:spPr>
            <a:ln w="28575" cap="rnd">
              <a:solidFill>
                <a:srgbClr val="FB643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CAEAE"/>
              </a:solidFill>
              <a:ln w="9525">
                <a:solidFill>
                  <a:srgbClr val="FB6435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5E42DDB8-73FD-4254-A18D-5E98EA268AD1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474-47A0-80A4-5E62CCAA137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CFAEF20-B50C-4AA8-9549-FE4CA7E6F16F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474-47A0-80A4-5E62CCAA137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B78F485-E993-4D79-8E7F-F047411B0838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474-47A0-80A4-5E62CCAA137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ADE8C69-3185-4A9B-BA2C-4D9013CB0F45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474-47A0-80A4-5E62CCAA137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4463A37-9A48-472A-B3FB-BB0AF2485AEF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F474-47A0-80A4-5E62CCAA137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1"/>
            <c:trendlineLbl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cat>
            <c:strRef>
              <c:f>'High hypothesis'!$N$23:$R$23</c:f>
              <c:strCache>
                <c:ptCount val="5"/>
                <c:pt idx="0">
                  <c:v> Y1 </c:v>
                </c:pt>
                <c:pt idx="1">
                  <c:v> Y2 </c:v>
                </c:pt>
                <c:pt idx="2">
                  <c:v> Y3 </c:v>
                </c:pt>
                <c:pt idx="3">
                  <c:v> Y4 </c:v>
                </c:pt>
                <c:pt idx="4">
                  <c:v> Y5 </c:v>
                </c:pt>
              </c:strCache>
            </c:strRef>
          </c:cat>
          <c:val>
            <c:numRef>
              <c:f>'Low Hypothesis'!$N$34:$R$34</c:f>
              <c:numCache>
                <c:formatCode>_-* #\ ##0\ "€"_-;\-* #\ ##0\ "€"_-;_-* "-"??\ "€"_-;_-@_-</c:formatCode>
                <c:ptCount val="5"/>
                <c:pt idx="0">
                  <c:v>0</c:v>
                </c:pt>
                <c:pt idx="1">
                  <c:v>10690.448253968299</c:v>
                </c:pt>
                <c:pt idx="2">
                  <c:v>95532.492317460448</c:v>
                </c:pt>
                <c:pt idx="3">
                  <c:v>135440.34392990489</c:v>
                </c:pt>
                <c:pt idx="4">
                  <c:v>400236.30603038252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'Low Hypothesis'!$N$35:$R$35</c15:f>
                <c15:dlblRangeCache>
                  <c:ptCount val="5"/>
                  <c:pt idx="0">
                    <c:v>40,00%</c:v>
                  </c:pt>
                  <c:pt idx="1">
                    <c:v>40,00%</c:v>
                  </c:pt>
                  <c:pt idx="2">
                    <c:v>50,00%</c:v>
                  </c:pt>
                  <c:pt idx="3">
                    <c:v>60,00%</c:v>
                  </c:pt>
                  <c:pt idx="4">
                    <c:v>70,00%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F474-47A0-80A4-5E62CCAA13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4562504"/>
        <c:axId val="544565784"/>
      </c:lineChart>
      <c:catAx>
        <c:axId val="544562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baseline="0">
                    <a:effectLst/>
                  </a:rPr>
                  <a:t>years of activity</a:t>
                </a:r>
                <a:endParaRPr lang="fr-FR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4565784"/>
        <c:crosses val="autoZero"/>
        <c:auto val="1"/>
        <c:lblAlgn val="ctr"/>
        <c:lblOffset val="100"/>
        <c:noMultiLvlLbl val="0"/>
      </c:catAx>
      <c:valAx>
        <c:axId val="544565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4562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Cash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B643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CAEAE"/>
              </a:solidFill>
              <a:ln w="9525">
                <a:solidFill>
                  <a:srgbClr val="FB6435"/>
                </a:solidFill>
              </a:ln>
              <a:effectLst/>
            </c:spPr>
          </c:marker>
          <c:cat>
            <c:strRef>
              <c:f>'High hypothesis'!$N$23:$R$23</c:f>
              <c:strCache>
                <c:ptCount val="5"/>
                <c:pt idx="0">
                  <c:v> Y1 </c:v>
                </c:pt>
                <c:pt idx="1">
                  <c:v> Y2 </c:v>
                </c:pt>
                <c:pt idx="2">
                  <c:v> Y3 </c:v>
                </c:pt>
                <c:pt idx="3">
                  <c:v> Y4 </c:v>
                </c:pt>
                <c:pt idx="4">
                  <c:v> Y5 </c:v>
                </c:pt>
              </c:strCache>
            </c:strRef>
          </c:cat>
          <c:val>
            <c:numRef>
              <c:f>'Low Hypothesis'!$N$44:$R$44</c:f>
              <c:numCache>
                <c:formatCode>_-* #\ ##0\ "€"_-;\-* #\ ##0\ "€"_-;_-* "-"??\ "€"_-;_-@_-</c:formatCode>
                <c:ptCount val="5"/>
                <c:pt idx="0">
                  <c:v>75593.442391056335</c:v>
                </c:pt>
                <c:pt idx="1">
                  <c:v>13181.466879176071</c:v>
                </c:pt>
                <c:pt idx="2">
                  <c:v>41439.639216192598</c:v>
                </c:pt>
                <c:pt idx="3">
                  <c:v>51633.642559704087</c:v>
                </c:pt>
                <c:pt idx="4">
                  <c:v>170672.87280411582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23-4BD7-BD41-0E605166DF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1147288"/>
        <c:axId val="571149584"/>
      </c:lineChart>
      <c:catAx>
        <c:axId val="571147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baseline="0">
                    <a:effectLst/>
                  </a:rPr>
                  <a:t>years of activity</a:t>
                </a:r>
                <a:endParaRPr lang="fr-FR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1149584"/>
        <c:crosses val="autoZero"/>
        <c:auto val="1"/>
        <c:lblAlgn val="ctr"/>
        <c:lblOffset val="100"/>
        <c:noMultiLvlLbl val="0"/>
      </c:catAx>
      <c:valAx>
        <c:axId val="57114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1147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Net income and Dividends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'Low Hypothesis'!$C$31:$D$31</c:f>
              <c:strCache>
                <c:ptCount val="2"/>
                <c:pt idx="0">
                  <c:v> Net income </c:v>
                </c:pt>
              </c:strCache>
            </c:strRef>
          </c:tx>
          <c:spPr>
            <a:ln w="28575" cap="rnd">
              <a:solidFill>
                <a:srgbClr val="FB643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CAEAE"/>
              </a:solidFill>
              <a:ln w="9525">
                <a:solidFill>
                  <a:srgbClr val="FB6435"/>
                </a:solidFill>
              </a:ln>
              <a:effectLst/>
            </c:spPr>
          </c:marker>
          <c:cat>
            <c:strRef>
              <c:f>'High hypothesis'!$N$23:$R$23</c:f>
              <c:strCache>
                <c:ptCount val="5"/>
                <c:pt idx="0">
                  <c:v> Y1 </c:v>
                </c:pt>
                <c:pt idx="1">
                  <c:v> Y2 </c:v>
                </c:pt>
                <c:pt idx="2">
                  <c:v> Y3 </c:v>
                </c:pt>
                <c:pt idx="3">
                  <c:v> Y4 </c:v>
                </c:pt>
                <c:pt idx="4">
                  <c:v> Y5 </c:v>
                </c:pt>
              </c:strCache>
            </c:strRef>
          </c:cat>
          <c:val>
            <c:numRef>
              <c:f>'Low Hypothesis'!$E$31:$I$31</c:f>
              <c:numCache>
                <c:formatCode>_-* #\ ##0\ "€"_-;\-* #\ ##0\ "€"_-;_-* "-"??\ "€"_-;_-@_-</c:formatCode>
                <c:ptCount val="5"/>
                <c:pt idx="0">
                  <c:v>-222907.99999999997</c:v>
                </c:pt>
                <c:pt idx="1">
                  <c:v>26726.120634920746</c:v>
                </c:pt>
                <c:pt idx="2">
                  <c:v>191064.9846349209</c:v>
                </c:pt>
                <c:pt idx="3">
                  <c:v>225733.90654984149</c:v>
                </c:pt>
                <c:pt idx="4">
                  <c:v>571766.15147197503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08-4432-8A4E-0A7842B05BFC}"/>
            </c:ext>
          </c:extLst>
        </c:ser>
        <c:ser>
          <c:idx val="2"/>
          <c:order val="1"/>
          <c:tx>
            <c:v>Dividends (with net income %)</c:v>
          </c:tx>
          <c:spPr>
            <a:ln w="28575" cap="rnd">
              <a:solidFill>
                <a:srgbClr val="FCAEAE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B6435"/>
              </a:solidFill>
              <a:ln w="9525">
                <a:solidFill>
                  <a:srgbClr val="FCAEAE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108-4432-8A4E-0A7842B05BFC}"/>
                </c:ext>
              </c:extLst>
            </c:dLbl>
            <c:dLbl>
              <c:idx val="1"/>
              <c:layout>
                <c:manualLayout>
                  <c:x val="9.4659980957976023E-3"/>
                  <c:y val="1.2351572627618816E-2"/>
                </c:manualLayout>
              </c:layout>
              <c:tx>
                <c:rich>
                  <a:bodyPr/>
                  <a:lstStyle/>
                  <a:p>
                    <a:fld id="{42E60BB8-0AFF-41DA-8F05-C4929BA3D0DC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B108-4432-8A4E-0A7842B05BFC}"/>
                </c:ext>
              </c:extLst>
            </c:dLbl>
            <c:dLbl>
              <c:idx val="2"/>
              <c:layout>
                <c:manualLayout>
                  <c:x val="1.3222346546510839E-2"/>
                  <c:y val="4.1585959278323141E-2"/>
                </c:manualLayout>
              </c:layout>
              <c:tx>
                <c:rich>
                  <a:bodyPr/>
                  <a:lstStyle/>
                  <a:p>
                    <a:fld id="{EDE01B3D-217B-47DB-B65B-F8E5A335AAC8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B108-4432-8A4E-0A7842B05BFC}"/>
                </c:ext>
              </c:extLst>
            </c:dLbl>
            <c:dLbl>
              <c:idx val="3"/>
              <c:layout>
                <c:manualLayout>
                  <c:x val="1.8856869222580799E-2"/>
                  <c:y val="3.9337160305192125E-2"/>
                </c:manualLayout>
              </c:layout>
              <c:tx>
                <c:rich>
                  <a:bodyPr/>
                  <a:lstStyle/>
                  <a:p>
                    <a:fld id="{ADC75850-E9C4-4735-924B-6144F8A31C21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B108-4432-8A4E-0A7842B05BFC}"/>
                </c:ext>
              </c:extLst>
            </c:dLbl>
            <c:dLbl>
              <c:idx val="4"/>
              <c:layout>
                <c:manualLayout>
                  <c:x val="-1.3072092608482308E-2"/>
                  <c:y val="6.1825150036503143E-2"/>
                </c:manualLayout>
              </c:layout>
              <c:tx>
                <c:rich>
                  <a:bodyPr/>
                  <a:lstStyle/>
                  <a:p>
                    <a:fld id="{7F370CAB-E4E2-4859-9234-B2F5A3717154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B108-4432-8A4E-0A7842B05B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'High hypothesis'!$N$23:$R$23</c:f>
              <c:strCache>
                <c:ptCount val="5"/>
                <c:pt idx="0">
                  <c:v> Y1 </c:v>
                </c:pt>
                <c:pt idx="1">
                  <c:v> Y2 </c:v>
                </c:pt>
                <c:pt idx="2">
                  <c:v> Y3 </c:v>
                </c:pt>
                <c:pt idx="3">
                  <c:v> Y4 </c:v>
                </c:pt>
                <c:pt idx="4">
                  <c:v> Y5 </c:v>
                </c:pt>
              </c:strCache>
            </c:strRef>
          </c:cat>
          <c:val>
            <c:numRef>
              <c:f>'Low Hypothesis'!$N$34:$R$34</c:f>
              <c:numCache>
                <c:formatCode>_-* #\ ##0\ "€"_-;\-* #\ ##0\ "€"_-;_-* "-"??\ "€"_-;_-@_-</c:formatCode>
                <c:ptCount val="5"/>
                <c:pt idx="0">
                  <c:v>0</c:v>
                </c:pt>
                <c:pt idx="1">
                  <c:v>10690.448253968299</c:v>
                </c:pt>
                <c:pt idx="2">
                  <c:v>95532.492317460448</c:v>
                </c:pt>
                <c:pt idx="3">
                  <c:v>135440.34392990489</c:v>
                </c:pt>
                <c:pt idx="4">
                  <c:v>400236.30603038252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'Low Hypothesis'!$N$35:$R$35</c15:f>
                <c15:dlblRangeCache>
                  <c:ptCount val="5"/>
                  <c:pt idx="0">
                    <c:v>40,00%</c:v>
                  </c:pt>
                  <c:pt idx="1">
                    <c:v>40,00%</c:v>
                  </c:pt>
                  <c:pt idx="2">
                    <c:v>50,00%</c:v>
                  </c:pt>
                  <c:pt idx="3">
                    <c:v>60,00%</c:v>
                  </c:pt>
                  <c:pt idx="4">
                    <c:v>70,00%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6-B108-4432-8A4E-0A7842B05B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5319312"/>
        <c:axId val="595321608"/>
      </c:lineChart>
      <c:catAx>
        <c:axId val="595319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baseline="0">
                    <a:effectLst/>
                  </a:rPr>
                  <a:t>years of activity</a:t>
                </a:r>
                <a:endParaRPr lang="fr-FR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0.57189710089758983"/>
              <c:y val="0.747954256949895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rgbClr val="FF0000"/>
          </a:solidFill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5321608"/>
        <c:crosses val="autoZero"/>
        <c:auto val="1"/>
        <c:lblAlgn val="ctr"/>
        <c:lblOffset val="100"/>
        <c:noMultiLvlLbl val="0"/>
      </c:catAx>
      <c:valAx>
        <c:axId val="595321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53193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'Low Hypothesis'!$C$59:$D$59</c:f>
              <c:strCache>
                <c:ptCount val="2"/>
                <c:pt idx="0">
                  <c:v>ROCE end of year, before tax</c:v>
                </c:pt>
              </c:strCache>
            </c:strRef>
          </c:tx>
          <c:spPr>
            <a:ln w="28575" cap="rnd">
              <a:solidFill>
                <a:srgbClr val="FB643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CAEAE"/>
              </a:solidFill>
              <a:ln w="9525">
                <a:solidFill>
                  <a:srgbClr val="FB6435"/>
                </a:solidFill>
              </a:ln>
              <a:effectLst/>
            </c:spPr>
          </c:marker>
          <c:cat>
            <c:strRef>
              <c:f>'High hypothesis'!$E$52:$I$52</c:f>
              <c:strCache>
                <c:ptCount val="5"/>
                <c:pt idx="0">
                  <c:v>Y1</c:v>
                </c:pt>
                <c:pt idx="1">
                  <c:v>Y2</c:v>
                </c:pt>
                <c:pt idx="2">
                  <c:v>Y3</c:v>
                </c:pt>
                <c:pt idx="3">
                  <c:v>Y4</c:v>
                </c:pt>
                <c:pt idx="4">
                  <c:v>Y5</c:v>
                </c:pt>
              </c:strCache>
            </c:strRef>
          </c:cat>
          <c:val>
            <c:numRef>
              <c:f>'Low Hypothesis'!$E$59:$I$59</c:f>
              <c:numCache>
                <c:formatCode>0.0%</c:formatCode>
                <c:ptCount val="5"/>
                <c:pt idx="0">
                  <c:v>-1.9606683743087641</c:v>
                </c:pt>
                <c:pt idx="1">
                  <c:v>0.5432776205806843</c:v>
                </c:pt>
                <c:pt idx="2">
                  <c:v>2.5454673881962444</c:v>
                </c:pt>
                <c:pt idx="3">
                  <c:v>2.5555115449540562</c:v>
                </c:pt>
                <c:pt idx="4">
                  <c:v>3.5642539924603436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81-4D65-B2F9-7B43A34E52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0979104"/>
        <c:axId val="540978776"/>
      </c:lineChart>
      <c:catAx>
        <c:axId val="540979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baseline="0">
                    <a:effectLst/>
                  </a:rPr>
                  <a:t>years of activity</a:t>
                </a:r>
                <a:endParaRPr lang="fr-FR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0978776"/>
        <c:crosses val="autoZero"/>
        <c:auto val="1"/>
        <c:lblAlgn val="ctr"/>
        <c:lblOffset val="100"/>
        <c:noMultiLvlLbl val="0"/>
      </c:catAx>
      <c:valAx>
        <c:axId val="540978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0979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NOPAT (net operative profit after taxes)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'Low Hypothesis'!$B$33:$C$33</c:f>
              <c:strCache>
                <c:ptCount val="2"/>
                <c:pt idx="0">
                  <c:v> Nopat (net operative profit after taxes)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'High hypothesis'!$E$23:$I$23</c:f>
              <c:strCache>
                <c:ptCount val="5"/>
                <c:pt idx="0">
                  <c:v> Y1 </c:v>
                </c:pt>
                <c:pt idx="1">
                  <c:v> Y2 </c:v>
                </c:pt>
                <c:pt idx="2">
                  <c:v> Y3 </c:v>
                </c:pt>
                <c:pt idx="3">
                  <c:v> Y4 </c:v>
                </c:pt>
                <c:pt idx="4">
                  <c:v> Y5 </c:v>
                </c:pt>
              </c:strCache>
            </c:strRef>
          </c:cat>
          <c:val>
            <c:numRef>
              <c:f>'Low Hypothesis'!$E$33:$I$33</c:f>
              <c:numCache>
                <c:formatCode>_-* #\ ##0\ "€"_-;\-* #\ ##0\ "€"_-;_-* "-"??\ "€"_-;_-@_-</c:formatCode>
                <c:ptCount val="5"/>
                <c:pt idx="0">
                  <c:v>-145605.33333333334</c:v>
                </c:pt>
                <c:pt idx="1">
                  <c:v>29126.12063492075</c:v>
                </c:pt>
                <c:pt idx="2">
                  <c:v>192864.9846349209</c:v>
                </c:pt>
                <c:pt idx="3">
                  <c:v>226933.90654984151</c:v>
                </c:pt>
                <c:pt idx="4">
                  <c:v>572366.15147197503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3B-4CD3-9BF6-EEB7C5AA5C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1369904"/>
        <c:axId val="391366624"/>
      </c:lineChart>
      <c:catAx>
        <c:axId val="391369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baseline="0">
                    <a:effectLst/>
                  </a:rPr>
                  <a:t>years of activity</a:t>
                </a:r>
                <a:endParaRPr lang="fr-FR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1366624"/>
        <c:crosses val="autoZero"/>
        <c:auto val="1"/>
        <c:lblAlgn val="ctr"/>
        <c:lblOffset val="100"/>
        <c:noMultiLvlLbl val="0"/>
      </c:catAx>
      <c:valAx>
        <c:axId val="39136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136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Financial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7.4810280790372899E-2"/>
          <c:y val="5.2609929078014185E-2"/>
          <c:w val="0.67949120982518696"/>
          <c:h val="0.9102198023119451"/>
        </c:manualLayout>
      </c:layout>
      <c:lineChart>
        <c:grouping val="standard"/>
        <c:varyColors val="0"/>
        <c:ser>
          <c:idx val="0"/>
          <c:order val="0"/>
          <c:tx>
            <c:strRef>
              <c:f>'Low Hypothesis'!$C$5</c:f>
              <c:strCache>
                <c:ptCount val="1"/>
                <c:pt idx="0">
                  <c:v>Turnover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CAEAE"/>
              </a:solidFill>
              <a:ln w="9525">
                <a:solidFill>
                  <a:srgbClr val="FB6435"/>
                </a:solidFill>
              </a:ln>
              <a:effectLst/>
            </c:spPr>
          </c:marker>
          <c:cat>
            <c:strRef>
              <c:f>'High hypothesis'!$E$23:$I$23</c:f>
              <c:strCache>
                <c:ptCount val="5"/>
                <c:pt idx="0">
                  <c:v> Y1 </c:v>
                </c:pt>
                <c:pt idx="1">
                  <c:v> Y2 </c:v>
                </c:pt>
                <c:pt idx="2">
                  <c:v> Y3 </c:v>
                </c:pt>
                <c:pt idx="3">
                  <c:v> Y4 </c:v>
                </c:pt>
                <c:pt idx="4">
                  <c:v> Y5 </c:v>
                </c:pt>
              </c:strCache>
            </c:strRef>
          </c:cat>
          <c:val>
            <c:numRef>
              <c:f>'Low Hypothesis'!$E$5:$I$5</c:f>
              <c:numCache>
                <c:formatCode>_-* #\ ##0\ "€"_-;\-* #\ ##0\ "€"_-;_-* "-"??\ "€"_-;_-@_-</c:formatCode>
                <c:ptCount val="5"/>
                <c:pt idx="0">
                  <c:v>508373.33333333337</c:v>
                </c:pt>
                <c:pt idx="1">
                  <c:v>822652.00000000012</c:v>
                </c:pt>
                <c:pt idx="2">
                  <c:v>1272506.7800000003</c:v>
                </c:pt>
                <c:pt idx="3">
                  <c:v>1622201.3400000003</c:v>
                </c:pt>
                <c:pt idx="4">
                  <c:v>2452583.9441760005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B4-43FA-9554-35D89E6F2B20}"/>
            </c:ext>
          </c:extLst>
        </c:ser>
        <c:ser>
          <c:idx val="1"/>
          <c:order val="1"/>
          <c:tx>
            <c:strRef>
              <c:f>'Low Hypothesis'!$C$31:$D$31</c:f>
              <c:strCache>
                <c:ptCount val="2"/>
                <c:pt idx="0">
                  <c:v> Net income </c:v>
                </c:pt>
              </c:strCache>
            </c:strRef>
          </c:tx>
          <c:spPr>
            <a:ln w="28575" cap="rnd">
              <a:solidFill>
                <a:srgbClr val="FB643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CAEAE"/>
              </a:solidFill>
              <a:ln w="9525">
                <a:solidFill>
                  <a:srgbClr val="FB6435"/>
                </a:solidFill>
              </a:ln>
              <a:effectLst/>
            </c:spPr>
          </c:marker>
          <c:cat>
            <c:strRef>
              <c:f>'High hypothesis'!$E$23:$I$23</c:f>
              <c:strCache>
                <c:ptCount val="5"/>
                <c:pt idx="0">
                  <c:v> Y1 </c:v>
                </c:pt>
                <c:pt idx="1">
                  <c:v> Y2 </c:v>
                </c:pt>
                <c:pt idx="2">
                  <c:v> Y3 </c:v>
                </c:pt>
                <c:pt idx="3">
                  <c:v> Y4 </c:v>
                </c:pt>
                <c:pt idx="4">
                  <c:v> Y5 </c:v>
                </c:pt>
              </c:strCache>
            </c:strRef>
          </c:cat>
          <c:val>
            <c:numRef>
              <c:f>'Low Hypothesis'!$E$31:$I$31</c:f>
              <c:numCache>
                <c:formatCode>_-* #\ ##0\ "€"_-;\-* #\ ##0\ "€"_-;_-* "-"??\ "€"_-;_-@_-</c:formatCode>
                <c:ptCount val="5"/>
                <c:pt idx="0">
                  <c:v>-222907.99999999997</c:v>
                </c:pt>
                <c:pt idx="1">
                  <c:v>26726.120634920746</c:v>
                </c:pt>
                <c:pt idx="2">
                  <c:v>191064.9846349209</c:v>
                </c:pt>
                <c:pt idx="3">
                  <c:v>225733.90654984149</c:v>
                </c:pt>
                <c:pt idx="4">
                  <c:v>571766.15147197503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B4-43FA-9554-35D89E6F2B20}"/>
            </c:ext>
          </c:extLst>
        </c:ser>
        <c:ser>
          <c:idx val="2"/>
          <c:order val="2"/>
          <c:tx>
            <c:strRef>
              <c:f>'Low Hypothesis'!$L$44</c:f>
              <c:strCache>
                <c:ptCount val="1"/>
                <c:pt idx="0">
                  <c:v>Cash end of year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'High hypothesis'!$E$23:$I$23</c:f>
              <c:strCache>
                <c:ptCount val="5"/>
                <c:pt idx="0">
                  <c:v> Y1 </c:v>
                </c:pt>
                <c:pt idx="1">
                  <c:v> Y2 </c:v>
                </c:pt>
                <c:pt idx="2">
                  <c:v> Y3 </c:v>
                </c:pt>
                <c:pt idx="3">
                  <c:v> Y4 </c:v>
                </c:pt>
                <c:pt idx="4">
                  <c:v> Y5 </c:v>
                </c:pt>
              </c:strCache>
            </c:strRef>
          </c:cat>
          <c:val>
            <c:numRef>
              <c:f>'Low Hypothesis'!$N$44:$R$44</c:f>
              <c:numCache>
                <c:formatCode>_-* #\ ##0\ "€"_-;\-* #\ ##0\ "€"_-;_-* "-"??\ "€"_-;_-@_-</c:formatCode>
                <c:ptCount val="5"/>
                <c:pt idx="0">
                  <c:v>75593.442391056335</c:v>
                </c:pt>
                <c:pt idx="1">
                  <c:v>13181.466879176071</c:v>
                </c:pt>
                <c:pt idx="2">
                  <c:v>41439.639216192598</c:v>
                </c:pt>
                <c:pt idx="3">
                  <c:v>51633.642559704087</c:v>
                </c:pt>
                <c:pt idx="4">
                  <c:v>170672.87280411582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B4-43FA-9554-35D89E6F2B20}"/>
            </c:ext>
          </c:extLst>
        </c:ser>
        <c:ser>
          <c:idx val="3"/>
          <c:order val="3"/>
          <c:tx>
            <c:strRef>
              <c:f>'Low Hypothesis'!$L$34</c:f>
              <c:strCache>
                <c:ptCount val="1"/>
                <c:pt idx="0">
                  <c:v>Dividends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'High hypothesis'!$E$23:$I$23</c:f>
              <c:strCache>
                <c:ptCount val="5"/>
                <c:pt idx="0">
                  <c:v> Y1 </c:v>
                </c:pt>
                <c:pt idx="1">
                  <c:v> Y2 </c:v>
                </c:pt>
                <c:pt idx="2">
                  <c:v> Y3 </c:v>
                </c:pt>
                <c:pt idx="3">
                  <c:v> Y4 </c:v>
                </c:pt>
                <c:pt idx="4">
                  <c:v> Y5 </c:v>
                </c:pt>
              </c:strCache>
            </c:strRef>
          </c:cat>
          <c:val>
            <c:numRef>
              <c:f>'Low Hypothesis'!$N$34:$R$34</c:f>
              <c:numCache>
                <c:formatCode>_-* #\ ##0\ "€"_-;\-* #\ ##0\ "€"_-;_-* "-"??\ "€"_-;_-@_-</c:formatCode>
                <c:ptCount val="5"/>
                <c:pt idx="0">
                  <c:v>0</c:v>
                </c:pt>
                <c:pt idx="1">
                  <c:v>10690.448253968299</c:v>
                </c:pt>
                <c:pt idx="2">
                  <c:v>95532.492317460448</c:v>
                </c:pt>
                <c:pt idx="3">
                  <c:v>135440.34392990489</c:v>
                </c:pt>
                <c:pt idx="4">
                  <c:v>400236.30603038252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4B4-43FA-9554-35D89E6F2B20}"/>
            </c:ext>
          </c:extLst>
        </c:ser>
        <c:ser>
          <c:idx val="4"/>
          <c:order val="4"/>
          <c:tx>
            <c:v>NOPAT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'High hypothesis'!$E$23:$I$23</c:f>
              <c:strCache>
                <c:ptCount val="5"/>
                <c:pt idx="0">
                  <c:v> Y1 </c:v>
                </c:pt>
                <c:pt idx="1">
                  <c:v> Y2 </c:v>
                </c:pt>
                <c:pt idx="2">
                  <c:v> Y3 </c:v>
                </c:pt>
                <c:pt idx="3">
                  <c:v> Y4 </c:v>
                </c:pt>
                <c:pt idx="4">
                  <c:v> Y5 </c:v>
                </c:pt>
              </c:strCache>
            </c:strRef>
          </c:cat>
          <c:val>
            <c:numRef>
              <c:f>'Low Hypothesis'!$E$33:$I$33</c:f>
              <c:numCache>
                <c:formatCode>_-* #\ ##0\ "€"_-;\-* #\ ##0\ "€"_-;_-* "-"??\ "€"_-;_-@_-</c:formatCode>
                <c:ptCount val="5"/>
                <c:pt idx="0">
                  <c:v>-145605.33333333334</c:v>
                </c:pt>
                <c:pt idx="1">
                  <c:v>29126.12063492075</c:v>
                </c:pt>
                <c:pt idx="2">
                  <c:v>192864.9846349209</c:v>
                </c:pt>
                <c:pt idx="3">
                  <c:v>226933.90654984151</c:v>
                </c:pt>
                <c:pt idx="4">
                  <c:v>572366.15147197503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4B4-43FA-9554-35D89E6F2B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1147616"/>
        <c:axId val="571146632"/>
      </c:lineChart>
      <c:catAx>
        <c:axId val="571147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baseline="0">
                    <a:effectLst/>
                  </a:rPr>
                  <a:t>years of activity</a:t>
                </a:r>
                <a:endParaRPr lang="fr-FR" sz="1000" b="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1146632"/>
        <c:crosses val="autoZero"/>
        <c:auto val="1"/>
        <c:lblAlgn val="ctr"/>
        <c:lblOffset val="100"/>
        <c:noMultiLvlLbl val="0"/>
      </c:catAx>
      <c:valAx>
        <c:axId val="571146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1147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487317387213394"/>
          <c:y val="0.21894633383593007"/>
          <c:w val="0.23386896449264591"/>
          <c:h val="0.600532752554866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Relationship Id="rId9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9.xml"/><Relationship Id="rId3" Type="http://schemas.openxmlformats.org/officeDocument/2006/relationships/chart" Target="../charts/chart14.xml"/><Relationship Id="rId7" Type="http://schemas.openxmlformats.org/officeDocument/2006/relationships/chart" Target="../charts/chart18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1036543</xdr:colOff>
      <xdr:row>107</xdr:row>
      <xdr:rowOff>146796</xdr:rowOff>
    </xdr:from>
    <xdr:to>
      <xdr:col>4</xdr:col>
      <xdr:colOff>1675278</xdr:colOff>
      <xdr:row>122</xdr:row>
      <xdr:rowOff>32496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D18A305-6F6E-462D-B7C6-69757838E6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610720</xdr:colOff>
      <xdr:row>107</xdr:row>
      <xdr:rowOff>158002</xdr:rowOff>
    </xdr:from>
    <xdr:to>
      <xdr:col>9</xdr:col>
      <xdr:colOff>700367</xdr:colOff>
      <xdr:row>122</xdr:row>
      <xdr:rowOff>43702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80CF73C9-E284-4188-9942-17D5FEA5AD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2005852</xdr:colOff>
      <xdr:row>115</xdr:row>
      <xdr:rowOff>11206</xdr:rowOff>
    </xdr:from>
    <xdr:to>
      <xdr:col>2</xdr:col>
      <xdr:colOff>638734</xdr:colOff>
      <xdr:row>117</xdr:row>
      <xdr:rowOff>33618</xdr:rowOff>
    </xdr:to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C5F9D80E-8D9C-4513-92D9-C84E17F7A2E8}"/>
            </a:ext>
          </a:extLst>
        </xdr:cNvPr>
        <xdr:cNvSpPr txBox="1"/>
      </xdr:nvSpPr>
      <xdr:spPr>
        <a:xfrm>
          <a:off x="2767852" y="22243677"/>
          <a:ext cx="1019735" cy="40341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>
              <a:latin typeface="Adobe Kaiti Std R" panose="02020400000000000000" pitchFamily="18" charset="-128"/>
              <a:ea typeface="Adobe Kaiti Std R" panose="02020400000000000000" pitchFamily="18" charset="-128"/>
            </a:rPr>
            <a:t>€ 508,141</a:t>
          </a:r>
        </a:p>
      </xdr:txBody>
    </xdr:sp>
    <xdr:clientData/>
  </xdr:twoCellAnchor>
  <xdr:twoCellAnchor>
    <xdr:from>
      <xdr:col>7</xdr:col>
      <xdr:colOff>533398</xdr:colOff>
      <xdr:row>115</xdr:row>
      <xdr:rowOff>29135</xdr:rowOff>
    </xdr:from>
    <xdr:to>
      <xdr:col>8</xdr:col>
      <xdr:colOff>522192</xdr:colOff>
      <xdr:row>117</xdr:row>
      <xdr:rowOff>51547</xdr:rowOff>
    </xdr:to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8C8C7577-43DF-42F3-BDAB-E1320D88D172}"/>
            </a:ext>
          </a:extLst>
        </xdr:cNvPr>
        <xdr:cNvSpPr txBox="1"/>
      </xdr:nvSpPr>
      <xdr:spPr>
        <a:xfrm>
          <a:off x="9217957" y="22261606"/>
          <a:ext cx="1019735" cy="40341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>
              <a:latin typeface="Adobe Kaiti Std R" panose="02020400000000000000" pitchFamily="18" charset="-128"/>
              <a:ea typeface="Adobe Kaiti Std R" panose="02020400000000000000" pitchFamily="18" charset="-128"/>
            </a:rPr>
            <a:t>€ 3,860,274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700368</xdr:colOff>
      <xdr:row>61</xdr:row>
      <xdr:rowOff>23535</xdr:rowOff>
    </xdr:from>
    <xdr:to>
      <xdr:col>4</xdr:col>
      <xdr:colOff>565897</xdr:colOff>
      <xdr:row>75</xdr:row>
      <xdr:rowOff>99735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95DEFAF-C888-464B-AE0E-B3F26C22E8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134470</xdr:colOff>
      <xdr:row>61</xdr:row>
      <xdr:rowOff>23532</xdr:rowOff>
    </xdr:from>
    <xdr:to>
      <xdr:col>11</xdr:col>
      <xdr:colOff>1030940</xdr:colOff>
      <xdr:row>75</xdr:row>
      <xdr:rowOff>99732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7B2320FB-275D-4821-841A-ADE11797DB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123263</xdr:colOff>
      <xdr:row>76</xdr:row>
      <xdr:rowOff>34738</xdr:rowOff>
    </xdr:from>
    <xdr:to>
      <xdr:col>11</xdr:col>
      <xdr:colOff>1019733</xdr:colOff>
      <xdr:row>90</xdr:row>
      <xdr:rowOff>110938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C43A4EDC-C1C3-48CF-A3E8-694FE79BF5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694765</xdr:colOff>
      <xdr:row>76</xdr:row>
      <xdr:rowOff>34737</xdr:rowOff>
    </xdr:from>
    <xdr:to>
      <xdr:col>4</xdr:col>
      <xdr:colOff>560294</xdr:colOff>
      <xdr:row>90</xdr:row>
      <xdr:rowOff>110937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51A0990C-54EE-4DC6-B92A-385449FFA8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1288470</xdr:colOff>
      <xdr:row>61</xdr:row>
      <xdr:rowOff>42428</xdr:rowOff>
    </xdr:from>
    <xdr:to>
      <xdr:col>23</xdr:col>
      <xdr:colOff>519546</xdr:colOff>
      <xdr:row>106</xdr:row>
      <xdr:rowOff>155864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69CF7428-1E0D-4988-B3BE-74097EA236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133670</xdr:colOff>
      <xdr:row>92</xdr:row>
      <xdr:rowOff>170809</xdr:rowOff>
    </xdr:from>
    <xdr:to>
      <xdr:col>11</xdr:col>
      <xdr:colOff>1014932</xdr:colOff>
      <xdr:row>107</xdr:row>
      <xdr:rowOff>56509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4966676F-AD49-48E5-B6E9-5F08AE714A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661148</xdr:colOff>
      <xdr:row>92</xdr:row>
      <xdr:rowOff>135590</xdr:rowOff>
    </xdr:from>
    <xdr:to>
      <xdr:col>4</xdr:col>
      <xdr:colOff>526677</xdr:colOff>
      <xdr:row>107</xdr:row>
      <xdr:rowOff>21290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A8E96EED-3161-4A74-B7F6-C8875DC52C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228600</xdr:colOff>
      <xdr:row>61</xdr:row>
      <xdr:rowOff>114300</xdr:rowOff>
    </xdr:from>
    <xdr:to>
      <xdr:col>38</xdr:col>
      <xdr:colOff>419100</xdr:colOff>
      <xdr:row>108</xdr:row>
      <xdr:rowOff>114300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0C1470E6-660C-4109-838E-5C1EC7B53F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420219</xdr:colOff>
      <xdr:row>117</xdr:row>
      <xdr:rowOff>23532</xdr:rowOff>
    </xdr:from>
    <xdr:to>
      <xdr:col>8</xdr:col>
      <xdr:colOff>519205</xdr:colOff>
      <xdr:row>139</xdr:row>
      <xdr:rowOff>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9C68CEF3-60CF-4D74-9FB2-9B55D85C20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700368</xdr:colOff>
      <xdr:row>61</xdr:row>
      <xdr:rowOff>23535</xdr:rowOff>
    </xdr:from>
    <xdr:to>
      <xdr:col>4</xdr:col>
      <xdr:colOff>565897</xdr:colOff>
      <xdr:row>75</xdr:row>
      <xdr:rowOff>99735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2070476D-CC6F-465D-89DA-F9DCF133A5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134470</xdr:colOff>
      <xdr:row>61</xdr:row>
      <xdr:rowOff>23532</xdr:rowOff>
    </xdr:from>
    <xdr:to>
      <xdr:col>11</xdr:col>
      <xdr:colOff>1030940</xdr:colOff>
      <xdr:row>75</xdr:row>
      <xdr:rowOff>99732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69DE8070-AB42-4691-B17F-94675E4217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123263</xdr:colOff>
      <xdr:row>76</xdr:row>
      <xdr:rowOff>34738</xdr:rowOff>
    </xdr:from>
    <xdr:to>
      <xdr:col>11</xdr:col>
      <xdr:colOff>1019733</xdr:colOff>
      <xdr:row>90</xdr:row>
      <xdr:rowOff>110938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E10FD182-C596-43FF-95D0-BE72B174B8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694765</xdr:colOff>
      <xdr:row>76</xdr:row>
      <xdr:rowOff>34737</xdr:rowOff>
    </xdr:from>
    <xdr:to>
      <xdr:col>4</xdr:col>
      <xdr:colOff>560294</xdr:colOff>
      <xdr:row>90</xdr:row>
      <xdr:rowOff>110937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60FBE5FA-D4BD-4DB8-92D0-30F9DFDE1F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1288470</xdr:colOff>
      <xdr:row>61</xdr:row>
      <xdr:rowOff>42428</xdr:rowOff>
    </xdr:from>
    <xdr:to>
      <xdr:col>23</xdr:col>
      <xdr:colOff>519546</xdr:colOff>
      <xdr:row>106</xdr:row>
      <xdr:rowOff>155864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4E4D24D8-5B52-4C81-8067-A5C1316E0F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133670</xdr:colOff>
      <xdr:row>92</xdr:row>
      <xdr:rowOff>170809</xdr:rowOff>
    </xdr:from>
    <xdr:to>
      <xdr:col>11</xdr:col>
      <xdr:colOff>1014932</xdr:colOff>
      <xdr:row>107</xdr:row>
      <xdr:rowOff>56509</xdr:rowOff>
    </xdr:to>
    <xdr:graphicFrame macro="">
      <xdr:nvGraphicFramePr>
        <xdr:cNvPr id="15" name="Graphique 14">
          <a:extLst>
            <a:ext uri="{FF2B5EF4-FFF2-40B4-BE49-F238E27FC236}">
              <a16:creationId xmlns:a16="http://schemas.microsoft.com/office/drawing/2014/main" id="{EC6DD01D-6B82-47C7-83E8-6568CA7DAE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661148</xdr:colOff>
      <xdr:row>92</xdr:row>
      <xdr:rowOff>135590</xdr:rowOff>
    </xdr:from>
    <xdr:to>
      <xdr:col>4</xdr:col>
      <xdr:colOff>526677</xdr:colOff>
      <xdr:row>107</xdr:row>
      <xdr:rowOff>21290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4581A231-78CF-4258-B22F-14B0F342C4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228600</xdr:colOff>
      <xdr:row>61</xdr:row>
      <xdr:rowOff>114300</xdr:rowOff>
    </xdr:from>
    <xdr:to>
      <xdr:col>38</xdr:col>
      <xdr:colOff>419100</xdr:colOff>
      <xdr:row>108</xdr:row>
      <xdr:rowOff>114300</xdr:rowOff>
    </xdr:to>
    <xdr:graphicFrame macro="">
      <xdr:nvGraphicFramePr>
        <xdr:cNvPr id="17" name="Graphique 16">
          <a:extLst>
            <a:ext uri="{FF2B5EF4-FFF2-40B4-BE49-F238E27FC236}">
              <a16:creationId xmlns:a16="http://schemas.microsoft.com/office/drawing/2014/main" id="{3A6324F3-6665-420B-938C-89BAE2EC99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64B5B-0B4B-4F16-AC32-C92B16008133}">
  <sheetPr codeName="Feuil1">
    <tabColor rgb="FFE53A05"/>
  </sheetPr>
  <dimension ref="A1:N104"/>
  <sheetViews>
    <sheetView zoomScale="85" zoomScaleNormal="85" workbookViewId="0">
      <pane ySplit="1" topLeftCell="A20" activePane="bottomLeft" state="frozen"/>
      <selection pane="bottomLeft" activeCell="C102" sqref="C102"/>
    </sheetView>
  </sheetViews>
  <sheetFormatPr baseColWidth="10" defaultRowHeight="15" x14ac:dyDescent="0.25"/>
  <cols>
    <col min="2" max="2" width="35.7109375" bestFit="1" customWidth="1"/>
    <col min="3" max="4" width="11.5703125" bestFit="1" customWidth="1"/>
    <col min="5" max="5" width="30.85546875" bestFit="1" customWidth="1"/>
    <col min="6" max="6" width="13" bestFit="1" customWidth="1"/>
    <col min="7" max="7" width="16" bestFit="1" customWidth="1"/>
    <col min="8" max="8" width="15.42578125" bestFit="1" customWidth="1"/>
    <col min="9" max="9" width="35.7109375" bestFit="1" customWidth="1"/>
    <col min="10" max="10" width="14.85546875" bestFit="1" customWidth="1"/>
    <col min="11" max="14" width="11.5703125" bestFit="1" customWidth="1"/>
    <col min="16" max="16" width="30.85546875" bestFit="1" customWidth="1"/>
  </cols>
  <sheetData>
    <row r="1" spans="1:14" ht="33.75" customHeight="1" thickBot="1" x14ac:dyDescent="0.3">
      <c r="A1" s="424"/>
      <c r="B1" s="489" t="s">
        <v>89</v>
      </c>
      <c r="C1" s="490"/>
      <c r="D1" s="490"/>
      <c r="E1" s="490"/>
      <c r="F1" s="490"/>
      <c r="G1" s="491"/>
      <c r="H1" s="425"/>
      <c r="I1" s="489" t="s">
        <v>163</v>
      </c>
      <c r="J1" s="490"/>
      <c r="K1" s="490"/>
      <c r="L1" s="490"/>
      <c r="M1" s="490"/>
      <c r="N1" s="491"/>
    </row>
    <row r="2" spans="1:14" ht="15.75" thickBot="1" x14ac:dyDescent="0.3">
      <c r="B2" s="146" t="s">
        <v>0</v>
      </c>
      <c r="C2" s="147" t="s">
        <v>1</v>
      </c>
      <c r="D2" s="147" t="s">
        <v>2</v>
      </c>
      <c r="E2" s="147" t="s">
        <v>3</v>
      </c>
      <c r="F2" s="147" t="s">
        <v>4</v>
      </c>
      <c r="G2" s="148" t="s">
        <v>5</v>
      </c>
      <c r="I2" s="146" t="s">
        <v>0</v>
      </c>
      <c r="J2" s="147" t="s">
        <v>1</v>
      </c>
      <c r="K2" s="147" t="s">
        <v>2</v>
      </c>
      <c r="L2" s="147" t="s">
        <v>3</v>
      </c>
      <c r="M2" s="147" t="s">
        <v>4</v>
      </c>
      <c r="N2" s="148" t="s">
        <v>5</v>
      </c>
    </row>
    <row r="3" spans="1:14" x14ac:dyDescent="0.25">
      <c r="B3" s="149" t="s">
        <v>6</v>
      </c>
      <c r="C3" s="150">
        <f>SUM(C4:C7)</f>
        <v>100000</v>
      </c>
      <c r="D3" s="150">
        <f>SUM(D4:D7)</f>
        <v>50000</v>
      </c>
      <c r="E3" s="150">
        <f>SUM(E4:E7)</f>
        <v>60000</v>
      </c>
      <c r="F3" s="150">
        <f>SUM(F4:F7)</f>
        <v>40000</v>
      </c>
      <c r="G3" s="151">
        <f>SUM(G4:G7)</f>
        <v>50000</v>
      </c>
      <c r="I3" s="149" t="s">
        <v>6</v>
      </c>
      <c r="J3" s="150">
        <f>SUM(J4:J7)</f>
        <v>100000</v>
      </c>
      <c r="K3" s="150">
        <f>SUM(K4:K7)</f>
        <v>50000</v>
      </c>
      <c r="L3" s="150">
        <f>SUM(L4:L7)</f>
        <v>60000</v>
      </c>
      <c r="M3" s="150">
        <f>SUM(M4:M7)</f>
        <v>40000</v>
      </c>
      <c r="N3" s="151">
        <f>SUM(N4:N7)</f>
        <v>40000</v>
      </c>
    </row>
    <row r="4" spans="1:14" x14ac:dyDescent="0.25">
      <c r="B4" s="1" t="s">
        <v>7</v>
      </c>
      <c r="C4" s="2">
        <v>30000</v>
      </c>
      <c r="D4" s="2">
        <v>20000</v>
      </c>
      <c r="E4" s="2">
        <v>20000</v>
      </c>
      <c r="F4" s="2">
        <v>0</v>
      </c>
      <c r="G4" s="3">
        <v>0</v>
      </c>
      <c r="I4" s="1" t="s">
        <v>7</v>
      </c>
      <c r="J4" s="2">
        <v>30000</v>
      </c>
      <c r="K4" s="2">
        <v>20000</v>
      </c>
      <c r="L4" s="2">
        <v>20000</v>
      </c>
      <c r="M4" s="2">
        <v>0</v>
      </c>
      <c r="N4" s="3">
        <v>0</v>
      </c>
    </row>
    <row r="5" spans="1:14" x14ac:dyDescent="0.25">
      <c r="B5" s="1" t="s">
        <v>8</v>
      </c>
      <c r="C5" s="2">
        <v>20000</v>
      </c>
      <c r="D5" s="2">
        <v>20000</v>
      </c>
      <c r="E5" s="2">
        <v>30000</v>
      </c>
      <c r="F5" s="2">
        <v>30000</v>
      </c>
      <c r="G5" s="3">
        <v>40000</v>
      </c>
      <c r="I5" s="1" t="s">
        <v>8</v>
      </c>
      <c r="J5" s="2">
        <v>20000</v>
      </c>
      <c r="K5" s="2">
        <v>20000</v>
      </c>
      <c r="L5" s="2">
        <v>30000</v>
      </c>
      <c r="M5" s="2">
        <v>30000</v>
      </c>
      <c r="N5" s="3">
        <v>30000</v>
      </c>
    </row>
    <row r="6" spans="1:14" x14ac:dyDescent="0.25">
      <c r="B6" s="1" t="s">
        <v>9</v>
      </c>
      <c r="C6" s="2">
        <v>30000</v>
      </c>
      <c r="D6" s="2">
        <v>0</v>
      </c>
      <c r="E6" s="2">
        <v>0</v>
      </c>
      <c r="F6" s="2">
        <v>0</v>
      </c>
      <c r="G6" s="3">
        <v>0</v>
      </c>
      <c r="I6" s="1" t="s">
        <v>9</v>
      </c>
      <c r="J6" s="2">
        <v>30000</v>
      </c>
      <c r="K6" s="2">
        <v>0</v>
      </c>
      <c r="L6" s="2">
        <v>0</v>
      </c>
      <c r="M6" s="2">
        <v>0</v>
      </c>
      <c r="N6" s="3">
        <v>0</v>
      </c>
    </row>
    <row r="7" spans="1:14" x14ac:dyDescent="0.25">
      <c r="B7" s="1" t="s">
        <v>10</v>
      </c>
      <c r="C7" s="2">
        <v>20000</v>
      </c>
      <c r="D7" s="2">
        <v>10000</v>
      </c>
      <c r="E7" s="2">
        <v>10000</v>
      </c>
      <c r="F7" s="2">
        <v>10000</v>
      </c>
      <c r="G7" s="3">
        <v>10000</v>
      </c>
      <c r="I7" s="1" t="s">
        <v>10</v>
      </c>
      <c r="J7" s="2">
        <v>20000</v>
      </c>
      <c r="K7" s="2">
        <v>10000</v>
      </c>
      <c r="L7" s="2">
        <v>10000</v>
      </c>
      <c r="M7" s="2">
        <v>10000</v>
      </c>
      <c r="N7" s="3">
        <v>10000</v>
      </c>
    </row>
    <row r="8" spans="1:14" x14ac:dyDescent="0.25">
      <c r="B8" s="4"/>
      <c r="C8" s="5"/>
      <c r="D8" s="5"/>
      <c r="E8" s="5"/>
      <c r="F8" s="5"/>
      <c r="G8" s="6"/>
      <c r="I8" s="4"/>
      <c r="J8" s="5"/>
      <c r="K8" s="5"/>
      <c r="L8" s="5"/>
      <c r="M8" s="5"/>
      <c r="N8" s="6"/>
    </row>
    <row r="9" spans="1:14" x14ac:dyDescent="0.25">
      <c r="B9" s="152" t="s">
        <v>11</v>
      </c>
      <c r="C9" s="153">
        <f>SUM(C10:C12)</f>
        <v>23640</v>
      </c>
      <c r="D9" s="153">
        <f t="shared" ref="D9:G9" si="0">SUM(D10:D12)</f>
        <v>23944.799999999999</v>
      </c>
      <c r="E9" s="153">
        <f t="shared" si="0"/>
        <v>24255.696</v>
      </c>
      <c r="F9" s="153">
        <f t="shared" si="0"/>
        <v>24572.809920000003</v>
      </c>
      <c r="G9" s="154">
        <f t="shared" si="0"/>
        <v>32170.210233600003</v>
      </c>
      <c r="I9" s="152" t="s">
        <v>11</v>
      </c>
      <c r="J9" s="153">
        <f>SUM(J10:J12)</f>
        <v>23640</v>
      </c>
      <c r="K9" s="153">
        <f t="shared" ref="K9:N9" si="1">SUM(K10:K12)</f>
        <v>23944.799999999999</v>
      </c>
      <c r="L9" s="153">
        <f t="shared" si="1"/>
        <v>24255.696</v>
      </c>
      <c r="M9" s="153">
        <f t="shared" si="1"/>
        <v>24572.809920000003</v>
      </c>
      <c r="N9" s="154">
        <f t="shared" si="1"/>
        <v>32170.210233600003</v>
      </c>
    </row>
    <row r="10" spans="1:14" x14ac:dyDescent="0.25">
      <c r="B10" s="1" t="s">
        <v>203</v>
      </c>
      <c r="C10" s="2">
        <f>12*710</f>
        <v>8520</v>
      </c>
      <c r="D10" s="2">
        <f>C10*1.02</f>
        <v>8690.4</v>
      </c>
      <c r="E10" s="2">
        <f t="shared" ref="E10:G11" si="2">D10*1.02</f>
        <v>8864.2080000000005</v>
      </c>
      <c r="F10" s="2">
        <f t="shared" si="2"/>
        <v>9041.4921600000016</v>
      </c>
      <c r="G10" s="3">
        <f t="shared" si="2"/>
        <v>9222.3220032000027</v>
      </c>
      <c r="I10" s="1" t="s">
        <v>203</v>
      </c>
      <c r="J10" s="2">
        <f>12*710</f>
        <v>8520</v>
      </c>
      <c r="K10" s="2">
        <f>J10*1.02</f>
        <v>8690.4</v>
      </c>
      <c r="L10" s="2">
        <f t="shared" ref="L10:L11" si="3">K10*1.02</f>
        <v>8864.2080000000005</v>
      </c>
      <c r="M10" s="2">
        <f t="shared" ref="M10:M11" si="4">L10*1.02</f>
        <v>9041.4921600000016</v>
      </c>
      <c r="N10" s="3">
        <f t="shared" ref="N10" si="5">M10*1.02</f>
        <v>9222.3220032000027</v>
      </c>
    </row>
    <row r="11" spans="1:14" x14ac:dyDescent="0.25">
      <c r="B11" s="1" t="s">
        <v>204</v>
      </c>
      <c r="C11" s="2">
        <f>12*560</f>
        <v>6720</v>
      </c>
      <c r="D11" s="2">
        <f>C11*1.02</f>
        <v>6854.4000000000005</v>
      </c>
      <c r="E11" s="2">
        <f t="shared" si="2"/>
        <v>6991.4880000000003</v>
      </c>
      <c r="F11" s="2">
        <f t="shared" si="2"/>
        <v>7131.3177600000008</v>
      </c>
      <c r="G11" s="3">
        <f>F11*1.02*2</f>
        <v>14547.888230400002</v>
      </c>
      <c r="I11" s="1" t="s">
        <v>204</v>
      </c>
      <c r="J11" s="2">
        <f>12*560</f>
        <v>6720</v>
      </c>
      <c r="K11" s="2">
        <f>J11*1.02</f>
        <v>6854.4000000000005</v>
      </c>
      <c r="L11" s="2">
        <f t="shared" si="3"/>
        <v>6991.4880000000003</v>
      </c>
      <c r="M11" s="2">
        <f t="shared" si="4"/>
        <v>7131.3177600000008</v>
      </c>
      <c r="N11" s="3">
        <f>M11*1.02*2</f>
        <v>14547.888230400002</v>
      </c>
    </row>
    <row r="12" spans="1:14" x14ac:dyDescent="0.25">
      <c r="B12" s="1" t="s">
        <v>202</v>
      </c>
      <c r="C12" s="2">
        <f>8400</f>
        <v>8400</v>
      </c>
      <c r="D12" s="2">
        <f>C12</f>
        <v>8400</v>
      </c>
      <c r="E12" s="2">
        <f t="shared" ref="E12:G12" si="6">D12</f>
        <v>8400</v>
      </c>
      <c r="F12" s="2">
        <f t="shared" si="6"/>
        <v>8400</v>
      </c>
      <c r="G12" s="3">
        <f t="shared" si="6"/>
        <v>8400</v>
      </c>
      <c r="I12" s="1" t="s">
        <v>202</v>
      </c>
      <c r="J12" s="2">
        <f>8400</f>
        <v>8400</v>
      </c>
      <c r="K12" s="2">
        <f>8400</f>
        <v>8400</v>
      </c>
      <c r="L12" s="2">
        <f>8400</f>
        <v>8400</v>
      </c>
      <c r="M12" s="2">
        <f>8400</f>
        <v>8400</v>
      </c>
      <c r="N12" s="3">
        <f>8400</f>
        <v>8400</v>
      </c>
    </row>
    <row r="13" spans="1:14" x14ac:dyDescent="0.25">
      <c r="B13" s="4"/>
      <c r="C13" s="5"/>
      <c r="D13" s="5"/>
      <c r="E13" s="5"/>
      <c r="F13" s="5"/>
      <c r="G13" s="6"/>
      <c r="I13" s="4"/>
      <c r="J13" s="5"/>
      <c r="K13" s="5"/>
      <c r="L13" s="5"/>
      <c r="M13" s="5"/>
      <c r="N13" s="6"/>
    </row>
    <row r="14" spans="1:14" x14ac:dyDescent="0.25">
      <c r="B14" s="152" t="s">
        <v>28</v>
      </c>
      <c r="C14" s="153">
        <f>SUM(C15:C17)</f>
        <v>297570</v>
      </c>
      <c r="D14" s="153">
        <f t="shared" ref="D14:G14" si="7">SUM(D15:D17)</f>
        <v>403767</v>
      </c>
      <c r="E14" s="153">
        <f t="shared" si="7"/>
        <v>514092.85199999996</v>
      </c>
      <c r="F14" s="153">
        <f t="shared" si="7"/>
        <v>834364.17792000005</v>
      </c>
      <c r="G14" s="154">
        <f t="shared" si="7"/>
        <v>1060859.2870512002</v>
      </c>
      <c r="I14" s="481" t="s">
        <v>28</v>
      </c>
      <c r="J14" s="482">
        <f>SUM(J15:J17)</f>
        <v>297570</v>
      </c>
      <c r="K14" s="482">
        <f t="shared" ref="K14:N14" si="8">SUM(K15:K17)</f>
        <v>333970</v>
      </c>
      <c r="L14" s="482">
        <f t="shared" si="8"/>
        <v>400481.89999999997</v>
      </c>
      <c r="M14" s="482">
        <f t="shared" si="8"/>
        <v>666023.35800000001</v>
      </c>
      <c r="N14" s="483">
        <f t="shared" si="8"/>
        <v>812145.13561999996</v>
      </c>
    </row>
    <row r="15" spans="1:14" x14ac:dyDescent="0.25">
      <c r="B15" s="1" t="s">
        <v>25</v>
      </c>
      <c r="C15" s="2">
        <f>SUMPRODUCT(C53:C57,C44:C48)</f>
        <v>163500</v>
      </c>
      <c r="D15" s="2">
        <f>SUMPRODUCT(D53:D57,D44:D48)</f>
        <v>221850</v>
      </c>
      <c r="E15" s="2">
        <f>SUMPRODUCT(E53:E57,E44:E48)</f>
        <v>282468.59999999998</v>
      </c>
      <c r="F15" s="2">
        <f>SUMPRODUCT(F53:F57,F44:F48)</f>
        <v>458441.85599999997</v>
      </c>
      <c r="G15" s="3">
        <f>SUMPRODUCT(G53:G57,G44:G48)</f>
        <v>582889.71816000005</v>
      </c>
      <c r="I15" s="1" t="s">
        <v>25</v>
      </c>
      <c r="J15" s="2">
        <f>SUMPRODUCT(J53:J57,J44:J48)</f>
        <v>163500</v>
      </c>
      <c r="K15" s="2">
        <f t="shared" ref="K15:N15" si="9">SUMPRODUCT(K53:K57,K44:K48)</f>
        <v>183500</v>
      </c>
      <c r="L15" s="2">
        <f t="shared" si="9"/>
        <v>220045</v>
      </c>
      <c r="M15" s="2">
        <f t="shared" si="9"/>
        <v>365946.89999999997</v>
      </c>
      <c r="N15" s="3">
        <f t="shared" si="9"/>
        <v>446233.59099999996</v>
      </c>
    </row>
    <row r="16" spans="1:14" x14ac:dyDescent="0.25">
      <c r="B16" s="1" t="s">
        <v>26</v>
      </c>
      <c r="C16" s="2">
        <f>C15*0.28</f>
        <v>45780.000000000007</v>
      </c>
      <c r="D16" s="2">
        <f t="shared" ref="D16:G16" si="10">D15*0.28</f>
        <v>62118.000000000007</v>
      </c>
      <c r="E16" s="2">
        <f t="shared" si="10"/>
        <v>79091.207999999999</v>
      </c>
      <c r="F16" s="2">
        <f t="shared" si="10"/>
        <v>128363.71968000001</v>
      </c>
      <c r="G16" s="3">
        <f t="shared" si="10"/>
        <v>163209.12108480002</v>
      </c>
      <c r="I16" s="1" t="s">
        <v>26</v>
      </c>
      <c r="J16" s="2">
        <f>J15*0.28</f>
        <v>45780.000000000007</v>
      </c>
      <c r="K16" s="2">
        <f t="shared" ref="K16:N16" si="11">K15*0.28</f>
        <v>51380.000000000007</v>
      </c>
      <c r="L16" s="2">
        <f t="shared" si="11"/>
        <v>61612.600000000006</v>
      </c>
      <c r="M16" s="2">
        <f t="shared" si="11"/>
        <v>102465.132</v>
      </c>
      <c r="N16" s="3">
        <f t="shared" si="11"/>
        <v>124945.40548</v>
      </c>
    </row>
    <row r="17" spans="2:14" x14ac:dyDescent="0.25">
      <c r="B17" s="1" t="s">
        <v>27</v>
      </c>
      <c r="C17" s="2">
        <f>C15*0.54</f>
        <v>88290</v>
      </c>
      <c r="D17" s="2">
        <f t="shared" ref="D17:G17" si="12">D15*0.54</f>
        <v>119799.00000000001</v>
      </c>
      <c r="E17" s="2">
        <f t="shared" si="12"/>
        <v>152533.04399999999</v>
      </c>
      <c r="F17" s="2">
        <f t="shared" si="12"/>
        <v>247558.60224000001</v>
      </c>
      <c r="G17" s="3">
        <f t="shared" si="12"/>
        <v>314760.44780640007</v>
      </c>
      <c r="I17" s="1" t="s">
        <v>27</v>
      </c>
      <c r="J17" s="2">
        <f>J15*0.54</f>
        <v>88290</v>
      </c>
      <c r="K17" s="2">
        <f t="shared" ref="K17:N17" si="13">K15*0.54</f>
        <v>99090</v>
      </c>
      <c r="L17" s="2">
        <f t="shared" si="13"/>
        <v>118824.3</v>
      </c>
      <c r="M17" s="2">
        <f t="shared" si="13"/>
        <v>197611.326</v>
      </c>
      <c r="N17" s="3">
        <f t="shared" si="13"/>
        <v>240966.13913999998</v>
      </c>
    </row>
    <row r="18" spans="2:14" x14ac:dyDescent="0.25">
      <c r="B18" s="4"/>
      <c r="C18" s="5"/>
      <c r="D18" s="5"/>
      <c r="E18" s="5"/>
      <c r="F18" s="5"/>
      <c r="G18" s="6"/>
      <c r="I18" s="4"/>
      <c r="J18" s="5"/>
      <c r="K18" s="5"/>
      <c r="L18" s="5"/>
      <c r="M18" s="5"/>
      <c r="N18" s="6"/>
    </row>
    <row r="19" spans="2:14" x14ac:dyDescent="0.25">
      <c r="B19" s="152" t="s">
        <v>12</v>
      </c>
      <c r="C19" s="153">
        <v>50000</v>
      </c>
      <c r="D19" s="153">
        <v>0</v>
      </c>
      <c r="E19" s="153">
        <v>0</v>
      </c>
      <c r="F19" s="153">
        <v>0</v>
      </c>
      <c r="G19" s="154">
        <v>0</v>
      </c>
      <c r="I19" s="152" t="s">
        <v>12</v>
      </c>
      <c r="J19" s="153">
        <v>50000</v>
      </c>
      <c r="K19" s="153">
        <v>0</v>
      </c>
      <c r="L19" s="153">
        <v>0</v>
      </c>
      <c r="M19" s="153">
        <v>0</v>
      </c>
      <c r="N19" s="154">
        <v>0</v>
      </c>
    </row>
    <row r="20" spans="2:14" x14ac:dyDescent="0.25">
      <c r="B20" s="4"/>
      <c r="C20" s="5"/>
      <c r="D20" s="5"/>
      <c r="E20" s="5"/>
      <c r="F20" s="5"/>
      <c r="G20" s="6"/>
      <c r="I20" s="4"/>
      <c r="J20" s="5"/>
      <c r="K20" s="5"/>
      <c r="L20" s="5"/>
      <c r="M20" s="5"/>
      <c r="N20" s="6"/>
    </row>
    <row r="21" spans="2:14" x14ac:dyDescent="0.25">
      <c r="B21" s="152" t="s">
        <v>29</v>
      </c>
      <c r="C21" s="153">
        <f>C22+C23</f>
        <v>6061.333333333333</v>
      </c>
      <c r="D21" s="153">
        <f t="shared" ref="D21:G21" si="14">D22+D23</f>
        <v>2704.6666666666665</v>
      </c>
      <c r="E21" s="153">
        <f t="shared" si="14"/>
        <v>1984.6666666666665</v>
      </c>
      <c r="F21" s="153">
        <f t="shared" si="14"/>
        <v>3769</v>
      </c>
      <c r="G21" s="154">
        <f t="shared" si="14"/>
        <v>10384.666666666666</v>
      </c>
      <c r="I21" s="152" t="s">
        <v>29</v>
      </c>
      <c r="J21" s="153">
        <f>J22+J23</f>
        <v>6061.333333333333</v>
      </c>
      <c r="K21" s="153">
        <f t="shared" ref="K21:N21" si="15">K22+K23</f>
        <v>1136.3333333333333</v>
      </c>
      <c r="L21" s="153">
        <f t="shared" si="15"/>
        <v>1554.3333333333333</v>
      </c>
      <c r="M21" s="153">
        <f t="shared" si="15"/>
        <v>3026.666666666667</v>
      </c>
      <c r="N21" s="154">
        <f t="shared" si="15"/>
        <v>6219.666666666667</v>
      </c>
    </row>
    <row r="22" spans="2:14" x14ac:dyDescent="0.25">
      <c r="B22" s="175" t="s">
        <v>96</v>
      </c>
      <c r="C22" s="5">
        <f>SUMPRODUCT($F62:$F68,C73:C79)</f>
        <v>4925</v>
      </c>
      <c r="D22" s="5">
        <f>SUMPRODUCT($F62:$F68,D73:D79)</f>
        <v>1300</v>
      </c>
      <c r="E22" s="5">
        <f>SUMPRODUCT($F62:$F68,E73:E79)</f>
        <v>550</v>
      </c>
      <c r="F22" s="5">
        <f>SUMPRODUCT($F62:$F68,F73:F79)</f>
        <v>2725</v>
      </c>
      <c r="G22" s="6">
        <f>SUMPRODUCT($F62:$F68,G73:G79)</f>
        <v>7675</v>
      </c>
      <c r="I22" s="175" t="s">
        <v>96</v>
      </c>
      <c r="J22" s="5">
        <f>SUMPRODUCT($F62:$F68,J73:J79)</f>
        <v>4925</v>
      </c>
      <c r="K22" s="5">
        <f t="shared" ref="K22:N22" si="16">SUMPRODUCT($F62:$F68,K73:K79)</f>
        <v>0</v>
      </c>
      <c r="L22" s="5">
        <f t="shared" si="16"/>
        <v>400</v>
      </c>
      <c r="M22" s="5">
        <f t="shared" si="16"/>
        <v>2350</v>
      </c>
      <c r="N22" s="6">
        <f t="shared" si="16"/>
        <v>4425</v>
      </c>
    </row>
    <row r="23" spans="2:14" x14ac:dyDescent="0.25">
      <c r="B23" s="175" t="s">
        <v>93</v>
      </c>
      <c r="C23" s="5">
        <f>SUMPRODUCT($I62:$I68,C73:C79)</f>
        <v>1136.3333333333333</v>
      </c>
      <c r="D23" s="5">
        <f>SUMPRODUCT($I62:$I68,D73:D79)+SUMPRODUCT($I62:$I68,C73:C79)</f>
        <v>1404.6666666666665</v>
      </c>
      <c r="E23" s="5">
        <f>SUMPRODUCT($I62:$I68,D73:D79)+SUMPRODUCT($I62:$I68,E73:E79)+SUMPRODUCT($I62:$I68,C73:C79)</f>
        <v>1434.6666666666665</v>
      </c>
      <c r="F23" s="5">
        <f>SUMPRODUCT($I62:$I68,D73:D79)+SUMPRODUCT($I62:$I68,E73:E79)+SUMPRODUCT($I62:$I68,F73:F79)+C73*I62+C77*I66+C78*I67</f>
        <v>1044</v>
      </c>
      <c r="G23" s="6">
        <f>SUMPRODUCT($I62:$I68,G73:G79)+SUMPRODUCT($I62:$I68,E73:E79)+SUMPRODUCT($I62:$I68,F73:F79)+C73*I62+C77*I66+C78*I67+D73*I62+D77*I66+D78*I67</f>
        <v>2709.6666666666665</v>
      </c>
      <c r="I23" s="175" t="s">
        <v>93</v>
      </c>
      <c r="J23" s="5">
        <f>SUMPRODUCT($J73:$J79,I62:I68)</f>
        <v>1136.3333333333333</v>
      </c>
      <c r="K23" s="5">
        <f>SUMPRODUCT($I62:$I68,J73:J79)+SUMPRODUCT($I62:$I68,K73:K79)</f>
        <v>1136.3333333333333</v>
      </c>
      <c r="L23" s="5">
        <f>SUMPRODUCT($I62:$I68,J73:J79)+SUMPRODUCT($I62:$I68,K73:K79)+SUMPRODUCT($I62:$I68,L73:L79)</f>
        <v>1154.3333333333333</v>
      </c>
      <c r="M23" s="5">
        <f>SUMPRODUCT($I62:$I68,K73:K79)+SUMPRODUCT($I62:$I68,L73:L79)+SUMPRODUCT($I62:$I68,M73:M79)+I62*J73+I66*J77+I67*J78</f>
        <v>676.66666666666674</v>
      </c>
      <c r="N23" s="6">
        <f>SUMPRODUCT($I62:$I68,L73:L79)+SUMPRODUCT($I62:$I68,M73:M79)+SUMPRODUCT($I62:$I68,N73:N79)+I62*J73+I66*J77+I67*J78+I62*K73+I66*K77+I67*K78</f>
        <v>1794.6666666666667</v>
      </c>
    </row>
    <row r="24" spans="2:14" x14ac:dyDescent="0.25">
      <c r="B24" s="4"/>
      <c r="C24" s="5"/>
      <c r="D24" s="5"/>
      <c r="E24" s="5"/>
      <c r="F24" s="5"/>
      <c r="G24" s="6"/>
      <c r="I24" s="4"/>
      <c r="J24" s="5"/>
      <c r="K24" s="5"/>
      <c r="L24" s="5"/>
      <c r="M24" s="5"/>
      <c r="N24" s="6"/>
    </row>
    <row r="25" spans="2:14" x14ac:dyDescent="0.25">
      <c r="B25" s="152" t="s">
        <v>30</v>
      </c>
      <c r="C25" s="153">
        <f>C26+C27</f>
        <v>0</v>
      </c>
      <c r="D25" s="153">
        <f t="shared" ref="D25:G25" si="17">D26+D27</f>
        <v>22714.285714285714</v>
      </c>
      <c r="E25" s="153">
        <f t="shared" si="17"/>
        <v>2714.2857142857142</v>
      </c>
      <c r="F25" s="153">
        <f t="shared" si="17"/>
        <v>25428.571428571428</v>
      </c>
      <c r="G25" s="154">
        <f t="shared" si="17"/>
        <v>51000</v>
      </c>
      <c r="I25" s="152" t="s">
        <v>30</v>
      </c>
      <c r="J25" s="153">
        <f>J26+J27</f>
        <v>0</v>
      </c>
      <c r="K25" s="153">
        <f t="shared" ref="K25:N25" si="18">K26+K27</f>
        <v>22714.285714285714</v>
      </c>
      <c r="L25" s="153">
        <f t="shared" si="18"/>
        <v>2714.2857142857142</v>
      </c>
      <c r="M25" s="153">
        <f t="shared" si="18"/>
        <v>25428.571428571428</v>
      </c>
      <c r="N25" s="154">
        <f t="shared" si="18"/>
        <v>5428.5714285714284</v>
      </c>
    </row>
    <row r="26" spans="2:14" x14ac:dyDescent="0.25">
      <c r="B26" s="175" t="s">
        <v>97</v>
      </c>
      <c r="C26" s="5">
        <v>0</v>
      </c>
      <c r="D26" s="5">
        <v>20000</v>
      </c>
      <c r="E26" s="5">
        <v>0</v>
      </c>
      <c r="F26" s="5">
        <v>20000</v>
      </c>
      <c r="G26" s="6">
        <v>40000</v>
      </c>
      <c r="I26" s="175" t="s">
        <v>97</v>
      </c>
      <c r="J26" s="5">
        <v>0</v>
      </c>
      <c r="K26" s="5">
        <v>20000</v>
      </c>
      <c r="L26" s="5">
        <v>0</v>
      </c>
      <c r="M26" s="5">
        <v>20000</v>
      </c>
      <c r="N26" s="6">
        <v>0</v>
      </c>
    </row>
    <row r="27" spans="2:14" x14ac:dyDescent="0.25">
      <c r="B27" s="175" t="s">
        <v>161</v>
      </c>
      <c r="C27" s="5">
        <v>0</v>
      </c>
      <c r="D27" s="5">
        <f>(D26-1000)/7</f>
        <v>2714.2857142857142</v>
      </c>
      <c r="E27" s="5">
        <f>(D26-1000)/7</f>
        <v>2714.2857142857142</v>
      </c>
      <c r="F27" s="5">
        <f>(D26-1000)/7+(F26-1000)/7</f>
        <v>5428.5714285714284</v>
      </c>
      <c r="G27" s="6">
        <f>(D26-1000)/7+(F26-1000)/7+(G26-1000)/7</f>
        <v>11000</v>
      </c>
      <c r="I27" s="175" t="s">
        <v>161</v>
      </c>
      <c r="J27" s="5">
        <v>0</v>
      </c>
      <c r="K27" s="5">
        <f>(K26-1000)/7</f>
        <v>2714.2857142857142</v>
      </c>
      <c r="L27" s="5">
        <f>(K26-1000)/7</f>
        <v>2714.2857142857142</v>
      </c>
      <c r="M27" s="5">
        <f>(K26-1000)/7+(M26-1000)/7</f>
        <v>5428.5714285714284</v>
      </c>
      <c r="N27" s="6">
        <f>(K26-1000)/7+(M26-1000)/7</f>
        <v>5428.5714285714284</v>
      </c>
    </row>
    <row r="28" spans="2:14" x14ac:dyDescent="0.25">
      <c r="B28" s="4"/>
      <c r="C28" s="5"/>
      <c r="D28" s="5"/>
      <c r="E28" s="5"/>
      <c r="F28" s="5"/>
      <c r="G28" s="6"/>
      <c r="I28" s="4"/>
      <c r="J28" s="5"/>
      <c r="K28" s="5"/>
      <c r="L28" s="5"/>
      <c r="M28" s="5"/>
      <c r="N28" s="6"/>
    </row>
    <row r="29" spans="2:14" x14ac:dyDescent="0.25">
      <c r="B29" s="152" t="s">
        <v>205</v>
      </c>
      <c r="C29" s="153">
        <v>20000</v>
      </c>
      <c r="D29" s="153">
        <v>10000</v>
      </c>
      <c r="E29" s="153">
        <v>20000</v>
      </c>
      <c r="F29" s="153">
        <v>30000</v>
      </c>
      <c r="G29" s="154">
        <v>50000</v>
      </c>
      <c r="I29" s="152" t="s">
        <v>205</v>
      </c>
      <c r="J29" s="153">
        <v>20000</v>
      </c>
      <c r="K29" s="153">
        <v>10000</v>
      </c>
      <c r="L29" s="153">
        <v>10000</v>
      </c>
      <c r="M29" s="153">
        <v>20000</v>
      </c>
      <c r="N29" s="154">
        <v>30000</v>
      </c>
    </row>
    <row r="30" spans="2:14" x14ac:dyDescent="0.25">
      <c r="B30" s="4"/>
      <c r="C30" s="5"/>
      <c r="D30" s="5"/>
      <c r="E30" s="5"/>
      <c r="F30" s="5"/>
      <c r="G30" s="6"/>
      <c r="I30" s="4"/>
      <c r="J30" s="5"/>
      <c r="K30" s="5"/>
      <c r="L30" s="5"/>
      <c r="M30" s="5"/>
      <c r="N30" s="6"/>
    </row>
    <row r="31" spans="2:14" x14ac:dyDescent="0.25">
      <c r="B31" s="152" t="s">
        <v>190</v>
      </c>
      <c r="C31" s="153">
        <v>1000</v>
      </c>
      <c r="D31" s="153">
        <v>1000</v>
      </c>
      <c r="E31" s="153">
        <v>2000</v>
      </c>
      <c r="F31" s="153">
        <v>3000</v>
      </c>
      <c r="G31" s="154">
        <v>5000</v>
      </c>
      <c r="I31" s="152" t="s">
        <v>190</v>
      </c>
      <c r="J31" s="153">
        <v>1000</v>
      </c>
      <c r="K31" s="153">
        <v>1000</v>
      </c>
      <c r="L31" s="153">
        <v>1000</v>
      </c>
      <c r="M31" s="153">
        <v>2000</v>
      </c>
      <c r="N31" s="154">
        <v>3000</v>
      </c>
    </row>
    <row r="32" spans="2:14" x14ac:dyDescent="0.25">
      <c r="B32" s="4"/>
      <c r="C32" s="5"/>
      <c r="D32" s="5"/>
      <c r="E32" s="5"/>
      <c r="F32" s="5"/>
      <c r="G32" s="6"/>
      <c r="I32" s="4"/>
      <c r="J32" s="5"/>
      <c r="K32" s="5"/>
      <c r="L32" s="5"/>
      <c r="M32" s="5"/>
      <c r="N32" s="6"/>
    </row>
    <row r="33" spans="2:14" x14ac:dyDescent="0.25">
      <c r="B33" s="152" t="s">
        <v>31</v>
      </c>
      <c r="C33" s="153">
        <v>12000</v>
      </c>
      <c r="D33" s="153">
        <v>500</v>
      </c>
      <c r="E33" s="153">
        <v>500</v>
      </c>
      <c r="F33" s="153">
        <v>500</v>
      </c>
      <c r="G33" s="154">
        <v>500</v>
      </c>
      <c r="I33" s="152" t="s">
        <v>31</v>
      </c>
      <c r="J33" s="153">
        <v>12000</v>
      </c>
      <c r="K33" s="153">
        <v>500</v>
      </c>
      <c r="L33" s="153">
        <v>500</v>
      </c>
      <c r="M33" s="153">
        <v>500</v>
      </c>
      <c r="N33" s="154">
        <v>500</v>
      </c>
    </row>
    <row r="34" spans="2:14" x14ac:dyDescent="0.25">
      <c r="B34" s="4"/>
      <c r="C34" s="5"/>
      <c r="D34" s="5"/>
      <c r="E34" s="5"/>
      <c r="F34" s="5"/>
      <c r="G34" s="6"/>
      <c r="I34" s="4"/>
      <c r="J34" s="5"/>
      <c r="K34" s="5"/>
      <c r="L34" s="5"/>
      <c r="M34" s="5"/>
      <c r="N34" s="6"/>
    </row>
    <row r="35" spans="2:14" x14ac:dyDescent="0.25">
      <c r="B35" s="152" t="s">
        <v>15</v>
      </c>
      <c r="C35" s="153">
        <f>SUM(C36:C39)</f>
        <v>6270</v>
      </c>
      <c r="D35" s="153">
        <f>SUM(D36:D39)</f>
        <v>6095.4</v>
      </c>
      <c r="E35" s="153">
        <f>SUM(E36:E39)</f>
        <v>6121.308</v>
      </c>
      <c r="F35" s="153">
        <f>SUM(F36:F39)</f>
        <v>6147.73416</v>
      </c>
      <c r="G35" s="154">
        <f>SUM(G36:G39)</f>
        <v>6174.6888431999996</v>
      </c>
      <c r="I35" s="152" t="s">
        <v>15</v>
      </c>
      <c r="J35" s="153">
        <f>SUM(J36:J39)</f>
        <v>6270</v>
      </c>
      <c r="K35" s="153">
        <f>SUM(K36:K39)</f>
        <v>6095.4</v>
      </c>
      <c r="L35" s="153">
        <f>SUM(L36:L39)</f>
        <v>6121.308</v>
      </c>
      <c r="M35" s="153">
        <f>SUM(M36:M39)</f>
        <v>6147.73416</v>
      </c>
      <c r="N35" s="154">
        <f>SUM(N36:N39)</f>
        <v>6174.6888431999996</v>
      </c>
    </row>
    <row r="36" spans="2:14" x14ac:dyDescent="0.25">
      <c r="B36" s="1" t="s">
        <v>16</v>
      </c>
      <c r="C36" s="2">
        <v>250</v>
      </c>
      <c r="D36" s="2">
        <f>C36*1.02</f>
        <v>255</v>
      </c>
      <c r="E36" s="2">
        <f t="shared" ref="E36:G36" si="19">D36*1.02</f>
        <v>260.10000000000002</v>
      </c>
      <c r="F36" s="2">
        <f t="shared" si="19"/>
        <v>265.30200000000002</v>
      </c>
      <c r="G36" s="3">
        <f t="shared" si="19"/>
        <v>270.60804000000002</v>
      </c>
      <c r="I36" s="1" t="s">
        <v>16</v>
      </c>
      <c r="J36" s="2">
        <v>250</v>
      </c>
      <c r="K36" s="2">
        <f>J36*1.02</f>
        <v>255</v>
      </c>
      <c r="L36" s="2">
        <f t="shared" ref="L36:L37" si="20">K36*1.02</f>
        <v>260.10000000000002</v>
      </c>
      <c r="M36" s="2">
        <f t="shared" ref="M36:M37" si="21">L36*1.02</f>
        <v>265.30200000000002</v>
      </c>
      <c r="N36" s="3">
        <f t="shared" ref="N36:N37" si="22">M36*1.02</f>
        <v>270.60804000000002</v>
      </c>
    </row>
    <row r="37" spans="2:14" x14ac:dyDescent="0.25">
      <c r="B37" s="1" t="s">
        <v>17</v>
      </c>
      <c r="C37" s="2">
        <f>85*12</f>
        <v>1020</v>
      </c>
      <c r="D37" s="2">
        <f>C37*1.02</f>
        <v>1040.4000000000001</v>
      </c>
      <c r="E37" s="2">
        <f t="shared" ref="E37:G37" si="23">D37*1.02</f>
        <v>1061.2080000000001</v>
      </c>
      <c r="F37" s="2">
        <f t="shared" si="23"/>
        <v>1082.4321600000001</v>
      </c>
      <c r="G37" s="3">
        <f t="shared" si="23"/>
        <v>1104.0808032</v>
      </c>
      <c r="I37" s="1" t="s">
        <v>17</v>
      </c>
      <c r="J37" s="2">
        <f>85*12</f>
        <v>1020</v>
      </c>
      <c r="K37" s="2">
        <f>J37*1.02</f>
        <v>1040.4000000000001</v>
      </c>
      <c r="L37" s="2">
        <f t="shared" si="20"/>
        <v>1061.2080000000001</v>
      </c>
      <c r="M37" s="2">
        <f t="shared" si="21"/>
        <v>1082.4321600000001</v>
      </c>
      <c r="N37" s="3">
        <f t="shared" si="22"/>
        <v>1104.0808032</v>
      </c>
    </row>
    <row r="38" spans="2:14" x14ac:dyDescent="0.25">
      <c r="B38" s="465" t="s">
        <v>191</v>
      </c>
      <c r="C38" s="466">
        <f>400*12</f>
        <v>4800</v>
      </c>
      <c r="D38" s="466">
        <f t="shared" ref="D38:G38" si="24">400*12</f>
        <v>4800</v>
      </c>
      <c r="E38" s="466">
        <f t="shared" si="24"/>
        <v>4800</v>
      </c>
      <c r="F38" s="466">
        <f t="shared" si="24"/>
        <v>4800</v>
      </c>
      <c r="G38" s="467">
        <f t="shared" si="24"/>
        <v>4800</v>
      </c>
      <c r="I38" s="465" t="s">
        <v>191</v>
      </c>
      <c r="J38" s="466">
        <f>400*12</f>
        <v>4800</v>
      </c>
      <c r="K38" s="466">
        <f t="shared" ref="K38:N38" si="25">400*12</f>
        <v>4800</v>
      </c>
      <c r="L38" s="466">
        <f t="shared" si="25"/>
        <v>4800</v>
      </c>
      <c r="M38" s="466">
        <f t="shared" si="25"/>
        <v>4800</v>
      </c>
      <c r="N38" s="467">
        <f t="shared" si="25"/>
        <v>4800</v>
      </c>
    </row>
    <row r="39" spans="2:14" ht="15.75" thickBot="1" x14ac:dyDescent="0.3">
      <c r="B39" s="7" t="s">
        <v>18</v>
      </c>
      <c r="C39" s="8">
        <v>200</v>
      </c>
      <c r="D39" s="8">
        <v>0</v>
      </c>
      <c r="E39" s="8">
        <v>0</v>
      </c>
      <c r="F39" s="8">
        <v>0</v>
      </c>
      <c r="G39" s="9">
        <v>0</v>
      </c>
      <c r="I39" s="7" t="s">
        <v>18</v>
      </c>
      <c r="J39" s="8">
        <v>200</v>
      </c>
      <c r="K39" s="8">
        <v>0</v>
      </c>
      <c r="L39" s="8">
        <v>0</v>
      </c>
      <c r="M39" s="8">
        <v>0</v>
      </c>
      <c r="N39" s="9">
        <v>0</v>
      </c>
    </row>
    <row r="41" spans="2:14" ht="15.75" thickBot="1" x14ac:dyDescent="0.3"/>
    <row r="42" spans="2:14" ht="15.75" thickBot="1" x14ac:dyDescent="0.3">
      <c r="C42" s="495" t="s">
        <v>166</v>
      </c>
      <c r="D42" s="496"/>
      <c r="E42" s="496"/>
      <c r="F42" s="496"/>
      <c r="G42" s="497"/>
      <c r="I42" s="416"/>
      <c r="J42" s="495" t="s">
        <v>167</v>
      </c>
      <c r="K42" s="496"/>
      <c r="L42" s="496"/>
      <c r="M42" s="496"/>
      <c r="N42" s="497"/>
    </row>
    <row r="43" spans="2:14" ht="15.75" thickBot="1" x14ac:dyDescent="0.3">
      <c r="B43" s="155" t="s">
        <v>24</v>
      </c>
      <c r="C43" s="156" t="s">
        <v>1</v>
      </c>
      <c r="D43" s="156" t="s">
        <v>2</v>
      </c>
      <c r="E43" s="156" t="s">
        <v>3</v>
      </c>
      <c r="F43" s="156" t="s">
        <v>4</v>
      </c>
      <c r="G43" s="157" t="s">
        <v>5</v>
      </c>
      <c r="I43" s="155" t="s">
        <v>24</v>
      </c>
      <c r="J43" s="156" t="s">
        <v>1</v>
      </c>
      <c r="K43" s="156" t="s">
        <v>2</v>
      </c>
      <c r="L43" s="156" t="s">
        <v>3</v>
      </c>
      <c r="M43" s="156" t="s">
        <v>4</v>
      </c>
      <c r="N43" s="157" t="s">
        <v>5</v>
      </c>
    </row>
    <row r="44" spans="2:14" x14ac:dyDescent="0.25">
      <c r="B44" s="29" t="s">
        <v>19</v>
      </c>
      <c r="C44" s="24">
        <v>1</v>
      </c>
      <c r="D44" s="24">
        <v>2</v>
      </c>
      <c r="E44" s="24">
        <v>3</v>
      </c>
      <c r="F44" s="24">
        <v>5</v>
      </c>
      <c r="G44" s="25">
        <v>6</v>
      </c>
      <c r="I44" s="29" t="s">
        <v>19</v>
      </c>
      <c r="J44" s="24">
        <v>1</v>
      </c>
      <c r="K44" s="24">
        <v>1</v>
      </c>
      <c r="L44" s="24">
        <v>2</v>
      </c>
      <c r="M44" s="24">
        <v>4</v>
      </c>
      <c r="N44" s="25">
        <v>5</v>
      </c>
    </row>
    <row r="45" spans="2:14" ht="15.75" thickBot="1" x14ac:dyDescent="0.3">
      <c r="B45" s="10" t="s">
        <v>20</v>
      </c>
      <c r="C45" s="14">
        <v>1</v>
      </c>
      <c r="D45" s="15">
        <v>1</v>
      </c>
      <c r="E45" s="16">
        <v>1</v>
      </c>
      <c r="F45" s="14">
        <v>2</v>
      </c>
      <c r="G45" s="26">
        <v>3</v>
      </c>
      <c r="I45" s="10" t="s">
        <v>20</v>
      </c>
      <c r="J45" s="14">
        <v>1</v>
      </c>
      <c r="K45" s="15">
        <v>1</v>
      </c>
      <c r="L45" s="16">
        <v>1</v>
      </c>
      <c r="M45" s="14">
        <v>2</v>
      </c>
      <c r="N45" s="26">
        <v>2</v>
      </c>
    </row>
    <row r="46" spans="2:14" ht="15.75" thickBot="1" x14ac:dyDescent="0.3">
      <c r="B46" s="10" t="s">
        <v>21</v>
      </c>
      <c r="C46" s="12">
        <v>1</v>
      </c>
      <c r="D46" s="11">
        <v>2</v>
      </c>
      <c r="E46" s="13">
        <v>3</v>
      </c>
      <c r="F46" s="16">
        <v>6</v>
      </c>
      <c r="G46" s="423">
        <v>8</v>
      </c>
      <c r="I46" s="10" t="s">
        <v>21</v>
      </c>
      <c r="J46" s="12">
        <v>1</v>
      </c>
      <c r="K46" s="11">
        <v>2</v>
      </c>
      <c r="L46" s="13">
        <v>2</v>
      </c>
      <c r="M46" s="14">
        <v>4</v>
      </c>
      <c r="N46" s="18">
        <v>6</v>
      </c>
    </row>
    <row r="47" spans="2:14" x14ac:dyDescent="0.25">
      <c r="B47" s="10" t="s">
        <v>23</v>
      </c>
      <c r="C47" s="17">
        <v>1</v>
      </c>
      <c r="D47" s="11">
        <v>1</v>
      </c>
      <c r="E47" s="11">
        <v>1</v>
      </c>
      <c r="F47" s="11">
        <v>1</v>
      </c>
      <c r="G47" s="422">
        <v>1</v>
      </c>
      <c r="I47" s="10" t="s">
        <v>23</v>
      </c>
      <c r="J47" s="17">
        <v>1</v>
      </c>
      <c r="K47" s="11">
        <v>1</v>
      </c>
      <c r="L47" s="11">
        <v>1</v>
      </c>
      <c r="M47" s="11">
        <v>1</v>
      </c>
      <c r="N47" s="19">
        <v>1</v>
      </c>
    </row>
    <row r="48" spans="2:14" ht="15.75" thickBot="1" x14ac:dyDescent="0.3">
      <c r="B48" s="27" t="s">
        <v>22</v>
      </c>
      <c r="C48" s="28">
        <v>1</v>
      </c>
      <c r="D48" s="20">
        <v>1</v>
      </c>
      <c r="E48" s="21">
        <v>1</v>
      </c>
      <c r="F48" s="22">
        <v>1</v>
      </c>
      <c r="G48" s="23">
        <v>1</v>
      </c>
      <c r="I48" s="27" t="s">
        <v>22</v>
      </c>
      <c r="J48" s="28">
        <v>1</v>
      </c>
      <c r="K48" s="20">
        <v>1</v>
      </c>
      <c r="L48" s="21">
        <v>1</v>
      </c>
      <c r="M48" s="22">
        <v>1</v>
      </c>
      <c r="N48" s="23">
        <v>1</v>
      </c>
    </row>
    <row r="50" spans="2:14" ht="15.75" thickBot="1" x14ac:dyDescent="0.3"/>
    <row r="51" spans="2:14" ht="15.75" thickBot="1" x14ac:dyDescent="0.3">
      <c r="C51" s="486" t="s">
        <v>164</v>
      </c>
      <c r="D51" s="487"/>
      <c r="E51" s="487"/>
      <c r="F51" s="487"/>
      <c r="G51" s="488"/>
      <c r="J51" s="486" t="s">
        <v>164</v>
      </c>
      <c r="K51" s="487"/>
      <c r="L51" s="487"/>
      <c r="M51" s="487"/>
      <c r="N51" s="488"/>
    </row>
    <row r="52" spans="2:14" ht="15.75" thickBot="1" x14ac:dyDescent="0.3">
      <c r="B52" s="155" t="s">
        <v>165</v>
      </c>
      <c r="C52" s="156" t="s">
        <v>1</v>
      </c>
      <c r="D52" s="156" t="s">
        <v>2</v>
      </c>
      <c r="E52" s="156" t="s">
        <v>3</v>
      </c>
      <c r="F52" s="156" t="s">
        <v>4</v>
      </c>
      <c r="G52" s="157" t="s">
        <v>5</v>
      </c>
      <c r="I52" s="155" t="s">
        <v>165</v>
      </c>
      <c r="J52" s="156" t="s">
        <v>1</v>
      </c>
      <c r="K52" s="156" t="s">
        <v>2</v>
      </c>
      <c r="L52" s="156" t="s">
        <v>3</v>
      </c>
      <c r="M52" s="156" t="s">
        <v>4</v>
      </c>
      <c r="N52" s="157" t="s">
        <v>5</v>
      </c>
    </row>
    <row r="53" spans="2:14" x14ac:dyDescent="0.25">
      <c r="B53" s="29" t="s">
        <v>19</v>
      </c>
      <c r="C53" s="24">
        <v>34000</v>
      </c>
      <c r="D53" s="24">
        <f>C53*1.02</f>
        <v>34680</v>
      </c>
      <c r="E53" s="24">
        <f t="shared" ref="E53:G57" si="26">D53*1.02</f>
        <v>35373.599999999999</v>
      </c>
      <c r="F53" s="24">
        <f t="shared" si="26"/>
        <v>36081.072</v>
      </c>
      <c r="G53" s="25">
        <f t="shared" si="26"/>
        <v>36802.693440000003</v>
      </c>
      <c r="I53" s="170" t="s">
        <v>19</v>
      </c>
      <c r="J53" s="171">
        <v>34000</v>
      </c>
      <c r="K53" s="171">
        <f>J53</f>
        <v>34000</v>
      </c>
      <c r="L53" s="171">
        <f t="shared" ref="L53:N53" si="27">K53*1.01</f>
        <v>34340</v>
      </c>
      <c r="M53" s="171">
        <f t="shared" si="27"/>
        <v>34683.4</v>
      </c>
      <c r="N53" s="412">
        <f t="shared" si="27"/>
        <v>35030.234000000004</v>
      </c>
    </row>
    <row r="54" spans="2:14" x14ac:dyDescent="0.25">
      <c r="B54" s="10" t="s">
        <v>20</v>
      </c>
      <c r="C54" s="14">
        <v>32500</v>
      </c>
      <c r="D54" s="15">
        <f>C54*1.02</f>
        <v>33150</v>
      </c>
      <c r="E54" s="16">
        <f t="shared" si="26"/>
        <v>33813</v>
      </c>
      <c r="F54" s="14">
        <f t="shared" si="26"/>
        <v>34489.26</v>
      </c>
      <c r="G54" s="26">
        <f t="shared" si="26"/>
        <v>35179.0452</v>
      </c>
      <c r="I54" s="10" t="s">
        <v>20</v>
      </c>
      <c r="J54" s="14">
        <v>32500</v>
      </c>
      <c r="K54" s="24">
        <f t="shared" ref="K54:K57" si="28">J54</f>
        <v>32500</v>
      </c>
      <c r="L54" s="14">
        <f t="shared" ref="L54:N54" si="29">K54*1.01</f>
        <v>32825</v>
      </c>
      <c r="M54" s="14">
        <f t="shared" si="29"/>
        <v>33153.25</v>
      </c>
      <c r="N54" s="413">
        <f t="shared" si="29"/>
        <v>33484.782500000001</v>
      </c>
    </row>
    <row r="55" spans="2:14" x14ac:dyDescent="0.25">
      <c r="B55" s="10" t="s">
        <v>21</v>
      </c>
      <c r="C55" s="12">
        <v>20000</v>
      </c>
      <c r="D55" s="11">
        <f>C55*1.02</f>
        <v>20400</v>
      </c>
      <c r="E55" s="13">
        <f t="shared" si="26"/>
        <v>20808</v>
      </c>
      <c r="F55" s="14">
        <f t="shared" si="26"/>
        <v>21224.16</v>
      </c>
      <c r="G55" s="18">
        <f t="shared" si="26"/>
        <v>21648.643199999999</v>
      </c>
      <c r="I55" s="10" t="s">
        <v>21</v>
      </c>
      <c r="J55" s="12">
        <v>20000</v>
      </c>
      <c r="K55" s="24">
        <f t="shared" si="28"/>
        <v>20000</v>
      </c>
      <c r="L55" s="12">
        <f t="shared" ref="L55:N55" si="30">K55*1.01</f>
        <v>20200</v>
      </c>
      <c r="M55" s="12">
        <f t="shared" si="30"/>
        <v>20402</v>
      </c>
      <c r="N55" s="18">
        <f t="shared" si="30"/>
        <v>20606.02</v>
      </c>
    </row>
    <row r="56" spans="2:14" x14ac:dyDescent="0.25">
      <c r="B56" s="10" t="s">
        <v>23</v>
      </c>
      <c r="C56" s="17">
        <v>40000</v>
      </c>
      <c r="D56" s="11">
        <f>C56*1.02</f>
        <v>40800</v>
      </c>
      <c r="E56" s="11">
        <f t="shared" si="26"/>
        <v>41616</v>
      </c>
      <c r="F56" s="11">
        <f t="shared" si="26"/>
        <v>42448.32</v>
      </c>
      <c r="G56" s="19">
        <f t="shared" si="26"/>
        <v>43297.286399999997</v>
      </c>
      <c r="I56" s="10" t="s">
        <v>23</v>
      </c>
      <c r="J56" s="17">
        <v>40000</v>
      </c>
      <c r="K56" s="24">
        <f t="shared" si="28"/>
        <v>40000</v>
      </c>
      <c r="L56" s="11">
        <f t="shared" ref="L56:N56" si="31">K56*1.01</f>
        <v>40400</v>
      </c>
      <c r="M56" s="11">
        <f t="shared" si="31"/>
        <v>40804</v>
      </c>
      <c r="N56" s="18">
        <f t="shared" si="31"/>
        <v>41212.04</v>
      </c>
    </row>
    <row r="57" spans="2:14" ht="15.75" thickBot="1" x14ac:dyDescent="0.3">
      <c r="B57" s="27" t="s">
        <v>22</v>
      </c>
      <c r="C57" s="28">
        <v>37000</v>
      </c>
      <c r="D57" s="20">
        <f>C57*1.02</f>
        <v>37740</v>
      </c>
      <c r="E57" s="21">
        <f t="shared" si="26"/>
        <v>38494.800000000003</v>
      </c>
      <c r="F57" s="22">
        <f t="shared" si="26"/>
        <v>39264.696000000004</v>
      </c>
      <c r="G57" s="23">
        <f t="shared" si="26"/>
        <v>40049.989920000007</v>
      </c>
      <c r="I57" s="27" t="s">
        <v>22</v>
      </c>
      <c r="J57" s="28">
        <v>37000</v>
      </c>
      <c r="K57" s="194">
        <f t="shared" si="28"/>
        <v>37000</v>
      </c>
      <c r="L57" s="21">
        <f t="shared" ref="L57" si="32">K57*1.02</f>
        <v>37740</v>
      </c>
      <c r="M57" s="22">
        <f t="shared" ref="M57" si="33">L57*1.02</f>
        <v>38494.800000000003</v>
      </c>
      <c r="N57" s="23">
        <f t="shared" ref="N57" si="34">M57*1.02</f>
        <v>39264.696000000004</v>
      </c>
    </row>
    <row r="59" spans="2:14" ht="15.75" thickBot="1" x14ac:dyDescent="0.3"/>
    <row r="60" spans="2:14" ht="15.75" thickBot="1" x14ac:dyDescent="0.3">
      <c r="G60" s="492" t="s">
        <v>168</v>
      </c>
      <c r="H60" s="493"/>
      <c r="I60" s="494"/>
    </row>
    <row r="61" spans="2:14" ht="15.75" thickBot="1" x14ac:dyDescent="0.3">
      <c r="E61" s="155" t="s">
        <v>13</v>
      </c>
      <c r="F61" s="168" t="s">
        <v>38</v>
      </c>
      <c r="G61" s="174" t="s">
        <v>94</v>
      </c>
      <c r="H61" s="409" t="s">
        <v>162</v>
      </c>
      <c r="I61" s="157" t="s">
        <v>95</v>
      </c>
    </row>
    <row r="62" spans="2:14" x14ac:dyDescent="0.25">
      <c r="E62" s="170" t="s">
        <v>32</v>
      </c>
      <c r="F62" s="171">
        <v>200</v>
      </c>
      <c r="G62" s="406">
        <v>10</v>
      </c>
      <c r="H62" s="407">
        <v>30</v>
      </c>
      <c r="I62" s="410">
        <f t="shared" ref="I62:I68" si="35">(F62-H62)/G62</f>
        <v>17</v>
      </c>
    </row>
    <row r="63" spans="2:14" x14ac:dyDescent="0.25">
      <c r="E63" s="10" t="s">
        <v>14</v>
      </c>
      <c r="F63" s="14">
        <v>225</v>
      </c>
      <c r="G63" s="403">
        <v>3</v>
      </c>
      <c r="H63" s="405">
        <v>0</v>
      </c>
      <c r="I63" s="173">
        <f t="shared" si="35"/>
        <v>75</v>
      </c>
    </row>
    <row r="64" spans="2:14" x14ac:dyDescent="0.25">
      <c r="E64" s="10" t="s">
        <v>33</v>
      </c>
      <c r="F64" s="12">
        <v>600</v>
      </c>
      <c r="G64" s="403">
        <v>3</v>
      </c>
      <c r="H64" s="405">
        <v>0</v>
      </c>
      <c r="I64" s="173">
        <f t="shared" si="35"/>
        <v>200</v>
      </c>
    </row>
    <row r="65" spans="2:14" x14ac:dyDescent="0.25">
      <c r="E65" s="31" t="s">
        <v>37</v>
      </c>
      <c r="F65" s="30">
        <v>100</v>
      </c>
      <c r="G65" s="403">
        <v>3</v>
      </c>
      <c r="H65" s="405">
        <v>0</v>
      </c>
      <c r="I65" s="173">
        <f t="shared" si="35"/>
        <v>33.333333333333336</v>
      </c>
    </row>
    <row r="66" spans="2:14" x14ac:dyDescent="0.25">
      <c r="E66" s="1" t="s">
        <v>35</v>
      </c>
      <c r="F66" s="11">
        <v>150</v>
      </c>
      <c r="G66" s="403">
        <v>10</v>
      </c>
      <c r="H66" s="405">
        <v>30</v>
      </c>
      <c r="I66" s="173">
        <f t="shared" si="35"/>
        <v>12</v>
      </c>
    </row>
    <row r="67" spans="2:14" x14ac:dyDescent="0.25">
      <c r="E67" s="29" t="s">
        <v>34</v>
      </c>
      <c r="F67" s="24">
        <v>400</v>
      </c>
      <c r="G67" s="403">
        <v>20</v>
      </c>
      <c r="H67" s="405">
        <v>40</v>
      </c>
      <c r="I67" s="173">
        <f t="shared" si="35"/>
        <v>18</v>
      </c>
    </row>
    <row r="68" spans="2:14" ht="15.75" thickBot="1" x14ac:dyDescent="0.3">
      <c r="E68" s="32" t="s">
        <v>36</v>
      </c>
      <c r="F68" s="21">
        <v>800</v>
      </c>
      <c r="G68" s="404">
        <v>3</v>
      </c>
      <c r="H68" s="408">
        <v>50</v>
      </c>
      <c r="I68" s="411">
        <f t="shared" si="35"/>
        <v>250</v>
      </c>
    </row>
    <row r="70" spans="2:14" ht="15.75" thickBot="1" x14ac:dyDescent="0.3"/>
    <row r="71" spans="2:14" ht="15.75" thickBot="1" x14ac:dyDescent="0.3">
      <c r="C71" s="486" t="s">
        <v>169</v>
      </c>
      <c r="D71" s="487"/>
      <c r="E71" s="487"/>
      <c r="F71" s="487"/>
      <c r="G71" s="488"/>
      <c r="J71" s="486" t="s">
        <v>170</v>
      </c>
      <c r="K71" s="487"/>
      <c r="L71" s="487"/>
      <c r="M71" s="487"/>
      <c r="N71" s="488"/>
    </row>
    <row r="72" spans="2:14" ht="15.75" thickBot="1" x14ac:dyDescent="0.3">
      <c r="B72" s="155" t="s">
        <v>13</v>
      </c>
      <c r="C72" s="169" t="s">
        <v>1</v>
      </c>
      <c r="D72" s="156" t="s">
        <v>2</v>
      </c>
      <c r="E72" s="156" t="s">
        <v>3</v>
      </c>
      <c r="F72" s="156" t="s">
        <v>4</v>
      </c>
      <c r="G72" s="157" t="s">
        <v>5</v>
      </c>
      <c r="I72" s="155" t="s">
        <v>13</v>
      </c>
      <c r="J72" s="169" t="s">
        <v>1</v>
      </c>
      <c r="K72" s="156" t="s">
        <v>2</v>
      </c>
      <c r="L72" s="156" t="s">
        <v>3</v>
      </c>
      <c r="M72" s="156" t="s">
        <v>4</v>
      </c>
      <c r="N72" s="157" t="s">
        <v>5</v>
      </c>
    </row>
    <row r="73" spans="2:14" x14ac:dyDescent="0.25">
      <c r="B73" s="170" t="s">
        <v>32</v>
      </c>
      <c r="C73" s="171">
        <v>4</v>
      </c>
      <c r="D73" s="171">
        <v>1</v>
      </c>
      <c r="E73" s="172">
        <v>0</v>
      </c>
      <c r="F73" s="171">
        <v>2</v>
      </c>
      <c r="G73" s="412">
        <v>6</v>
      </c>
      <c r="I73" s="170" t="s">
        <v>32</v>
      </c>
      <c r="J73" s="171">
        <v>4</v>
      </c>
      <c r="K73" s="171">
        <v>0</v>
      </c>
      <c r="L73" s="172">
        <v>0</v>
      </c>
      <c r="M73" s="171">
        <v>2</v>
      </c>
      <c r="N73" s="412">
        <v>3</v>
      </c>
    </row>
    <row r="74" spans="2:14" x14ac:dyDescent="0.25">
      <c r="B74" s="10" t="s">
        <v>14</v>
      </c>
      <c r="C74" s="14">
        <v>1</v>
      </c>
      <c r="D74" s="14">
        <v>0</v>
      </c>
      <c r="E74" s="14">
        <v>0</v>
      </c>
      <c r="F74" s="14">
        <v>1</v>
      </c>
      <c r="G74" s="413">
        <v>1</v>
      </c>
      <c r="I74" s="10" t="s">
        <v>14</v>
      </c>
      <c r="J74" s="14">
        <v>1</v>
      </c>
      <c r="K74" s="14">
        <v>0</v>
      </c>
      <c r="L74" s="14">
        <v>0</v>
      </c>
      <c r="M74" s="14">
        <v>0</v>
      </c>
      <c r="N74" s="413">
        <v>1</v>
      </c>
    </row>
    <row r="75" spans="2:14" x14ac:dyDescent="0.25">
      <c r="B75" s="10" t="s">
        <v>33</v>
      </c>
      <c r="C75" s="12">
        <v>4</v>
      </c>
      <c r="D75" s="12">
        <v>1</v>
      </c>
      <c r="E75" s="12">
        <v>0</v>
      </c>
      <c r="F75" s="12">
        <v>2</v>
      </c>
      <c r="G75" s="18">
        <v>6</v>
      </c>
      <c r="I75" s="10" t="s">
        <v>33</v>
      </c>
      <c r="J75" s="12">
        <v>4</v>
      </c>
      <c r="K75" s="12">
        <v>0</v>
      </c>
      <c r="L75" s="12">
        <v>0</v>
      </c>
      <c r="M75" s="12">
        <v>2</v>
      </c>
      <c r="N75" s="18">
        <v>3</v>
      </c>
    </row>
    <row r="76" spans="2:14" x14ac:dyDescent="0.25">
      <c r="B76" s="31" t="s">
        <v>37</v>
      </c>
      <c r="C76" s="30">
        <v>4</v>
      </c>
      <c r="D76" s="30">
        <v>1</v>
      </c>
      <c r="E76" s="30">
        <v>0</v>
      </c>
      <c r="F76" s="30">
        <v>2</v>
      </c>
      <c r="G76" s="414">
        <v>6</v>
      </c>
      <c r="I76" s="31" t="s">
        <v>37</v>
      </c>
      <c r="J76" s="30">
        <v>4</v>
      </c>
      <c r="K76" s="30">
        <v>0</v>
      </c>
      <c r="L76" s="30">
        <v>0</v>
      </c>
      <c r="M76" s="30">
        <v>2</v>
      </c>
      <c r="N76" s="414">
        <v>3</v>
      </c>
    </row>
    <row r="77" spans="2:14" x14ac:dyDescent="0.25">
      <c r="B77" s="1" t="s">
        <v>35</v>
      </c>
      <c r="C77" s="11">
        <v>2</v>
      </c>
      <c r="D77" s="11">
        <v>0</v>
      </c>
      <c r="E77" s="11">
        <v>1</v>
      </c>
      <c r="F77" s="11">
        <v>2</v>
      </c>
      <c r="G77" s="18">
        <v>3</v>
      </c>
      <c r="I77" s="1" t="s">
        <v>35</v>
      </c>
      <c r="J77" s="11">
        <v>2</v>
      </c>
      <c r="K77" s="11">
        <v>0</v>
      </c>
      <c r="L77" s="11">
        <v>0</v>
      </c>
      <c r="M77" s="11">
        <v>1</v>
      </c>
      <c r="N77" s="18">
        <v>2</v>
      </c>
    </row>
    <row r="78" spans="2:14" x14ac:dyDescent="0.25">
      <c r="B78" s="29" t="s">
        <v>34</v>
      </c>
      <c r="C78" s="24">
        <v>2</v>
      </c>
      <c r="D78" s="24">
        <v>1</v>
      </c>
      <c r="E78" s="24">
        <v>1</v>
      </c>
      <c r="F78" s="24">
        <v>1</v>
      </c>
      <c r="G78" s="25">
        <v>2</v>
      </c>
      <c r="I78" s="29" t="s">
        <v>34</v>
      </c>
      <c r="J78" s="24">
        <v>2</v>
      </c>
      <c r="K78" s="24">
        <v>0</v>
      </c>
      <c r="L78" s="24">
        <v>1</v>
      </c>
      <c r="M78" s="24">
        <v>1</v>
      </c>
      <c r="N78" s="25">
        <v>1</v>
      </c>
    </row>
    <row r="79" spans="2:14" ht="15.75" thickBot="1" x14ac:dyDescent="0.3">
      <c r="B79" s="32" t="s">
        <v>36</v>
      </c>
      <c r="C79" s="21">
        <v>0</v>
      </c>
      <c r="D79" s="21">
        <v>0</v>
      </c>
      <c r="E79" s="21">
        <v>0</v>
      </c>
      <c r="F79" s="21">
        <v>0</v>
      </c>
      <c r="G79" s="415">
        <v>1</v>
      </c>
      <c r="I79" s="32" t="s">
        <v>36</v>
      </c>
      <c r="J79" s="21">
        <v>0</v>
      </c>
      <c r="K79" s="21">
        <v>0</v>
      </c>
      <c r="L79" s="21">
        <v>0</v>
      </c>
      <c r="M79" s="21">
        <v>0</v>
      </c>
      <c r="N79" s="415">
        <v>1</v>
      </c>
    </row>
    <row r="86" spans="6:6" x14ac:dyDescent="0.25">
      <c r="F86" t="s">
        <v>172</v>
      </c>
    </row>
    <row r="88" spans="6:6" x14ac:dyDescent="0.25">
      <c r="F88" s="426" t="s">
        <v>173</v>
      </c>
    </row>
    <row r="89" spans="6:6" x14ac:dyDescent="0.25">
      <c r="F89" s="426" t="s">
        <v>174</v>
      </c>
    </row>
    <row r="90" spans="6:6" x14ac:dyDescent="0.25">
      <c r="F90" s="426" t="s">
        <v>175</v>
      </c>
    </row>
    <row r="91" spans="6:6" x14ac:dyDescent="0.25">
      <c r="F91" s="426" t="s">
        <v>176</v>
      </c>
    </row>
    <row r="92" spans="6:6" x14ac:dyDescent="0.25">
      <c r="F92" s="426" t="s">
        <v>177</v>
      </c>
    </row>
    <row r="93" spans="6:6" x14ac:dyDescent="0.25">
      <c r="F93" s="426" t="s">
        <v>181</v>
      </c>
    </row>
    <row r="94" spans="6:6" x14ac:dyDescent="0.25">
      <c r="F94" s="426" t="s">
        <v>182</v>
      </c>
    </row>
    <row r="96" spans="6:6" ht="15.75" thickBot="1" x14ac:dyDescent="0.3"/>
    <row r="97" spans="2:8" ht="15.75" thickBot="1" x14ac:dyDescent="0.3">
      <c r="C97" s="486" t="s">
        <v>195</v>
      </c>
      <c r="D97" s="487"/>
      <c r="E97" s="487"/>
      <c r="F97" s="487"/>
      <c r="G97" s="488"/>
    </row>
    <row r="98" spans="2:8" ht="15.75" thickBot="1" x14ac:dyDescent="0.3">
      <c r="B98" s="155" t="s">
        <v>13</v>
      </c>
      <c r="C98" s="169" t="s">
        <v>1</v>
      </c>
      <c r="D98" s="156" t="s">
        <v>2</v>
      </c>
      <c r="E98" s="156" t="s">
        <v>3</v>
      </c>
      <c r="F98" s="156" t="s">
        <v>4</v>
      </c>
      <c r="G98" s="157" t="s">
        <v>5</v>
      </c>
      <c r="H98" s="474" t="s">
        <v>200</v>
      </c>
    </row>
    <row r="99" spans="2:8" x14ac:dyDescent="0.25">
      <c r="B99" s="170" t="s">
        <v>199</v>
      </c>
      <c r="C99" s="468">
        <f>C3+C25+C33</f>
        <v>112000</v>
      </c>
      <c r="D99" s="468">
        <f>D3+D25+D33</f>
        <v>73214.28571428571</v>
      </c>
      <c r="E99" s="468">
        <f>E3+E25+E33</f>
        <v>63214.285714285717</v>
      </c>
      <c r="F99" s="468">
        <f>F3+F25+F33</f>
        <v>65928.57142857142</v>
      </c>
      <c r="G99" s="468">
        <f>G3+G25+G33</f>
        <v>101500</v>
      </c>
      <c r="H99" s="475">
        <f>SUM(C99:G99)</f>
        <v>415857.14285714284</v>
      </c>
    </row>
    <row r="100" spans="2:8" x14ac:dyDescent="0.25">
      <c r="B100" s="10" t="s">
        <v>198</v>
      </c>
      <c r="C100" s="469">
        <f>C9+C21+C36+C37</f>
        <v>30971.333333333332</v>
      </c>
      <c r="D100" s="469">
        <f>D9+D21+D36+D37</f>
        <v>27944.866666666669</v>
      </c>
      <c r="E100" s="469">
        <f>E9+E21+E36+E37</f>
        <v>27561.670666666665</v>
      </c>
      <c r="F100" s="469">
        <f>F9+F21+F36+F37</f>
        <v>29689.544080000003</v>
      </c>
      <c r="G100" s="473">
        <f>G9+G21+G36+G37</f>
        <v>43929.565743466665</v>
      </c>
      <c r="H100" s="476">
        <f t="shared" ref="H100:H103" si="36">SUM(C100:G100)</f>
        <v>160096.98049013334</v>
      </c>
    </row>
    <row r="101" spans="2:8" x14ac:dyDescent="0.25">
      <c r="B101" s="10" t="s">
        <v>196</v>
      </c>
      <c r="C101" s="470">
        <f>C14</f>
        <v>297570</v>
      </c>
      <c r="D101" s="470">
        <f>D14</f>
        <v>403767</v>
      </c>
      <c r="E101" s="470">
        <f>E14</f>
        <v>514092.85199999996</v>
      </c>
      <c r="F101" s="470">
        <f>F14</f>
        <v>834364.17792000005</v>
      </c>
      <c r="G101" s="470">
        <f>G14</f>
        <v>1060859.2870512002</v>
      </c>
      <c r="H101" s="476">
        <f t="shared" si="36"/>
        <v>3110653.3169712005</v>
      </c>
    </row>
    <row r="102" spans="2:8" x14ac:dyDescent="0.25">
      <c r="B102" s="31" t="s">
        <v>197</v>
      </c>
      <c r="C102" s="471">
        <f>C19+C29+C31</f>
        <v>71000</v>
      </c>
      <c r="D102" s="471">
        <f>D19+D29+D31</f>
        <v>11000</v>
      </c>
      <c r="E102" s="471">
        <f>E19+E29+E31</f>
        <v>22000</v>
      </c>
      <c r="F102" s="471">
        <f>F19+F29+F31</f>
        <v>33000</v>
      </c>
      <c r="G102" s="471">
        <f>G19+G29+G31</f>
        <v>55000</v>
      </c>
      <c r="H102" s="476">
        <f t="shared" si="36"/>
        <v>192000</v>
      </c>
    </row>
    <row r="103" spans="2:8" ht="15.75" thickBot="1" x14ac:dyDescent="0.3">
      <c r="B103" s="32" t="s">
        <v>15</v>
      </c>
      <c r="C103" s="472">
        <f>C38+C39</f>
        <v>5000</v>
      </c>
      <c r="D103" s="472">
        <f t="shared" ref="D103:G103" si="37">D38+D39</f>
        <v>4800</v>
      </c>
      <c r="E103" s="472">
        <f t="shared" si="37"/>
        <v>4800</v>
      </c>
      <c r="F103" s="472">
        <f t="shared" si="37"/>
        <v>4800</v>
      </c>
      <c r="G103" s="472">
        <f t="shared" si="37"/>
        <v>4800</v>
      </c>
      <c r="H103" s="477">
        <f t="shared" si="36"/>
        <v>24200</v>
      </c>
    </row>
    <row r="104" spans="2:8" ht="15.75" thickBot="1" x14ac:dyDescent="0.3">
      <c r="B104" s="478" t="s">
        <v>201</v>
      </c>
      <c r="C104" s="479">
        <f>SUM(C99:C103)</f>
        <v>516541.33333333337</v>
      </c>
      <c r="D104" s="479">
        <f t="shared" ref="D104:G104" si="38">SUM(D99:D103)</f>
        <v>520726.15238095238</v>
      </c>
      <c r="E104" s="479">
        <f t="shared" si="38"/>
        <v>631668.80838095234</v>
      </c>
      <c r="F104" s="479">
        <f t="shared" si="38"/>
        <v>967782.29342857143</v>
      </c>
      <c r="G104" s="479">
        <f t="shared" si="38"/>
        <v>1266088.8527946668</v>
      </c>
      <c r="H104" s="480">
        <f>SUM(C104:G104)</f>
        <v>3902807.4403184764</v>
      </c>
    </row>
  </sheetData>
  <mergeCells count="10">
    <mergeCell ref="C97:G97"/>
    <mergeCell ref="B1:G1"/>
    <mergeCell ref="I1:N1"/>
    <mergeCell ref="C71:G71"/>
    <mergeCell ref="G60:I60"/>
    <mergeCell ref="C51:G51"/>
    <mergeCell ref="J71:N71"/>
    <mergeCell ref="C42:G42"/>
    <mergeCell ref="J42:N42"/>
    <mergeCell ref="J51:N5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6B2E4-C2A6-4CDE-9729-48415CF5F73C}">
  <sheetPr codeName="Feuil2">
    <tabColor rgb="FFE53A05"/>
  </sheetPr>
  <dimension ref="B1:L62"/>
  <sheetViews>
    <sheetView topLeftCell="A23" zoomScaleNormal="100" workbookViewId="0">
      <selection activeCell="J34" sqref="J34"/>
    </sheetView>
  </sheetViews>
  <sheetFormatPr baseColWidth="10" defaultRowHeight="15" x14ac:dyDescent="0.25"/>
  <cols>
    <col min="2" max="2" width="35.85546875" bestFit="1" customWidth="1"/>
  </cols>
  <sheetData>
    <row r="1" spans="2:7" ht="15.75" thickBot="1" x14ac:dyDescent="0.3">
      <c r="B1" s="58" t="s">
        <v>39</v>
      </c>
      <c r="C1" s="59" t="s">
        <v>40</v>
      </c>
      <c r="D1" s="60" t="s">
        <v>41</v>
      </c>
      <c r="E1" s="60" t="s">
        <v>42</v>
      </c>
      <c r="F1" s="60" t="s">
        <v>43</v>
      </c>
      <c r="G1" s="61" t="s">
        <v>44</v>
      </c>
    </row>
    <row r="2" spans="2:7" x14ac:dyDescent="0.25">
      <c r="B2" s="37" t="s">
        <v>45</v>
      </c>
      <c r="C2" s="56">
        <f>SUM(C3:C6)</f>
        <v>1180</v>
      </c>
      <c r="D2" s="57">
        <f>SUM(D3:D6)</f>
        <v>1192</v>
      </c>
      <c r="E2" s="57">
        <f t="shared" ref="E2:G2" si="0">SUM(E3:E6)</f>
        <v>1204.24</v>
      </c>
      <c r="F2" s="57">
        <f t="shared" si="0"/>
        <v>1180</v>
      </c>
      <c r="G2" s="57">
        <f t="shared" si="0"/>
        <v>1192</v>
      </c>
    </row>
    <row r="3" spans="2:7" x14ac:dyDescent="0.25">
      <c r="B3" s="38" t="s">
        <v>46</v>
      </c>
      <c r="C3" s="35">
        <v>600</v>
      </c>
      <c r="D3" s="36">
        <f>C3*1.02</f>
        <v>612</v>
      </c>
      <c r="E3" s="36">
        <f t="shared" ref="E3:G3" si="1">D3*1.02</f>
        <v>624.24</v>
      </c>
      <c r="F3" s="36">
        <v>600</v>
      </c>
      <c r="G3" s="36">
        <f t="shared" si="1"/>
        <v>612</v>
      </c>
    </row>
    <row r="4" spans="2:7" x14ac:dyDescent="0.25">
      <c r="B4" s="38" t="s">
        <v>47</v>
      </c>
      <c r="C4" s="35">
        <v>360</v>
      </c>
      <c r="D4" s="36">
        <f>C4</f>
        <v>360</v>
      </c>
      <c r="E4" s="36">
        <f t="shared" ref="E4:G4" si="2">D4</f>
        <v>360</v>
      </c>
      <c r="F4" s="36">
        <f t="shared" si="2"/>
        <v>360</v>
      </c>
      <c r="G4" s="36">
        <f t="shared" si="2"/>
        <v>360</v>
      </c>
    </row>
    <row r="5" spans="2:7" x14ac:dyDescent="0.25">
      <c r="B5" s="38" t="s">
        <v>48</v>
      </c>
      <c r="C5" s="35">
        <v>130</v>
      </c>
      <c r="D5" s="36">
        <f>C5</f>
        <v>130</v>
      </c>
      <c r="E5" s="36">
        <f>D5</f>
        <v>130</v>
      </c>
      <c r="F5" s="36">
        <f>E5</f>
        <v>130</v>
      </c>
      <c r="G5" s="36">
        <f>F5</f>
        <v>130</v>
      </c>
    </row>
    <row r="6" spans="2:7" x14ac:dyDescent="0.25">
      <c r="B6" s="38" t="s">
        <v>49</v>
      </c>
      <c r="C6" s="35">
        <v>90</v>
      </c>
      <c r="D6" s="36">
        <f>C6</f>
        <v>90</v>
      </c>
      <c r="E6" s="36">
        <f t="shared" ref="E6:G6" si="3">D6</f>
        <v>90</v>
      </c>
      <c r="F6" s="36">
        <f t="shared" si="3"/>
        <v>90</v>
      </c>
      <c r="G6" s="36">
        <f t="shared" si="3"/>
        <v>90</v>
      </c>
    </row>
    <row r="7" spans="2:7" x14ac:dyDescent="0.25">
      <c r="B7" s="39" t="s">
        <v>50</v>
      </c>
      <c r="C7" s="34">
        <f>SUM(C8:C9)</f>
        <v>850</v>
      </c>
      <c r="D7" s="34">
        <f>SUM(D8:D9)</f>
        <v>867</v>
      </c>
      <c r="E7" s="34">
        <f>SUM(E8:E9)</f>
        <v>884.34</v>
      </c>
      <c r="F7" s="34">
        <f>SUM(F8:F9)</f>
        <v>902.02680000000009</v>
      </c>
      <c r="G7" s="34">
        <f>SUM(G8:G9)</f>
        <v>920.06733600000007</v>
      </c>
    </row>
    <row r="8" spans="2:7" x14ac:dyDescent="0.25">
      <c r="B8" s="38" t="s">
        <v>171</v>
      </c>
      <c r="C8" s="36">
        <v>450</v>
      </c>
      <c r="D8" s="36">
        <f>C8*1.02</f>
        <v>459</v>
      </c>
      <c r="E8" s="36">
        <f>D8*1.02</f>
        <v>468.18</v>
      </c>
      <c r="F8" s="36">
        <f t="shared" ref="F8:G9" si="4">E8*1.02</f>
        <v>477.54360000000003</v>
      </c>
      <c r="G8" s="36">
        <f t="shared" si="4"/>
        <v>487.09447200000005</v>
      </c>
    </row>
    <row r="9" spans="2:7" x14ac:dyDescent="0.25">
      <c r="B9" s="38" t="s">
        <v>51</v>
      </c>
      <c r="C9" s="36">
        <v>400</v>
      </c>
      <c r="D9" s="36">
        <f>C9*1.02</f>
        <v>408</v>
      </c>
      <c r="E9" s="36">
        <f t="shared" ref="E9" si="5">D9*1.02</f>
        <v>416.16</v>
      </c>
      <c r="F9" s="36">
        <f t="shared" si="4"/>
        <v>424.48320000000001</v>
      </c>
      <c r="G9" s="36">
        <f t="shared" si="4"/>
        <v>432.97286400000002</v>
      </c>
    </row>
    <row r="10" spans="2:7" ht="15.75" thickBot="1" x14ac:dyDescent="0.3">
      <c r="B10" s="40" t="s">
        <v>53</v>
      </c>
      <c r="C10" s="41">
        <f>3*(100+150)</f>
        <v>750</v>
      </c>
      <c r="D10" s="41">
        <f t="shared" ref="D10:E10" si="6">3*(100+150)</f>
        <v>750</v>
      </c>
      <c r="E10" s="41">
        <f t="shared" si="6"/>
        <v>750</v>
      </c>
      <c r="F10" s="41">
        <f>3*(100+100)</f>
        <v>600</v>
      </c>
      <c r="G10" s="41">
        <f>3*(100+100)</f>
        <v>600</v>
      </c>
    </row>
    <row r="11" spans="2:7" ht="15.75" thickBot="1" x14ac:dyDescent="0.3"/>
    <row r="12" spans="2:7" ht="15.75" thickBot="1" x14ac:dyDescent="0.3">
      <c r="C12" s="498" t="s">
        <v>54</v>
      </c>
      <c r="D12" s="499"/>
      <c r="E12" s="499"/>
      <c r="F12" s="499"/>
      <c r="G12" s="500"/>
    </row>
    <row r="13" spans="2:7" ht="15.75" thickBot="1" x14ac:dyDescent="0.3">
      <c r="B13" s="58" t="s">
        <v>56</v>
      </c>
      <c r="C13" s="59" t="s">
        <v>40</v>
      </c>
      <c r="D13" s="60" t="s">
        <v>41</v>
      </c>
      <c r="E13" s="60" t="s">
        <v>42</v>
      </c>
      <c r="F13" s="60" t="s">
        <v>43</v>
      </c>
      <c r="G13" s="61" t="s">
        <v>44</v>
      </c>
    </row>
    <row r="14" spans="2:7" x14ac:dyDescent="0.25">
      <c r="B14" s="42">
        <v>12</v>
      </c>
      <c r="C14" s="56">
        <f>C$2+C$7+C$10*$B14</f>
        <v>11030</v>
      </c>
      <c r="D14" s="56">
        <f t="shared" ref="D14:G27" si="7">D$2+D$7+D$10*$B14</f>
        <v>11059</v>
      </c>
      <c r="E14" s="56">
        <f t="shared" si="7"/>
        <v>11088.58</v>
      </c>
      <c r="F14" s="56">
        <f>F$2+F$7+F$10*$B14</f>
        <v>9282.0267999999996</v>
      </c>
      <c r="G14" s="57">
        <f>G$2+G$7+G$10*$B14</f>
        <v>9312.0673360000001</v>
      </c>
    </row>
    <row r="15" spans="2:7" x14ac:dyDescent="0.25">
      <c r="B15" s="42">
        <v>13</v>
      </c>
      <c r="C15" s="33">
        <f t="shared" ref="C15:C27" si="8">C$2+C$7+C$10*$B15</f>
        <v>11780</v>
      </c>
      <c r="D15" s="33">
        <f t="shared" si="7"/>
        <v>11809</v>
      </c>
      <c r="E15" s="33">
        <f t="shared" si="7"/>
        <v>11838.58</v>
      </c>
      <c r="F15" s="33">
        <f t="shared" si="7"/>
        <v>9882.0267999999996</v>
      </c>
      <c r="G15" s="34">
        <f t="shared" si="7"/>
        <v>9912.0673360000001</v>
      </c>
    </row>
    <row r="16" spans="2:7" x14ac:dyDescent="0.25">
      <c r="B16" s="42">
        <v>14</v>
      </c>
      <c r="C16" s="33">
        <f t="shared" si="8"/>
        <v>12530</v>
      </c>
      <c r="D16" s="33">
        <f t="shared" si="7"/>
        <v>12559</v>
      </c>
      <c r="E16" s="33">
        <f t="shared" si="7"/>
        <v>12588.58</v>
      </c>
      <c r="F16" s="33">
        <f t="shared" si="7"/>
        <v>10482.0268</v>
      </c>
      <c r="G16" s="34">
        <f t="shared" si="7"/>
        <v>10512.067336</v>
      </c>
    </row>
    <row r="17" spans="2:9" x14ac:dyDescent="0.25">
      <c r="B17" s="42">
        <v>15</v>
      </c>
      <c r="C17" s="33">
        <f t="shared" si="8"/>
        <v>13280</v>
      </c>
      <c r="D17" s="33">
        <f t="shared" si="7"/>
        <v>13309</v>
      </c>
      <c r="E17" s="33">
        <f t="shared" si="7"/>
        <v>13338.58</v>
      </c>
      <c r="F17" s="33">
        <f t="shared" si="7"/>
        <v>11082.0268</v>
      </c>
      <c r="G17" s="34">
        <f t="shared" si="7"/>
        <v>11112.067336</v>
      </c>
    </row>
    <row r="18" spans="2:9" x14ac:dyDescent="0.25">
      <c r="B18" s="42">
        <v>16</v>
      </c>
      <c r="C18" s="33">
        <f t="shared" si="8"/>
        <v>14030</v>
      </c>
      <c r="D18" s="33">
        <f t="shared" si="7"/>
        <v>14059</v>
      </c>
      <c r="E18" s="33">
        <f t="shared" si="7"/>
        <v>14088.58</v>
      </c>
      <c r="F18" s="33">
        <f t="shared" si="7"/>
        <v>11682.0268</v>
      </c>
      <c r="G18" s="34">
        <f t="shared" si="7"/>
        <v>11712.067336</v>
      </c>
    </row>
    <row r="19" spans="2:9" x14ac:dyDescent="0.25">
      <c r="B19" s="42">
        <v>17</v>
      </c>
      <c r="C19" s="33">
        <f t="shared" si="8"/>
        <v>14780</v>
      </c>
      <c r="D19" s="33">
        <f t="shared" si="7"/>
        <v>14809</v>
      </c>
      <c r="E19" s="33">
        <f t="shared" si="7"/>
        <v>14838.58</v>
      </c>
      <c r="F19" s="33">
        <f t="shared" si="7"/>
        <v>12282.0268</v>
      </c>
      <c r="G19" s="34">
        <f t="shared" si="7"/>
        <v>12312.067336</v>
      </c>
    </row>
    <row r="20" spans="2:9" x14ac:dyDescent="0.25">
      <c r="B20" s="42">
        <v>18</v>
      </c>
      <c r="C20" s="33">
        <f t="shared" si="8"/>
        <v>15530</v>
      </c>
      <c r="D20" s="33">
        <f t="shared" si="7"/>
        <v>15559</v>
      </c>
      <c r="E20" s="33">
        <f t="shared" si="7"/>
        <v>15588.58</v>
      </c>
      <c r="F20" s="33">
        <f t="shared" si="7"/>
        <v>12882.0268</v>
      </c>
      <c r="G20" s="34">
        <f t="shared" si="7"/>
        <v>12912.067336</v>
      </c>
    </row>
    <row r="21" spans="2:9" x14ac:dyDescent="0.25">
      <c r="B21" s="42">
        <v>19</v>
      </c>
      <c r="C21" s="33">
        <f t="shared" si="8"/>
        <v>16280</v>
      </c>
      <c r="D21" s="33">
        <f t="shared" si="7"/>
        <v>16309</v>
      </c>
      <c r="E21" s="33">
        <f t="shared" si="7"/>
        <v>16338.58</v>
      </c>
      <c r="F21" s="33">
        <f t="shared" si="7"/>
        <v>13482.0268</v>
      </c>
      <c r="G21" s="34">
        <f t="shared" si="7"/>
        <v>13512.067336</v>
      </c>
    </row>
    <row r="22" spans="2:9" x14ac:dyDescent="0.25">
      <c r="B22" s="42">
        <v>20</v>
      </c>
      <c r="C22" s="33">
        <f t="shared" si="8"/>
        <v>17030</v>
      </c>
      <c r="D22" s="33">
        <f t="shared" si="7"/>
        <v>17059</v>
      </c>
      <c r="E22" s="33">
        <f t="shared" si="7"/>
        <v>17088.580000000002</v>
      </c>
      <c r="F22" s="33">
        <f t="shared" si="7"/>
        <v>14082.0268</v>
      </c>
      <c r="G22" s="34">
        <f t="shared" si="7"/>
        <v>14112.067336</v>
      </c>
    </row>
    <row r="23" spans="2:9" x14ac:dyDescent="0.25">
      <c r="B23" s="42">
        <v>21</v>
      </c>
      <c r="C23" s="33">
        <f t="shared" si="8"/>
        <v>17780</v>
      </c>
      <c r="D23" s="33">
        <f t="shared" si="7"/>
        <v>17809</v>
      </c>
      <c r="E23" s="33">
        <f t="shared" si="7"/>
        <v>17838.580000000002</v>
      </c>
      <c r="F23" s="33">
        <f t="shared" si="7"/>
        <v>14682.0268</v>
      </c>
      <c r="G23" s="34">
        <f t="shared" si="7"/>
        <v>14712.067336</v>
      </c>
    </row>
    <row r="24" spans="2:9" x14ac:dyDescent="0.25">
      <c r="B24" s="42">
        <v>22</v>
      </c>
      <c r="C24" s="33">
        <f t="shared" si="8"/>
        <v>18530</v>
      </c>
      <c r="D24" s="33">
        <f t="shared" si="7"/>
        <v>18559</v>
      </c>
      <c r="E24" s="33">
        <f t="shared" si="7"/>
        <v>18588.580000000002</v>
      </c>
      <c r="F24" s="33">
        <f t="shared" si="7"/>
        <v>15282.0268</v>
      </c>
      <c r="G24" s="34">
        <f t="shared" si="7"/>
        <v>15312.067336</v>
      </c>
    </row>
    <row r="25" spans="2:9" x14ac:dyDescent="0.25">
      <c r="B25" s="42">
        <v>23</v>
      </c>
      <c r="C25" s="33">
        <f t="shared" si="8"/>
        <v>19280</v>
      </c>
      <c r="D25" s="33">
        <f t="shared" si="7"/>
        <v>19309</v>
      </c>
      <c r="E25" s="33">
        <f t="shared" si="7"/>
        <v>19338.580000000002</v>
      </c>
      <c r="F25" s="33">
        <f t="shared" si="7"/>
        <v>15882.0268</v>
      </c>
      <c r="G25" s="34">
        <f t="shared" si="7"/>
        <v>15912.067336</v>
      </c>
    </row>
    <row r="26" spans="2:9" x14ac:dyDescent="0.25">
      <c r="B26" s="42">
        <v>24</v>
      </c>
      <c r="C26" s="33">
        <f t="shared" si="8"/>
        <v>20030</v>
      </c>
      <c r="D26" s="33">
        <f t="shared" si="7"/>
        <v>20059</v>
      </c>
      <c r="E26" s="33">
        <f t="shared" si="7"/>
        <v>20088.580000000002</v>
      </c>
      <c r="F26" s="33">
        <f t="shared" si="7"/>
        <v>16482.0268</v>
      </c>
      <c r="G26" s="34">
        <f t="shared" si="7"/>
        <v>16512.067336</v>
      </c>
    </row>
    <row r="27" spans="2:9" ht="15.75" thickBot="1" x14ac:dyDescent="0.3">
      <c r="B27" s="43">
        <v>25</v>
      </c>
      <c r="C27" s="44">
        <f t="shared" si="8"/>
        <v>20780</v>
      </c>
      <c r="D27" s="44">
        <f t="shared" si="7"/>
        <v>20809</v>
      </c>
      <c r="E27" s="44">
        <f t="shared" si="7"/>
        <v>20838.580000000002</v>
      </c>
      <c r="F27" s="44">
        <f t="shared" si="7"/>
        <v>17082.0268</v>
      </c>
      <c r="G27" s="45">
        <f>G$2+G$7+G$10*$B27</f>
        <v>17112.067336</v>
      </c>
    </row>
    <row r="29" spans="2:9" ht="15.75" thickBot="1" x14ac:dyDescent="0.3">
      <c r="B29" s="24"/>
      <c r="I29" t="s">
        <v>58</v>
      </c>
    </row>
    <row r="30" spans="2:9" ht="15.75" thickBot="1" x14ac:dyDescent="0.3">
      <c r="B30" s="50"/>
      <c r="C30" s="486" t="s">
        <v>55</v>
      </c>
      <c r="D30" s="501"/>
      <c r="E30" s="501"/>
      <c r="F30" s="501"/>
      <c r="G30" s="502"/>
    </row>
    <row r="31" spans="2:9" x14ac:dyDescent="0.25">
      <c r="B31" s="64" t="s">
        <v>56</v>
      </c>
      <c r="C31" s="62" t="s">
        <v>1</v>
      </c>
      <c r="D31" s="62" t="s">
        <v>2</v>
      </c>
      <c r="E31" s="62" t="s">
        <v>3</v>
      </c>
      <c r="F31" s="62" t="s">
        <v>4</v>
      </c>
      <c r="G31" s="63" t="s">
        <v>5</v>
      </c>
    </row>
    <row r="32" spans="2:9" x14ac:dyDescent="0.25">
      <c r="B32" s="46">
        <v>12</v>
      </c>
      <c r="C32" s="47">
        <v>10000</v>
      </c>
      <c r="D32" s="47">
        <f>C32*1.1</f>
        <v>11000</v>
      </c>
      <c r="E32" s="47">
        <f>D32*1.1</f>
        <v>12100.000000000002</v>
      </c>
      <c r="F32" s="47">
        <f>E32*1.25</f>
        <v>15125.000000000002</v>
      </c>
      <c r="G32" s="48">
        <f>F32*1.2</f>
        <v>18150</v>
      </c>
    </row>
    <row r="33" spans="2:7" x14ac:dyDescent="0.25">
      <c r="B33" s="46">
        <v>13</v>
      </c>
      <c r="C33" s="47">
        <f>C32*B33/B32</f>
        <v>10833.333333333334</v>
      </c>
      <c r="D33" s="47">
        <f t="shared" ref="D33:E45" si="9">C33*1.1</f>
        <v>11916.666666666668</v>
      </c>
      <c r="E33" s="47">
        <f t="shared" si="9"/>
        <v>13108.333333333336</v>
      </c>
      <c r="F33" s="47">
        <f t="shared" ref="F33:F45" si="10">E33*1.25</f>
        <v>16385.416666666672</v>
      </c>
      <c r="G33" s="48">
        <f t="shared" ref="G33:G45" si="11">F33*1.2</f>
        <v>19662.500000000004</v>
      </c>
    </row>
    <row r="34" spans="2:7" x14ac:dyDescent="0.25">
      <c r="B34" s="46">
        <v>14</v>
      </c>
      <c r="C34" s="47">
        <f>C33*B34/B33</f>
        <v>11666.666666666668</v>
      </c>
      <c r="D34" s="47">
        <f t="shared" si="9"/>
        <v>12833.333333333336</v>
      </c>
      <c r="E34" s="47">
        <f t="shared" si="9"/>
        <v>14116.66666666667</v>
      </c>
      <c r="F34" s="47">
        <f t="shared" si="10"/>
        <v>17645.833333333336</v>
      </c>
      <c r="G34" s="48">
        <f t="shared" si="11"/>
        <v>21175.000000000004</v>
      </c>
    </row>
    <row r="35" spans="2:7" x14ac:dyDescent="0.25">
      <c r="B35" s="46">
        <v>15</v>
      </c>
      <c r="C35" s="47">
        <f t="shared" ref="C35:C45" si="12">C34*B35/B34</f>
        <v>12500.000000000002</v>
      </c>
      <c r="D35" s="47">
        <f t="shared" si="9"/>
        <v>13750.000000000004</v>
      </c>
      <c r="E35" s="47">
        <f t="shared" si="9"/>
        <v>15125.000000000005</v>
      </c>
      <c r="F35" s="47">
        <f t="shared" si="10"/>
        <v>18906.250000000007</v>
      </c>
      <c r="G35" s="48">
        <f t="shared" si="11"/>
        <v>22687.500000000007</v>
      </c>
    </row>
    <row r="36" spans="2:7" x14ac:dyDescent="0.25">
      <c r="B36" s="46">
        <v>16</v>
      </c>
      <c r="C36" s="47">
        <f t="shared" si="12"/>
        <v>13333.333333333336</v>
      </c>
      <c r="D36" s="47">
        <f t="shared" si="9"/>
        <v>14666.66666666667</v>
      </c>
      <c r="E36" s="47">
        <f t="shared" si="9"/>
        <v>16133.333333333338</v>
      </c>
      <c r="F36" s="47">
        <f t="shared" si="10"/>
        <v>20166.666666666672</v>
      </c>
      <c r="G36" s="48">
        <f t="shared" si="11"/>
        <v>24200.000000000004</v>
      </c>
    </row>
    <row r="37" spans="2:7" x14ac:dyDescent="0.25">
      <c r="B37" s="46">
        <v>17</v>
      </c>
      <c r="C37" s="47">
        <f t="shared" si="12"/>
        <v>14166.66666666667</v>
      </c>
      <c r="D37" s="47">
        <f t="shared" si="9"/>
        <v>15583.333333333338</v>
      </c>
      <c r="E37" s="47">
        <f t="shared" si="9"/>
        <v>17141.666666666672</v>
      </c>
      <c r="F37" s="47">
        <f t="shared" si="10"/>
        <v>21427.083333333339</v>
      </c>
      <c r="G37" s="48">
        <f t="shared" si="11"/>
        <v>25712.500000000007</v>
      </c>
    </row>
    <row r="38" spans="2:7" x14ac:dyDescent="0.25">
      <c r="B38" s="46">
        <v>18</v>
      </c>
      <c r="C38" s="47">
        <f t="shared" si="12"/>
        <v>15000.000000000004</v>
      </c>
      <c r="D38" s="47">
        <f t="shared" si="9"/>
        <v>16500.000000000004</v>
      </c>
      <c r="E38" s="47">
        <f t="shared" si="9"/>
        <v>18150.000000000007</v>
      </c>
      <c r="F38" s="47">
        <f t="shared" si="10"/>
        <v>22687.500000000007</v>
      </c>
      <c r="G38" s="48">
        <f t="shared" si="11"/>
        <v>27225.000000000007</v>
      </c>
    </row>
    <row r="39" spans="2:7" x14ac:dyDescent="0.25">
      <c r="B39" s="46">
        <v>19</v>
      </c>
      <c r="C39" s="47">
        <f t="shared" si="12"/>
        <v>15833.333333333336</v>
      </c>
      <c r="D39" s="47">
        <f t="shared" si="9"/>
        <v>17416.666666666672</v>
      </c>
      <c r="E39" s="47">
        <f t="shared" si="9"/>
        <v>19158.333333333339</v>
      </c>
      <c r="F39" s="47">
        <f t="shared" si="10"/>
        <v>23947.916666666675</v>
      </c>
      <c r="G39" s="48">
        <f t="shared" si="11"/>
        <v>28737.500000000011</v>
      </c>
    </row>
    <row r="40" spans="2:7" x14ac:dyDescent="0.25">
      <c r="B40" s="46">
        <v>20</v>
      </c>
      <c r="C40" s="47">
        <f t="shared" si="12"/>
        <v>16666.666666666672</v>
      </c>
      <c r="D40" s="47">
        <f t="shared" si="9"/>
        <v>18333.333333333339</v>
      </c>
      <c r="E40" s="47">
        <f t="shared" si="9"/>
        <v>20166.666666666675</v>
      </c>
      <c r="F40" s="47">
        <f t="shared" si="10"/>
        <v>25208.333333333343</v>
      </c>
      <c r="G40" s="48">
        <f t="shared" si="11"/>
        <v>30250.000000000011</v>
      </c>
    </row>
    <row r="41" spans="2:7" x14ac:dyDescent="0.25">
      <c r="B41" s="46">
        <v>21</v>
      </c>
      <c r="C41" s="47">
        <f t="shared" si="12"/>
        <v>17500.000000000007</v>
      </c>
      <c r="D41" s="47">
        <f t="shared" si="9"/>
        <v>19250.000000000011</v>
      </c>
      <c r="E41" s="47">
        <f t="shared" si="9"/>
        <v>21175.000000000015</v>
      </c>
      <c r="F41" s="47">
        <f t="shared" si="10"/>
        <v>26468.750000000018</v>
      </c>
      <c r="G41" s="48">
        <f t="shared" si="11"/>
        <v>31762.500000000022</v>
      </c>
    </row>
    <row r="42" spans="2:7" x14ac:dyDescent="0.25">
      <c r="B42" s="46">
        <v>22</v>
      </c>
      <c r="C42" s="47">
        <f t="shared" si="12"/>
        <v>18333.333333333343</v>
      </c>
      <c r="D42" s="47">
        <f t="shared" si="9"/>
        <v>20166.666666666679</v>
      </c>
      <c r="E42" s="47">
        <f t="shared" si="9"/>
        <v>22183.333333333347</v>
      </c>
      <c r="F42" s="47">
        <f t="shared" si="10"/>
        <v>27729.166666666682</v>
      </c>
      <c r="G42" s="48">
        <f t="shared" si="11"/>
        <v>33275.000000000015</v>
      </c>
    </row>
    <row r="43" spans="2:7" x14ac:dyDescent="0.25">
      <c r="B43" s="46">
        <v>23</v>
      </c>
      <c r="C43" s="47">
        <f t="shared" si="12"/>
        <v>19166.666666666675</v>
      </c>
      <c r="D43" s="47">
        <f t="shared" si="9"/>
        <v>21083.333333333343</v>
      </c>
      <c r="E43" s="47">
        <f t="shared" si="9"/>
        <v>23191.666666666679</v>
      </c>
      <c r="F43" s="47">
        <f t="shared" si="10"/>
        <v>28989.58333333335</v>
      </c>
      <c r="G43" s="48">
        <f t="shared" si="11"/>
        <v>34787.500000000022</v>
      </c>
    </row>
    <row r="44" spans="2:7" x14ac:dyDescent="0.25">
      <c r="B44" s="46">
        <v>24</v>
      </c>
      <c r="C44" s="47">
        <f t="shared" si="12"/>
        <v>20000.000000000011</v>
      </c>
      <c r="D44" s="47">
        <f t="shared" si="9"/>
        <v>22000.000000000015</v>
      </c>
      <c r="E44" s="47">
        <f t="shared" si="9"/>
        <v>24200.000000000018</v>
      </c>
      <c r="F44" s="47">
        <f t="shared" si="10"/>
        <v>30250.000000000022</v>
      </c>
      <c r="G44" s="48">
        <f t="shared" si="11"/>
        <v>36300.000000000022</v>
      </c>
    </row>
    <row r="45" spans="2:7" ht="15.75" thickBot="1" x14ac:dyDescent="0.3">
      <c r="B45" s="49">
        <v>25</v>
      </c>
      <c r="C45" s="484">
        <f t="shared" si="12"/>
        <v>20833.333333333347</v>
      </c>
      <c r="D45" s="484">
        <f t="shared" si="9"/>
        <v>22916.666666666682</v>
      </c>
      <c r="E45" s="484">
        <f t="shared" si="9"/>
        <v>25208.333333333354</v>
      </c>
      <c r="F45" s="484">
        <f t="shared" si="10"/>
        <v>31510.416666666693</v>
      </c>
      <c r="G45" s="485">
        <f t="shared" si="11"/>
        <v>37812.500000000029</v>
      </c>
    </row>
    <row r="46" spans="2:7" ht="15.75" thickBot="1" x14ac:dyDescent="0.3"/>
    <row r="47" spans="2:7" ht="15.75" thickBot="1" x14ac:dyDescent="0.3">
      <c r="B47" s="51"/>
      <c r="C47" s="486" t="s">
        <v>57</v>
      </c>
      <c r="D47" s="501"/>
      <c r="E47" s="501"/>
      <c r="F47" s="501"/>
      <c r="G47" s="502"/>
    </row>
    <row r="48" spans="2:7" x14ac:dyDescent="0.25">
      <c r="B48" s="64" t="s">
        <v>56</v>
      </c>
      <c r="C48" s="62" t="s">
        <v>1</v>
      </c>
      <c r="D48" s="62" t="s">
        <v>2</v>
      </c>
      <c r="E48" s="62" t="s">
        <v>3</v>
      </c>
      <c r="F48" s="62" t="s">
        <v>4</v>
      </c>
      <c r="G48" s="63" t="s">
        <v>5</v>
      </c>
    </row>
    <row r="49" spans="2:12" x14ac:dyDescent="0.25">
      <c r="B49" s="42">
        <v>12</v>
      </c>
      <c r="C49" s="52">
        <f>C14+C32</f>
        <v>21030</v>
      </c>
      <c r="D49" s="52">
        <f t="shared" ref="D49" si="13">D14+D32</f>
        <v>22059</v>
      </c>
      <c r="E49" s="52">
        <f>E14+E32</f>
        <v>23188.58</v>
      </c>
      <c r="F49" s="52">
        <f>F14+F32</f>
        <v>24407.0268</v>
      </c>
      <c r="G49" s="53">
        <f>G14+G32</f>
        <v>27462.067336</v>
      </c>
      <c r="J49" s="417"/>
      <c r="L49" t="s">
        <v>178</v>
      </c>
    </row>
    <row r="50" spans="2:12" x14ac:dyDescent="0.25">
      <c r="B50" s="42">
        <v>13</v>
      </c>
      <c r="C50" s="52">
        <f t="shared" ref="C50:G50" si="14">C15+C33</f>
        <v>22613.333333333336</v>
      </c>
      <c r="D50" s="52">
        <f t="shared" si="14"/>
        <v>23725.666666666668</v>
      </c>
      <c r="E50" s="52">
        <f t="shared" si="14"/>
        <v>24946.913333333338</v>
      </c>
      <c r="F50" s="52">
        <f t="shared" si="14"/>
        <v>26267.443466666671</v>
      </c>
      <c r="G50" s="53">
        <f t="shared" si="14"/>
        <v>29574.567336000004</v>
      </c>
    </row>
    <row r="51" spans="2:12" x14ac:dyDescent="0.25">
      <c r="B51" s="42">
        <v>14</v>
      </c>
      <c r="C51" s="52">
        <f t="shared" ref="C51:G51" si="15">C16+C34</f>
        <v>24196.666666666668</v>
      </c>
      <c r="D51" s="52">
        <f t="shared" si="15"/>
        <v>25392.333333333336</v>
      </c>
      <c r="E51" s="52">
        <f t="shared" si="15"/>
        <v>26705.24666666667</v>
      </c>
      <c r="F51" s="52">
        <f t="shared" si="15"/>
        <v>28127.860133333335</v>
      </c>
      <c r="G51" s="53">
        <f t="shared" si="15"/>
        <v>31687.067336000004</v>
      </c>
    </row>
    <row r="52" spans="2:12" x14ac:dyDescent="0.25">
      <c r="B52" s="42">
        <v>15</v>
      </c>
      <c r="C52" s="52">
        <f t="shared" ref="C52:G52" si="16">C17+C35</f>
        <v>25780</v>
      </c>
      <c r="D52" s="52">
        <f t="shared" si="16"/>
        <v>27059.000000000004</v>
      </c>
      <c r="E52" s="52">
        <f t="shared" si="16"/>
        <v>28463.580000000005</v>
      </c>
      <c r="F52" s="52">
        <f t="shared" si="16"/>
        <v>29988.276800000007</v>
      </c>
      <c r="G52" s="53">
        <f t="shared" si="16"/>
        <v>33799.567336000007</v>
      </c>
    </row>
    <row r="53" spans="2:12" x14ac:dyDescent="0.25">
      <c r="B53" s="42">
        <v>16</v>
      </c>
      <c r="C53" s="52">
        <f t="shared" ref="C53:G53" si="17">C18+C36</f>
        <v>27363.333333333336</v>
      </c>
      <c r="D53" s="52">
        <f t="shared" si="17"/>
        <v>28725.666666666672</v>
      </c>
      <c r="E53" s="52">
        <f t="shared" si="17"/>
        <v>30221.913333333338</v>
      </c>
      <c r="F53" s="52">
        <f t="shared" si="17"/>
        <v>31848.693466666671</v>
      </c>
      <c r="G53" s="53">
        <f t="shared" si="17"/>
        <v>35912.067336000007</v>
      </c>
    </row>
    <row r="54" spans="2:12" x14ac:dyDescent="0.25">
      <c r="B54" s="42">
        <v>17</v>
      </c>
      <c r="C54" s="52">
        <f t="shared" ref="C54:G54" si="18">C19+C37</f>
        <v>28946.666666666672</v>
      </c>
      <c r="D54" s="52">
        <f t="shared" si="18"/>
        <v>30392.333333333336</v>
      </c>
      <c r="E54" s="52">
        <f t="shared" si="18"/>
        <v>31980.246666666673</v>
      </c>
      <c r="F54" s="52">
        <f t="shared" si="18"/>
        <v>33709.110133333335</v>
      </c>
      <c r="G54" s="53">
        <f t="shared" si="18"/>
        <v>38024.567336000007</v>
      </c>
    </row>
    <row r="55" spans="2:12" x14ac:dyDescent="0.25">
      <c r="B55" s="42">
        <v>18</v>
      </c>
      <c r="C55" s="52">
        <f t="shared" ref="C55:G55" si="19">C20+C38</f>
        <v>30530.000000000004</v>
      </c>
      <c r="D55" s="52">
        <f t="shared" si="19"/>
        <v>32059.000000000004</v>
      </c>
      <c r="E55" s="52">
        <f t="shared" si="19"/>
        <v>33738.580000000009</v>
      </c>
      <c r="F55" s="52">
        <f t="shared" si="19"/>
        <v>35569.526800000007</v>
      </c>
      <c r="G55" s="53">
        <f t="shared" si="19"/>
        <v>40137.067336000007</v>
      </c>
    </row>
    <row r="56" spans="2:12" x14ac:dyDescent="0.25">
      <c r="B56" s="42">
        <v>19</v>
      </c>
      <c r="C56" s="52">
        <f t="shared" ref="C56:G56" si="20">C21+C39</f>
        <v>32113.333333333336</v>
      </c>
      <c r="D56" s="52">
        <f t="shared" si="20"/>
        <v>33725.666666666672</v>
      </c>
      <c r="E56" s="52">
        <f t="shared" si="20"/>
        <v>35496.913333333338</v>
      </c>
      <c r="F56" s="52">
        <f t="shared" si="20"/>
        <v>37429.943466666678</v>
      </c>
      <c r="G56" s="53">
        <f t="shared" si="20"/>
        <v>42249.567336000007</v>
      </c>
    </row>
    <row r="57" spans="2:12" x14ac:dyDescent="0.25">
      <c r="B57" s="42">
        <v>20</v>
      </c>
      <c r="C57" s="52">
        <f t="shared" ref="C57:G57" si="21">C22+C40</f>
        <v>33696.666666666672</v>
      </c>
      <c r="D57" s="52">
        <f t="shared" si="21"/>
        <v>35392.333333333343</v>
      </c>
      <c r="E57" s="52">
        <f t="shared" si="21"/>
        <v>37255.246666666673</v>
      </c>
      <c r="F57" s="52">
        <f t="shared" si="21"/>
        <v>39290.360133333343</v>
      </c>
      <c r="G57" s="53">
        <f t="shared" si="21"/>
        <v>44362.067336000007</v>
      </c>
    </row>
    <row r="58" spans="2:12" x14ac:dyDescent="0.25">
      <c r="B58" s="42">
        <v>21</v>
      </c>
      <c r="C58" s="52">
        <f t="shared" ref="C58:G58" si="22">C23+C41</f>
        <v>35280.000000000007</v>
      </c>
      <c r="D58" s="52">
        <f t="shared" si="22"/>
        <v>37059.000000000015</v>
      </c>
      <c r="E58" s="52">
        <f t="shared" si="22"/>
        <v>39013.580000000016</v>
      </c>
      <c r="F58" s="52">
        <f t="shared" si="22"/>
        <v>41150.776800000021</v>
      </c>
      <c r="G58" s="53">
        <f t="shared" si="22"/>
        <v>46474.567336000022</v>
      </c>
    </row>
    <row r="59" spans="2:12" x14ac:dyDescent="0.25">
      <c r="B59" s="42">
        <v>22</v>
      </c>
      <c r="C59" s="52">
        <f t="shared" ref="C59:G59" si="23">C24+C42</f>
        <v>36863.333333333343</v>
      </c>
      <c r="D59" s="52">
        <f t="shared" si="23"/>
        <v>38725.666666666679</v>
      </c>
      <c r="E59" s="52">
        <f t="shared" si="23"/>
        <v>40771.913333333345</v>
      </c>
      <c r="F59" s="52">
        <f t="shared" si="23"/>
        <v>43011.193466666678</v>
      </c>
      <c r="G59" s="53">
        <f t="shared" si="23"/>
        <v>48587.067336000015</v>
      </c>
    </row>
    <row r="60" spans="2:12" x14ac:dyDescent="0.25">
      <c r="B60" s="42">
        <v>23</v>
      </c>
      <c r="C60" s="52">
        <f t="shared" ref="C60:G60" si="24">C25+C43</f>
        <v>38446.666666666672</v>
      </c>
      <c r="D60" s="52">
        <f t="shared" si="24"/>
        <v>40392.333333333343</v>
      </c>
      <c r="E60" s="52">
        <f t="shared" si="24"/>
        <v>42530.246666666681</v>
      </c>
      <c r="F60" s="52">
        <f t="shared" si="24"/>
        <v>44871.61013333335</v>
      </c>
      <c r="G60" s="53">
        <f t="shared" si="24"/>
        <v>50699.567336000022</v>
      </c>
    </row>
    <row r="61" spans="2:12" x14ac:dyDescent="0.25">
      <c r="B61" s="42">
        <v>24</v>
      </c>
      <c r="C61" s="52">
        <f t="shared" ref="C61:G61" si="25">C26+C44</f>
        <v>40030.000000000015</v>
      </c>
      <c r="D61" s="52">
        <f t="shared" si="25"/>
        <v>42059.000000000015</v>
      </c>
      <c r="E61" s="52">
        <f t="shared" si="25"/>
        <v>44288.580000000016</v>
      </c>
      <c r="F61" s="52">
        <f t="shared" si="25"/>
        <v>46732.026800000021</v>
      </c>
      <c r="G61" s="53">
        <f t="shared" si="25"/>
        <v>52812.067336000022</v>
      </c>
    </row>
    <row r="62" spans="2:12" ht="15.75" thickBot="1" x14ac:dyDescent="0.3">
      <c r="B62" s="43">
        <v>25</v>
      </c>
      <c r="C62" s="54">
        <f t="shared" ref="C62:G62" si="26">C27+C45</f>
        <v>41613.333333333343</v>
      </c>
      <c r="D62" s="54">
        <f t="shared" si="26"/>
        <v>43725.666666666686</v>
      </c>
      <c r="E62" s="54">
        <f>E27+E45</f>
        <v>46046.913333333359</v>
      </c>
      <c r="F62" s="54">
        <f t="shared" si="26"/>
        <v>48592.443466666693</v>
      </c>
      <c r="G62" s="55">
        <f t="shared" si="26"/>
        <v>54924.567336000029</v>
      </c>
    </row>
  </sheetData>
  <mergeCells count="3">
    <mergeCell ref="C12:G12"/>
    <mergeCell ref="C30:G30"/>
    <mergeCell ref="C47:G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AB664-E32C-4B57-8041-2335BACB23D8}">
  <sheetPr codeName="Feuil3">
    <tabColor rgb="FFE53A05"/>
  </sheetPr>
  <dimension ref="A1:N91"/>
  <sheetViews>
    <sheetView topLeftCell="D1" zoomScaleNormal="100" workbookViewId="0">
      <pane ySplit="1" topLeftCell="A62" activePane="bottomLeft" state="frozen"/>
      <selection activeCell="I26" sqref="I26"/>
      <selection pane="bottomLeft" activeCell="D27" sqref="D27"/>
    </sheetView>
  </sheetViews>
  <sheetFormatPr baseColWidth="10" defaultRowHeight="15" x14ac:dyDescent="0.25"/>
  <cols>
    <col min="2" max="2" width="43.42578125" bestFit="1" customWidth="1"/>
    <col min="3" max="3" width="11.85546875" bestFit="1" customWidth="1"/>
    <col min="4" max="6" width="12.7109375" bestFit="1" customWidth="1"/>
    <col min="7" max="7" width="12.28515625" customWidth="1"/>
    <col min="9" max="9" width="43.42578125" bestFit="1" customWidth="1"/>
    <col min="12" max="14" width="12.42578125" bestFit="1" customWidth="1"/>
  </cols>
  <sheetData>
    <row r="1" spans="1:14" s="94" customFormat="1" ht="26.25" customHeight="1" thickBot="1" x14ac:dyDescent="0.3">
      <c r="A1" s="93"/>
      <c r="B1" s="437" t="s">
        <v>59</v>
      </c>
      <c r="C1" s="88" t="s">
        <v>40</v>
      </c>
      <c r="D1" s="89" t="s">
        <v>41</v>
      </c>
      <c r="E1" s="89" t="s">
        <v>42</v>
      </c>
      <c r="F1" s="89" t="s">
        <v>43</v>
      </c>
      <c r="G1" s="90" t="s">
        <v>44</v>
      </c>
      <c r="H1" s="92"/>
      <c r="I1" s="437" t="s">
        <v>60</v>
      </c>
      <c r="J1" s="88" t="s">
        <v>40</v>
      </c>
      <c r="K1" s="89" t="s">
        <v>41</v>
      </c>
      <c r="L1" s="89" t="s">
        <v>42</v>
      </c>
      <c r="M1" s="89" t="s">
        <v>43</v>
      </c>
      <c r="N1" s="90" t="s">
        <v>44</v>
      </c>
    </row>
    <row r="2" spans="1:14" x14ac:dyDescent="0.25">
      <c r="B2" s="66"/>
      <c r="C2" s="67"/>
      <c r="D2" s="68"/>
      <c r="E2" s="68"/>
      <c r="F2" s="68"/>
      <c r="G2" s="68"/>
      <c r="H2" s="65"/>
      <c r="I2" s="66"/>
      <c r="J2" s="67"/>
      <c r="K2" s="68"/>
      <c r="L2" s="68"/>
      <c r="M2" s="68"/>
      <c r="N2" s="68"/>
    </row>
    <row r="3" spans="1:14" ht="15.75" thickBot="1" x14ac:dyDescent="0.3">
      <c r="B3" s="66"/>
      <c r="C3" s="67"/>
      <c r="D3" s="68"/>
      <c r="E3" s="68"/>
      <c r="F3" s="68"/>
      <c r="G3" s="68"/>
      <c r="H3" s="65"/>
      <c r="I3" s="66"/>
      <c r="J3" s="67"/>
      <c r="K3" s="68"/>
      <c r="L3" s="68"/>
      <c r="M3" s="68"/>
      <c r="N3" s="68"/>
    </row>
    <row r="4" spans="1:14" ht="15.75" thickBot="1" x14ac:dyDescent="0.3">
      <c r="B4" s="66"/>
      <c r="C4" s="486" t="s">
        <v>78</v>
      </c>
      <c r="D4" s="501"/>
      <c r="E4" s="501"/>
      <c r="F4" s="501"/>
      <c r="G4" s="502"/>
      <c r="H4" s="65"/>
      <c r="I4" s="66"/>
      <c r="J4" s="486" t="s">
        <v>78</v>
      </c>
      <c r="K4" s="501"/>
      <c r="L4" s="501"/>
      <c r="M4" s="501"/>
      <c r="N4" s="502"/>
    </row>
    <row r="5" spans="1:14" x14ac:dyDescent="0.25">
      <c r="B5" s="91" t="s">
        <v>80</v>
      </c>
      <c r="C5" s="62" t="s">
        <v>1</v>
      </c>
      <c r="D5" s="62" t="s">
        <v>2</v>
      </c>
      <c r="E5" s="62" t="s">
        <v>3</v>
      </c>
      <c r="F5" s="62" t="s">
        <v>4</v>
      </c>
      <c r="G5" s="63" t="s">
        <v>5</v>
      </c>
      <c r="H5" s="65"/>
      <c r="I5" s="91" t="s">
        <v>80</v>
      </c>
      <c r="J5" s="101" t="s">
        <v>1</v>
      </c>
      <c r="K5" s="101" t="s">
        <v>2</v>
      </c>
      <c r="L5" s="101" t="s">
        <v>3</v>
      </c>
      <c r="M5" s="101" t="s">
        <v>4</v>
      </c>
      <c r="N5" s="101" t="s">
        <v>5</v>
      </c>
    </row>
    <row r="6" spans="1:14" x14ac:dyDescent="0.25">
      <c r="B6" s="42" t="s">
        <v>75</v>
      </c>
      <c r="C6" s="99">
        <v>7</v>
      </c>
      <c r="D6" s="99">
        <v>10</v>
      </c>
      <c r="E6" s="99">
        <v>16</v>
      </c>
      <c r="F6" s="99">
        <v>18</v>
      </c>
      <c r="G6" s="100">
        <v>21</v>
      </c>
      <c r="H6" s="65"/>
      <c r="I6" s="42" t="s">
        <v>75</v>
      </c>
      <c r="J6" s="99">
        <v>4</v>
      </c>
      <c r="K6" s="99">
        <v>7</v>
      </c>
      <c r="L6" s="99">
        <v>10</v>
      </c>
      <c r="M6" s="99">
        <v>13</v>
      </c>
      <c r="N6" s="100">
        <v>15</v>
      </c>
    </row>
    <row r="7" spans="1:14" x14ac:dyDescent="0.25">
      <c r="B7" s="42" t="s">
        <v>76</v>
      </c>
      <c r="C7" s="79">
        <v>8</v>
      </c>
      <c r="D7" s="79">
        <v>12</v>
      </c>
      <c r="E7" s="79">
        <v>17</v>
      </c>
      <c r="F7" s="79">
        <v>19</v>
      </c>
      <c r="G7" s="80">
        <v>24</v>
      </c>
      <c r="H7" s="65"/>
      <c r="I7" s="42" t="s">
        <v>76</v>
      </c>
      <c r="J7" s="79">
        <v>6</v>
      </c>
      <c r="K7" s="79">
        <v>9</v>
      </c>
      <c r="L7" s="79">
        <v>13</v>
      </c>
      <c r="M7" s="79">
        <v>16</v>
      </c>
      <c r="N7" s="80">
        <v>21</v>
      </c>
    </row>
    <row r="8" spans="1:14" ht="15.75" thickBot="1" x14ac:dyDescent="0.3">
      <c r="B8" s="43" t="s">
        <v>77</v>
      </c>
      <c r="C8" s="81">
        <v>10</v>
      </c>
      <c r="D8" s="81">
        <v>15</v>
      </c>
      <c r="E8" s="81">
        <v>22</v>
      </c>
      <c r="F8" s="81">
        <v>27</v>
      </c>
      <c r="G8" s="82">
        <v>35</v>
      </c>
      <c r="H8" s="65"/>
      <c r="I8" s="85" t="s">
        <v>77</v>
      </c>
      <c r="J8" s="86">
        <v>8</v>
      </c>
      <c r="K8" s="86">
        <v>12</v>
      </c>
      <c r="L8" s="86">
        <v>18</v>
      </c>
      <c r="M8" s="86">
        <v>21</v>
      </c>
      <c r="N8" s="87">
        <v>30</v>
      </c>
    </row>
    <row r="9" spans="1:14" ht="15.75" thickBot="1" x14ac:dyDescent="0.3">
      <c r="B9" s="83" t="s">
        <v>52</v>
      </c>
      <c r="C9" s="84">
        <f>SUM(C6:C8)</f>
        <v>25</v>
      </c>
      <c r="D9" s="84">
        <f t="shared" ref="D9:G9" si="0">SUM(D6:D8)</f>
        <v>37</v>
      </c>
      <c r="E9" s="84">
        <f t="shared" si="0"/>
        <v>55</v>
      </c>
      <c r="F9" s="84">
        <f t="shared" si="0"/>
        <v>64</v>
      </c>
      <c r="G9" s="418">
        <f t="shared" si="0"/>
        <v>80</v>
      </c>
      <c r="H9" s="65"/>
      <c r="I9" s="419" t="s">
        <v>52</v>
      </c>
      <c r="J9" s="420">
        <f>SUM(J6:J8)</f>
        <v>18</v>
      </c>
      <c r="K9" s="420">
        <f t="shared" ref="K9:N9" si="1">SUM(K6:K8)</f>
        <v>28</v>
      </c>
      <c r="L9" s="420">
        <f t="shared" si="1"/>
        <v>41</v>
      </c>
      <c r="M9" s="420">
        <f t="shared" si="1"/>
        <v>50</v>
      </c>
      <c r="N9" s="421">
        <f t="shared" si="1"/>
        <v>66</v>
      </c>
    </row>
    <row r="10" spans="1:14" x14ac:dyDescent="0.25">
      <c r="B10" s="66"/>
      <c r="C10" s="69"/>
      <c r="D10" s="70"/>
      <c r="E10" s="70"/>
      <c r="F10" s="70"/>
      <c r="G10" s="70"/>
      <c r="H10" s="65"/>
      <c r="I10" s="66"/>
      <c r="J10" s="70"/>
      <c r="K10" s="70"/>
      <c r="L10" s="70"/>
      <c r="M10" s="70"/>
      <c r="N10" s="70"/>
    </row>
    <row r="11" spans="1:14" ht="15.75" thickBot="1" x14ac:dyDescent="0.3">
      <c r="B11" s="66"/>
      <c r="C11" s="69"/>
      <c r="D11" s="70"/>
      <c r="E11" s="70"/>
      <c r="F11" s="70"/>
      <c r="G11" s="70"/>
      <c r="H11" s="65"/>
      <c r="I11" s="66"/>
      <c r="J11" s="70"/>
      <c r="K11" s="70"/>
      <c r="L11" s="70"/>
      <c r="M11" s="70"/>
      <c r="N11" s="70"/>
    </row>
    <row r="12" spans="1:14" ht="15.75" thickBot="1" x14ac:dyDescent="0.3">
      <c r="B12" s="66"/>
      <c r="C12" s="486" t="s">
        <v>79</v>
      </c>
      <c r="D12" s="501"/>
      <c r="E12" s="501"/>
      <c r="F12" s="501"/>
      <c r="G12" s="502"/>
      <c r="H12" s="65"/>
      <c r="I12" s="66"/>
      <c r="J12" s="486" t="s">
        <v>79</v>
      </c>
      <c r="K12" s="501"/>
      <c r="L12" s="501"/>
      <c r="M12" s="501"/>
      <c r="N12" s="502"/>
    </row>
    <row r="13" spans="1:14" x14ac:dyDescent="0.25">
      <c r="B13" s="106" t="s">
        <v>56</v>
      </c>
      <c r="C13" s="62" t="s">
        <v>1</v>
      </c>
      <c r="D13" s="62" t="s">
        <v>2</v>
      </c>
      <c r="E13" s="62" t="s">
        <v>3</v>
      </c>
      <c r="F13" s="62" t="s">
        <v>4</v>
      </c>
      <c r="G13" s="63" t="s">
        <v>5</v>
      </c>
      <c r="H13" s="65"/>
      <c r="I13" s="106" t="s">
        <v>56</v>
      </c>
      <c r="J13" s="62" t="s">
        <v>1</v>
      </c>
      <c r="K13" s="62" t="s">
        <v>2</v>
      </c>
      <c r="L13" s="62" t="s">
        <v>3</v>
      </c>
      <c r="M13" s="62" t="s">
        <v>4</v>
      </c>
      <c r="N13" s="63" t="s">
        <v>5</v>
      </c>
    </row>
    <row r="14" spans="1:14" x14ac:dyDescent="0.25">
      <c r="B14" s="46">
        <v>12</v>
      </c>
      <c r="C14" s="105">
        <f>'variable costs'!C49</f>
        <v>21030</v>
      </c>
      <c r="D14" s="105">
        <f>'variable costs'!D49</f>
        <v>22059</v>
      </c>
      <c r="E14" s="105">
        <f>'variable costs'!E49</f>
        <v>23188.58</v>
      </c>
      <c r="F14" s="105">
        <f>'variable costs'!F49</f>
        <v>24407.0268</v>
      </c>
      <c r="G14" s="108">
        <f>'variable costs'!G49</f>
        <v>27462.067336</v>
      </c>
      <c r="H14" s="65"/>
      <c r="I14" s="46">
        <v>12</v>
      </c>
      <c r="J14" s="111">
        <f>'variable costs'!C49</f>
        <v>21030</v>
      </c>
      <c r="K14" s="95">
        <f>'variable costs'!D49</f>
        <v>22059</v>
      </c>
      <c r="L14" s="95">
        <f>'variable costs'!E49</f>
        <v>23188.58</v>
      </c>
      <c r="M14" s="95">
        <f>'variable costs'!F49</f>
        <v>24407.0268</v>
      </c>
      <c r="N14" s="96">
        <f>'variable costs'!G49</f>
        <v>27462.067336</v>
      </c>
    </row>
    <row r="15" spans="1:14" x14ac:dyDescent="0.25">
      <c r="B15" s="107">
        <v>13</v>
      </c>
      <c r="C15" s="105">
        <f>'variable costs'!C50</f>
        <v>22613.333333333336</v>
      </c>
      <c r="D15" s="105">
        <f>'variable costs'!D50</f>
        <v>23725.666666666668</v>
      </c>
      <c r="E15" s="105">
        <f>'variable costs'!E50</f>
        <v>24946.913333333338</v>
      </c>
      <c r="F15" s="105">
        <f>'variable costs'!F50</f>
        <v>26267.443466666671</v>
      </c>
      <c r="G15" s="108">
        <f>'variable costs'!G50</f>
        <v>29574.567336000004</v>
      </c>
      <c r="H15" s="65"/>
      <c r="I15" s="103">
        <v>13</v>
      </c>
      <c r="J15" s="95">
        <f>'variable costs'!C50</f>
        <v>22613.333333333336</v>
      </c>
      <c r="K15" s="95">
        <f>'variable costs'!D50</f>
        <v>23725.666666666668</v>
      </c>
      <c r="L15" s="95">
        <f>'variable costs'!E50</f>
        <v>24946.913333333338</v>
      </c>
      <c r="M15" s="95">
        <f>'variable costs'!F50</f>
        <v>26267.443466666671</v>
      </c>
      <c r="N15" s="96">
        <f>'variable costs'!G50</f>
        <v>29574.567336000004</v>
      </c>
    </row>
    <row r="16" spans="1:14" x14ac:dyDescent="0.25">
      <c r="B16" s="102">
        <v>14</v>
      </c>
      <c r="C16" s="105">
        <f>'variable costs'!C51</f>
        <v>24196.666666666668</v>
      </c>
      <c r="D16" s="105">
        <f>'variable costs'!D51</f>
        <v>25392.333333333336</v>
      </c>
      <c r="E16" s="105">
        <f>'variable costs'!E51</f>
        <v>26705.24666666667</v>
      </c>
      <c r="F16" s="105">
        <f>'variable costs'!F51</f>
        <v>28127.860133333335</v>
      </c>
      <c r="G16" s="108">
        <f>'variable costs'!G51</f>
        <v>31687.067336000004</v>
      </c>
      <c r="H16" s="65"/>
      <c r="I16" s="42">
        <v>14</v>
      </c>
      <c r="J16" s="95">
        <f>'variable costs'!C51</f>
        <v>24196.666666666668</v>
      </c>
      <c r="K16" s="95">
        <f>'variable costs'!D51</f>
        <v>25392.333333333336</v>
      </c>
      <c r="L16" s="95">
        <f>'variable costs'!E51</f>
        <v>26705.24666666667</v>
      </c>
      <c r="M16" s="95">
        <f>'variable costs'!F51</f>
        <v>28127.860133333335</v>
      </c>
      <c r="N16" s="96">
        <f>'variable costs'!G51</f>
        <v>31687.067336000004</v>
      </c>
    </row>
    <row r="17" spans="2:14" x14ac:dyDescent="0.25">
      <c r="B17" s="102">
        <v>15</v>
      </c>
      <c r="C17" s="105">
        <f>'variable costs'!C52</f>
        <v>25780</v>
      </c>
      <c r="D17" s="105">
        <f>'variable costs'!D52</f>
        <v>27059.000000000004</v>
      </c>
      <c r="E17" s="105">
        <f>'variable costs'!E52</f>
        <v>28463.580000000005</v>
      </c>
      <c r="F17" s="105">
        <f>'variable costs'!F52</f>
        <v>29988.276800000007</v>
      </c>
      <c r="G17" s="108">
        <f>'variable costs'!G52</f>
        <v>33799.567336000007</v>
      </c>
      <c r="H17" s="65"/>
      <c r="I17" s="42">
        <v>15</v>
      </c>
      <c r="J17" s="95">
        <f>'variable costs'!C52</f>
        <v>25780</v>
      </c>
      <c r="K17" s="95">
        <f>'variable costs'!D52</f>
        <v>27059.000000000004</v>
      </c>
      <c r="L17" s="95">
        <f>'variable costs'!E52</f>
        <v>28463.580000000005</v>
      </c>
      <c r="M17" s="95">
        <f>'variable costs'!F52</f>
        <v>29988.276800000007</v>
      </c>
      <c r="N17" s="96">
        <f>'variable costs'!G52</f>
        <v>33799.567336000007</v>
      </c>
    </row>
    <row r="18" spans="2:14" x14ac:dyDescent="0.25">
      <c r="B18" s="102">
        <v>16</v>
      </c>
      <c r="C18" s="105">
        <f>'variable costs'!C53</f>
        <v>27363.333333333336</v>
      </c>
      <c r="D18" s="105">
        <f>'variable costs'!D53</f>
        <v>28725.666666666672</v>
      </c>
      <c r="E18" s="105">
        <f>'variable costs'!E53</f>
        <v>30221.913333333338</v>
      </c>
      <c r="F18" s="105">
        <f>'variable costs'!F53</f>
        <v>31848.693466666671</v>
      </c>
      <c r="G18" s="108">
        <f>'variable costs'!G53</f>
        <v>35912.067336000007</v>
      </c>
      <c r="H18" s="65"/>
      <c r="I18" s="42">
        <v>16</v>
      </c>
      <c r="J18" s="95">
        <f>'variable costs'!C53</f>
        <v>27363.333333333336</v>
      </c>
      <c r="K18" s="95">
        <f>'variable costs'!D53</f>
        <v>28725.666666666672</v>
      </c>
      <c r="L18" s="95">
        <f>'variable costs'!E53</f>
        <v>30221.913333333338</v>
      </c>
      <c r="M18" s="95">
        <f>'variable costs'!F53</f>
        <v>31848.693466666671</v>
      </c>
      <c r="N18" s="96">
        <f>'variable costs'!G53</f>
        <v>35912.067336000007</v>
      </c>
    </row>
    <row r="19" spans="2:14" x14ac:dyDescent="0.25">
      <c r="B19" s="102">
        <v>17</v>
      </c>
      <c r="C19" s="105">
        <f>'variable costs'!C54</f>
        <v>28946.666666666672</v>
      </c>
      <c r="D19" s="105">
        <f>'variable costs'!D54</f>
        <v>30392.333333333336</v>
      </c>
      <c r="E19" s="105">
        <f>'variable costs'!E54</f>
        <v>31980.246666666673</v>
      </c>
      <c r="F19" s="105">
        <f>'variable costs'!F54</f>
        <v>33709.110133333335</v>
      </c>
      <c r="G19" s="108">
        <f>'variable costs'!G54</f>
        <v>38024.567336000007</v>
      </c>
      <c r="H19" s="65"/>
      <c r="I19" s="42">
        <v>17</v>
      </c>
      <c r="J19" s="95">
        <f>'variable costs'!C54</f>
        <v>28946.666666666672</v>
      </c>
      <c r="K19" s="95">
        <f>'variable costs'!D54</f>
        <v>30392.333333333336</v>
      </c>
      <c r="L19" s="95">
        <f>'variable costs'!E54</f>
        <v>31980.246666666673</v>
      </c>
      <c r="M19" s="95">
        <f>'variable costs'!F54</f>
        <v>33709.110133333335</v>
      </c>
      <c r="N19" s="96">
        <f>'variable costs'!G54</f>
        <v>38024.567336000007</v>
      </c>
    </row>
    <row r="20" spans="2:14" x14ac:dyDescent="0.25">
      <c r="B20" s="102">
        <v>18</v>
      </c>
      <c r="C20" s="105">
        <f>'variable costs'!C55</f>
        <v>30530.000000000004</v>
      </c>
      <c r="D20" s="105">
        <f>'variable costs'!D55</f>
        <v>32059.000000000004</v>
      </c>
      <c r="E20" s="105">
        <f>'variable costs'!E55</f>
        <v>33738.580000000009</v>
      </c>
      <c r="F20" s="105">
        <f>'variable costs'!F55</f>
        <v>35569.526800000007</v>
      </c>
      <c r="G20" s="108">
        <f>'variable costs'!G55</f>
        <v>40137.067336000007</v>
      </c>
      <c r="H20" s="65"/>
      <c r="I20" s="42">
        <v>18</v>
      </c>
      <c r="J20" s="95">
        <f>'variable costs'!C55</f>
        <v>30530.000000000004</v>
      </c>
      <c r="K20" s="95">
        <f>'variable costs'!D55</f>
        <v>32059.000000000004</v>
      </c>
      <c r="L20" s="95">
        <f>'variable costs'!E55</f>
        <v>33738.580000000009</v>
      </c>
      <c r="M20" s="95">
        <f>'variable costs'!F55</f>
        <v>35569.526800000007</v>
      </c>
      <c r="N20" s="96">
        <f>'variable costs'!G55</f>
        <v>40137.067336000007</v>
      </c>
    </row>
    <row r="21" spans="2:14" x14ac:dyDescent="0.25">
      <c r="B21" s="102">
        <v>19</v>
      </c>
      <c r="C21" s="105">
        <f>'variable costs'!C56</f>
        <v>32113.333333333336</v>
      </c>
      <c r="D21" s="105">
        <f>'variable costs'!D56</f>
        <v>33725.666666666672</v>
      </c>
      <c r="E21" s="105">
        <f>'variable costs'!E56</f>
        <v>35496.913333333338</v>
      </c>
      <c r="F21" s="105">
        <f>'variable costs'!F56</f>
        <v>37429.943466666678</v>
      </c>
      <c r="G21" s="108">
        <f>'variable costs'!G56</f>
        <v>42249.567336000007</v>
      </c>
      <c r="H21" s="65"/>
      <c r="I21" s="42">
        <v>19</v>
      </c>
      <c r="J21" s="95">
        <f>'variable costs'!C56</f>
        <v>32113.333333333336</v>
      </c>
      <c r="K21" s="95">
        <f>'variable costs'!D56</f>
        <v>33725.666666666672</v>
      </c>
      <c r="L21" s="95">
        <f>'variable costs'!E56</f>
        <v>35496.913333333338</v>
      </c>
      <c r="M21" s="95">
        <f>'variable costs'!F56</f>
        <v>37429.943466666678</v>
      </c>
      <c r="N21" s="96">
        <f>'variable costs'!G56</f>
        <v>42249.567336000007</v>
      </c>
    </row>
    <row r="22" spans="2:14" x14ac:dyDescent="0.25">
      <c r="B22" s="102">
        <v>20</v>
      </c>
      <c r="C22" s="105">
        <f>'variable costs'!C57</f>
        <v>33696.666666666672</v>
      </c>
      <c r="D22" s="105">
        <f>'variable costs'!D57</f>
        <v>35392.333333333343</v>
      </c>
      <c r="E22" s="105">
        <f>'variable costs'!E57</f>
        <v>37255.246666666673</v>
      </c>
      <c r="F22" s="105">
        <f>'variable costs'!F57</f>
        <v>39290.360133333343</v>
      </c>
      <c r="G22" s="108">
        <f>'variable costs'!G57</f>
        <v>44362.067336000007</v>
      </c>
      <c r="H22" s="65"/>
      <c r="I22" s="42">
        <v>20</v>
      </c>
      <c r="J22" s="95">
        <f>'variable costs'!C57</f>
        <v>33696.666666666672</v>
      </c>
      <c r="K22" s="95">
        <f>'variable costs'!D57</f>
        <v>35392.333333333343</v>
      </c>
      <c r="L22" s="95">
        <f>'variable costs'!E57</f>
        <v>37255.246666666673</v>
      </c>
      <c r="M22" s="95">
        <f>'variable costs'!F57</f>
        <v>39290.360133333343</v>
      </c>
      <c r="N22" s="96">
        <f>'variable costs'!G57</f>
        <v>44362.067336000007</v>
      </c>
    </row>
    <row r="23" spans="2:14" x14ac:dyDescent="0.25">
      <c r="B23" s="102">
        <v>21</v>
      </c>
      <c r="C23" s="105">
        <f>'variable costs'!C58</f>
        <v>35280.000000000007</v>
      </c>
      <c r="D23" s="105">
        <f>'variable costs'!D58</f>
        <v>37059.000000000015</v>
      </c>
      <c r="E23" s="105">
        <f>'variable costs'!E58</f>
        <v>39013.580000000016</v>
      </c>
      <c r="F23" s="105">
        <f>'variable costs'!F58</f>
        <v>41150.776800000021</v>
      </c>
      <c r="G23" s="108">
        <f>'variable costs'!G58</f>
        <v>46474.567336000022</v>
      </c>
      <c r="H23" s="65"/>
      <c r="I23" s="42">
        <v>21</v>
      </c>
      <c r="J23" s="95">
        <f>'variable costs'!C58</f>
        <v>35280.000000000007</v>
      </c>
      <c r="K23" s="95">
        <f>'variable costs'!D58</f>
        <v>37059.000000000015</v>
      </c>
      <c r="L23" s="95">
        <f>'variable costs'!E58</f>
        <v>39013.580000000016</v>
      </c>
      <c r="M23" s="95">
        <f>'variable costs'!F58</f>
        <v>41150.776800000021</v>
      </c>
      <c r="N23" s="96">
        <f>'variable costs'!G58</f>
        <v>46474.567336000022</v>
      </c>
    </row>
    <row r="24" spans="2:14" x14ac:dyDescent="0.25">
      <c r="B24" s="102">
        <v>22</v>
      </c>
      <c r="C24" s="105">
        <f>'variable costs'!C59</f>
        <v>36863.333333333343</v>
      </c>
      <c r="D24" s="105">
        <f>'variable costs'!D59</f>
        <v>38725.666666666679</v>
      </c>
      <c r="E24" s="105">
        <f>'variable costs'!E59</f>
        <v>40771.913333333345</v>
      </c>
      <c r="F24" s="105">
        <f>'variable costs'!F59</f>
        <v>43011.193466666678</v>
      </c>
      <c r="G24" s="108">
        <f>'variable costs'!G59</f>
        <v>48587.067336000015</v>
      </c>
      <c r="H24" s="65"/>
      <c r="I24" s="42">
        <v>22</v>
      </c>
      <c r="J24" s="95">
        <f>'variable costs'!C59</f>
        <v>36863.333333333343</v>
      </c>
      <c r="K24" s="95">
        <f>'variable costs'!D59</f>
        <v>38725.666666666679</v>
      </c>
      <c r="L24" s="95">
        <f>'variable costs'!E59</f>
        <v>40771.913333333345</v>
      </c>
      <c r="M24" s="95">
        <f>'variable costs'!F59</f>
        <v>43011.193466666678</v>
      </c>
      <c r="N24" s="96">
        <f>'variable costs'!G59</f>
        <v>48587.067336000015</v>
      </c>
    </row>
    <row r="25" spans="2:14" x14ac:dyDescent="0.25">
      <c r="B25" s="102">
        <v>23</v>
      </c>
      <c r="C25" s="105">
        <f>'variable costs'!C60</f>
        <v>38446.666666666672</v>
      </c>
      <c r="D25" s="105">
        <f>'variable costs'!D60</f>
        <v>40392.333333333343</v>
      </c>
      <c r="E25" s="105">
        <f>'variable costs'!E60</f>
        <v>42530.246666666681</v>
      </c>
      <c r="F25" s="105">
        <f>'variable costs'!F60</f>
        <v>44871.61013333335</v>
      </c>
      <c r="G25" s="108">
        <f>'variable costs'!G60</f>
        <v>50699.567336000022</v>
      </c>
      <c r="H25" s="65"/>
      <c r="I25" s="42">
        <v>23</v>
      </c>
      <c r="J25" s="95">
        <f>'variable costs'!C60</f>
        <v>38446.666666666672</v>
      </c>
      <c r="K25" s="95">
        <f>'variable costs'!D60</f>
        <v>40392.333333333343</v>
      </c>
      <c r="L25" s="95">
        <f>'variable costs'!E60</f>
        <v>42530.246666666681</v>
      </c>
      <c r="M25" s="95">
        <f>'variable costs'!F60</f>
        <v>44871.61013333335</v>
      </c>
      <c r="N25" s="96">
        <f>'variable costs'!G60</f>
        <v>50699.567336000022</v>
      </c>
    </row>
    <row r="26" spans="2:14" x14ac:dyDescent="0.25">
      <c r="B26" s="102">
        <v>24</v>
      </c>
      <c r="C26" s="105">
        <f>'variable costs'!C61</f>
        <v>40030.000000000015</v>
      </c>
      <c r="D26" s="105">
        <f>'variable costs'!D61</f>
        <v>42059.000000000015</v>
      </c>
      <c r="E26" s="105">
        <f>'variable costs'!E61</f>
        <v>44288.580000000016</v>
      </c>
      <c r="F26" s="105">
        <f>'variable costs'!F61</f>
        <v>46732.026800000021</v>
      </c>
      <c r="G26" s="108">
        <f>'variable costs'!G61</f>
        <v>52812.067336000022</v>
      </c>
      <c r="H26" s="65"/>
      <c r="I26" s="42">
        <v>24</v>
      </c>
      <c r="J26" s="95">
        <f>'variable costs'!C61</f>
        <v>40030.000000000015</v>
      </c>
      <c r="K26" s="95">
        <f>'variable costs'!D61</f>
        <v>42059.000000000015</v>
      </c>
      <c r="L26" s="95">
        <f>'variable costs'!E61</f>
        <v>44288.580000000016</v>
      </c>
      <c r="M26" s="95">
        <f>'variable costs'!F61</f>
        <v>46732.026800000021</v>
      </c>
      <c r="N26" s="96">
        <f>'variable costs'!G61</f>
        <v>52812.067336000022</v>
      </c>
    </row>
    <row r="27" spans="2:14" ht="15.75" thickBot="1" x14ac:dyDescent="0.3">
      <c r="B27" s="104">
        <v>25</v>
      </c>
      <c r="C27" s="109">
        <f>'variable costs'!C62</f>
        <v>41613.333333333343</v>
      </c>
      <c r="D27" s="109">
        <f>'variable costs'!D62</f>
        <v>43725.666666666686</v>
      </c>
      <c r="E27" s="109">
        <f>'variable costs'!E62</f>
        <v>46046.913333333359</v>
      </c>
      <c r="F27" s="109">
        <f>'variable costs'!F62</f>
        <v>48592.443466666693</v>
      </c>
      <c r="G27" s="110">
        <f>'variable costs'!G62</f>
        <v>54924.567336000029</v>
      </c>
      <c r="H27" s="65"/>
      <c r="I27" s="43">
        <v>25</v>
      </c>
      <c r="J27" s="97">
        <f>'variable costs'!C62</f>
        <v>41613.333333333343</v>
      </c>
      <c r="K27" s="97">
        <f>'variable costs'!D62</f>
        <v>43725.666666666686</v>
      </c>
      <c r="L27" s="97">
        <f>'variable costs'!E62</f>
        <v>46046.913333333359</v>
      </c>
      <c r="M27" s="97">
        <f>'variable costs'!F62</f>
        <v>48592.443466666693</v>
      </c>
      <c r="N27" s="98">
        <f>'variable costs'!G62</f>
        <v>54924.567336000029</v>
      </c>
    </row>
    <row r="28" spans="2:14" x14ac:dyDescent="0.25">
      <c r="B28" s="114"/>
      <c r="C28" s="112"/>
      <c r="D28" s="112"/>
      <c r="E28" s="112"/>
      <c r="F28" s="112"/>
      <c r="G28" s="112"/>
      <c r="H28" s="65"/>
      <c r="I28" s="114"/>
      <c r="J28" s="113"/>
      <c r="K28" s="113"/>
      <c r="L28" s="113"/>
      <c r="M28" s="113"/>
      <c r="N28" s="113"/>
    </row>
    <row r="29" spans="2:14" ht="15.75" thickBot="1" x14ac:dyDescent="0.3">
      <c r="B29" s="114"/>
      <c r="C29" s="112"/>
      <c r="D29" s="112"/>
      <c r="E29" s="112"/>
      <c r="F29" s="112"/>
      <c r="G29" s="112"/>
      <c r="H29" s="65"/>
      <c r="I29" s="114"/>
      <c r="J29" s="113"/>
      <c r="K29" s="113"/>
      <c r="L29" s="113"/>
      <c r="M29" s="113"/>
      <c r="N29" s="113"/>
    </row>
    <row r="30" spans="2:14" ht="15.75" thickBot="1" x14ac:dyDescent="0.3">
      <c r="B30" s="66"/>
      <c r="C30" s="486" t="s">
        <v>81</v>
      </c>
      <c r="D30" s="501"/>
      <c r="E30" s="501"/>
      <c r="F30" s="501"/>
      <c r="G30" s="502"/>
      <c r="H30" s="65"/>
      <c r="I30" s="66"/>
      <c r="J30" s="486" t="s">
        <v>81</v>
      </c>
      <c r="K30" s="501"/>
      <c r="L30" s="501"/>
      <c r="M30" s="501"/>
      <c r="N30" s="502"/>
    </row>
    <row r="31" spans="2:14" x14ac:dyDescent="0.25">
      <c r="B31" s="91" t="s">
        <v>80</v>
      </c>
      <c r="C31" s="62" t="s">
        <v>1</v>
      </c>
      <c r="D31" s="62" t="s">
        <v>2</v>
      </c>
      <c r="E31" s="62" t="s">
        <v>3</v>
      </c>
      <c r="F31" s="62" t="s">
        <v>4</v>
      </c>
      <c r="G31" s="63" t="s">
        <v>5</v>
      </c>
      <c r="H31" s="65"/>
      <c r="I31" s="91" t="s">
        <v>80</v>
      </c>
      <c r="J31" s="62" t="s">
        <v>1</v>
      </c>
      <c r="K31" s="62" t="s">
        <v>2</v>
      </c>
      <c r="L31" s="62" t="s">
        <v>3</v>
      </c>
      <c r="M31" s="62" t="s">
        <v>4</v>
      </c>
      <c r="N31" s="63" t="s">
        <v>5</v>
      </c>
    </row>
    <row r="32" spans="2:14" x14ac:dyDescent="0.25">
      <c r="B32" s="42" t="s">
        <v>75</v>
      </c>
      <c r="C32" s="115">
        <f>C6*C16</f>
        <v>169376.66666666669</v>
      </c>
      <c r="D32" s="115">
        <f t="shared" ref="D32:G32" si="2">D6*D16</f>
        <v>253923.33333333337</v>
      </c>
      <c r="E32" s="115">
        <f t="shared" si="2"/>
        <v>427283.94666666671</v>
      </c>
      <c r="F32" s="115">
        <f t="shared" si="2"/>
        <v>506301.48240000004</v>
      </c>
      <c r="G32" s="116">
        <f t="shared" si="2"/>
        <v>665428.41405600007</v>
      </c>
      <c r="H32" s="65"/>
      <c r="I32" s="42" t="s">
        <v>75</v>
      </c>
      <c r="J32" s="115">
        <f>J6*J14</f>
        <v>84120</v>
      </c>
      <c r="K32" s="115">
        <f t="shared" ref="K32:N32" si="3">K6*K14</f>
        <v>154413</v>
      </c>
      <c r="L32" s="115">
        <f t="shared" si="3"/>
        <v>231885.80000000002</v>
      </c>
      <c r="M32" s="115">
        <f t="shared" si="3"/>
        <v>317291.34840000002</v>
      </c>
      <c r="N32" s="116">
        <f t="shared" si="3"/>
        <v>411931.01004000002</v>
      </c>
    </row>
    <row r="33" spans="2:14" x14ac:dyDescent="0.25">
      <c r="B33" s="42" t="s">
        <v>76</v>
      </c>
      <c r="C33" s="115">
        <f>C7*C21</f>
        <v>256906.66666666669</v>
      </c>
      <c r="D33" s="115">
        <f t="shared" ref="D33:G33" si="4">D7*D21</f>
        <v>404708.00000000006</v>
      </c>
      <c r="E33" s="115">
        <f t="shared" si="4"/>
        <v>603447.52666666673</v>
      </c>
      <c r="F33" s="115">
        <f t="shared" si="4"/>
        <v>711168.92586666695</v>
      </c>
      <c r="G33" s="116">
        <f t="shared" si="4"/>
        <v>1013989.6160640002</v>
      </c>
      <c r="H33" s="65"/>
      <c r="I33" s="42" t="s">
        <v>76</v>
      </c>
      <c r="J33" s="115">
        <f>J7*J17</f>
        <v>154680</v>
      </c>
      <c r="K33" s="115">
        <f t="shared" ref="K33:N33" si="5">K7*K17</f>
        <v>243531.00000000003</v>
      </c>
      <c r="L33" s="115">
        <f t="shared" si="5"/>
        <v>370026.5400000001</v>
      </c>
      <c r="M33" s="115">
        <f t="shared" si="5"/>
        <v>479812.42880000011</v>
      </c>
      <c r="N33" s="116">
        <f t="shared" si="5"/>
        <v>709790.91405600018</v>
      </c>
    </row>
    <row r="34" spans="2:14" ht="15.75" thickBot="1" x14ac:dyDescent="0.3">
      <c r="B34" s="43" t="s">
        <v>77</v>
      </c>
      <c r="C34" s="144">
        <f>C8*C27</f>
        <v>416133.33333333343</v>
      </c>
      <c r="D34" s="144">
        <f t="shared" ref="D34:G34" si="6">D8*D27</f>
        <v>655885.00000000023</v>
      </c>
      <c r="E34" s="144">
        <f t="shared" si="6"/>
        <v>1013032.093333334</v>
      </c>
      <c r="F34" s="144">
        <f t="shared" si="6"/>
        <v>1311995.9736000006</v>
      </c>
      <c r="G34" s="145">
        <f t="shared" si="6"/>
        <v>1922359.856760001</v>
      </c>
      <c r="H34" s="65"/>
      <c r="I34" s="43" t="s">
        <v>77</v>
      </c>
      <c r="J34" s="144">
        <f>J8*J22</f>
        <v>269573.33333333337</v>
      </c>
      <c r="K34" s="144">
        <f t="shared" ref="K34:N34" si="7">K8*K22</f>
        <v>424708.00000000012</v>
      </c>
      <c r="L34" s="144">
        <f t="shared" si="7"/>
        <v>670594.44000000018</v>
      </c>
      <c r="M34" s="144">
        <f t="shared" si="7"/>
        <v>825097.56280000019</v>
      </c>
      <c r="N34" s="145">
        <f t="shared" si="7"/>
        <v>1330862.0200800002</v>
      </c>
    </row>
    <row r="35" spans="2:14" ht="15.75" thickBot="1" x14ac:dyDescent="0.3">
      <c r="B35" s="83" t="s">
        <v>83</v>
      </c>
      <c r="C35" s="117">
        <f>SUM(C32:C34)</f>
        <v>842416.66666666674</v>
      </c>
      <c r="D35" s="117">
        <f t="shared" ref="D35:G35" si="8">SUM(D32:D34)</f>
        <v>1314516.3333333337</v>
      </c>
      <c r="E35" s="117">
        <f t="shared" si="8"/>
        <v>2043763.5666666673</v>
      </c>
      <c r="F35" s="117">
        <f t="shared" si="8"/>
        <v>2529466.3818666674</v>
      </c>
      <c r="G35" s="118">
        <f t="shared" si="8"/>
        <v>3601777.8868800011</v>
      </c>
      <c r="H35" s="65"/>
      <c r="I35" s="83" t="s">
        <v>83</v>
      </c>
      <c r="J35" s="117">
        <f>SUM(J32:J34)</f>
        <v>508373.33333333337</v>
      </c>
      <c r="K35" s="117">
        <f t="shared" ref="K35:N35" si="9">SUM(K32:K34)</f>
        <v>822652.00000000012</v>
      </c>
      <c r="L35" s="117">
        <f t="shared" si="9"/>
        <v>1272506.7800000003</v>
      </c>
      <c r="M35" s="117">
        <f t="shared" si="9"/>
        <v>1622201.3400000003</v>
      </c>
      <c r="N35" s="118">
        <f t="shared" si="9"/>
        <v>2452583.9441760005</v>
      </c>
    </row>
    <row r="36" spans="2:14" x14ac:dyDescent="0.25">
      <c r="B36" s="114"/>
      <c r="C36" s="112"/>
      <c r="D36" s="112"/>
      <c r="E36" s="112"/>
      <c r="F36" s="112"/>
      <c r="G36" s="112"/>
      <c r="H36" s="65"/>
      <c r="I36" s="65"/>
      <c r="J36" s="71"/>
      <c r="K36" s="71"/>
      <c r="L36" s="71"/>
      <c r="M36" s="71"/>
      <c r="N36" s="71"/>
    </row>
    <row r="37" spans="2:14" ht="15.75" thickBot="1" x14ac:dyDescent="0.3">
      <c r="B37" s="72"/>
      <c r="C37" s="73"/>
      <c r="D37" s="73"/>
      <c r="E37" s="73"/>
      <c r="F37" s="73"/>
      <c r="G37" s="73"/>
      <c r="H37" s="65"/>
      <c r="I37" s="72"/>
      <c r="J37" s="73"/>
      <c r="K37" s="74"/>
      <c r="L37" s="74"/>
      <c r="M37" s="74"/>
      <c r="N37" s="74"/>
    </row>
    <row r="38" spans="2:14" ht="15.75" thickBot="1" x14ac:dyDescent="0.3">
      <c r="B38" s="66"/>
      <c r="C38" s="486" t="s">
        <v>82</v>
      </c>
      <c r="D38" s="501"/>
      <c r="E38" s="501"/>
      <c r="F38" s="501"/>
      <c r="G38" s="502"/>
      <c r="H38" s="65"/>
      <c r="I38" s="66"/>
      <c r="J38" s="486" t="s">
        <v>82</v>
      </c>
      <c r="K38" s="501"/>
      <c r="L38" s="501"/>
      <c r="M38" s="501"/>
      <c r="N38" s="502"/>
    </row>
    <row r="39" spans="2:14" x14ac:dyDescent="0.25">
      <c r="B39" s="91" t="s">
        <v>80</v>
      </c>
      <c r="C39" s="62" t="s">
        <v>1</v>
      </c>
      <c r="D39" s="62" t="s">
        <v>2</v>
      </c>
      <c r="E39" s="62" t="s">
        <v>3</v>
      </c>
      <c r="F39" s="62" t="s">
        <v>4</v>
      </c>
      <c r="G39" s="63" t="s">
        <v>5</v>
      </c>
      <c r="H39" s="65"/>
      <c r="I39" s="91" t="s">
        <v>80</v>
      </c>
      <c r="J39" s="62" t="s">
        <v>1</v>
      </c>
      <c r="K39" s="62" t="s">
        <v>2</v>
      </c>
      <c r="L39" s="62" t="s">
        <v>3</v>
      </c>
      <c r="M39" s="62" t="s">
        <v>4</v>
      </c>
      <c r="N39" s="63" t="s">
        <v>5</v>
      </c>
    </row>
    <row r="40" spans="2:14" x14ac:dyDescent="0.25">
      <c r="B40" s="42" t="s">
        <v>75</v>
      </c>
      <c r="C40" s="115">
        <f>'variable costs'!C16*C6</f>
        <v>87710</v>
      </c>
      <c r="D40" s="115">
        <f>'variable costs'!D16*D6</f>
        <v>125590</v>
      </c>
      <c r="E40" s="115">
        <f>'variable costs'!E16*E6</f>
        <v>201417.28</v>
      </c>
      <c r="F40" s="115">
        <f>'variable costs'!F16*F6</f>
        <v>188676.48239999998</v>
      </c>
      <c r="G40" s="116">
        <f>'variable costs'!G16*G6</f>
        <v>220753.41405600001</v>
      </c>
      <c r="H40" s="65"/>
      <c r="I40" s="42" t="s">
        <v>75</v>
      </c>
      <c r="J40" s="115">
        <f>'variable costs'!C14*J6</f>
        <v>44120</v>
      </c>
      <c r="K40" s="115">
        <f>'variable costs'!D14*K6</f>
        <v>77413</v>
      </c>
      <c r="L40" s="115">
        <f>'variable costs'!E14*L6</f>
        <v>110885.8</v>
      </c>
      <c r="M40" s="115">
        <f>'variable costs'!F14*M6</f>
        <v>120666.34839999999</v>
      </c>
      <c r="N40" s="116">
        <f>'variable costs'!G14*N6</f>
        <v>139681.01003999999</v>
      </c>
    </row>
    <row r="41" spans="2:14" x14ac:dyDescent="0.25">
      <c r="B41" s="42" t="s">
        <v>76</v>
      </c>
      <c r="C41" s="115">
        <f>'variable costs'!C17*C7</f>
        <v>106240</v>
      </c>
      <c r="D41" s="115">
        <f>'variable costs'!D17*D7</f>
        <v>159708</v>
      </c>
      <c r="E41" s="115">
        <f>'variable costs'!E17*E7</f>
        <v>226755.86</v>
      </c>
      <c r="F41" s="115">
        <f>'variable costs'!F17*F7</f>
        <v>210558.5092</v>
      </c>
      <c r="G41" s="116">
        <f>'variable costs'!G17*G7</f>
        <v>266689.616064</v>
      </c>
      <c r="H41" s="65"/>
      <c r="I41" s="42" t="s">
        <v>76</v>
      </c>
      <c r="J41" s="115">
        <f>'variable costs'!C15*J7</f>
        <v>70680</v>
      </c>
      <c r="K41" s="115">
        <f>'variable costs'!D15*K7</f>
        <v>106281</v>
      </c>
      <c r="L41" s="115">
        <f>'variable costs'!E15*L7</f>
        <v>153901.54</v>
      </c>
      <c r="M41" s="115">
        <f>'variable costs'!F15*M7</f>
        <v>158112.42879999999</v>
      </c>
      <c r="N41" s="116">
        <f>'variable costs'!G15*N7</f>
        <v>208153.41405600001</v>
      </c>
    </row>
    <row r="42" spans="2:14" ht="15.75" thickBot="1" x14ac:dyDescent="0.3">
      <c r="B42" s="43" t="s">
        <v>77</v>
      </c>
      <c r="C42" s="115">
        <f>'variable costs'!C18*C8</f>
        <v>140300</v>
      </c>
      <c r="D42" s="115">
        <f>'variable costs'!D18*D8</f>
        <v>210885</v>
      </c>
      <c r="E42" s="115">
        <f>'variable costs'!E18*E8</f>
        <v>309948.76</v>
      </c>
      <c r="F42" s="115">
        <f>'variable costs'!F18*F8</f>
        <v>315414.72359999997</v>
      </c>
      <c r="G42" s="116">
        <f>'variable costs'!G18*G8</f>
        <v>409922.35676</v>
      </c>
      <c r="H42" s="65"/>
      <c r="I42" s="43" t="s">
        <v>77</v>
      </c>
      <c r="J42" s="115">
        <f>'variable costs'!C16*J8</f>
        <v>100240</v>
      </c>
      <c r="K42" s="115">
        <f>'variable costs'!D16*K8</f>
        <v>150708</v>
      </c>
      <c r="L42" s="115">
        <f>'variable costs'!E16*L8</f>
        <v>226594.44</v>
      </c>
      <c r="M42" s="115">
        <f>'variable costs'!F16*M8</f>
        <v>220122.56279999999</v>
      </c>
      <c r="N42" s="116">
        <f>'variable costs'!G16*N8</f>
        <v>315362.02007999999</v>
      </c>
    </row>
    <row r="43" spans="2:14" ht="15.75" thickBot="1" x14ac:dyDescent="0.3">
      <c r="B43" s="83" t="s">
        <v>84</v>
      </c>
      <c r="C43" s="117">
        <f>SUM(C40:C42)</f>
        <v>334250</v>
      </c>
      <c r="D43" s="117">
        <f t="shared" ref="D43:F43" si="10">SUM(D40:D42)</f>
        <v>496183</v>
      </c>
      <c r="E43" s="117">
        <f t="shared" si="10"/>
        <v>738121.9</v>
      </c>
      <c r="F43" s="117">
        <f t="shared" si="10"/>
        <v>714649.71519999998</v>
      </c>
      <c r="G43" s="118">
        <f>SUM(G40:G42)</f>
        <v>897365.38688000001</v>
      </c>
      <c r="H43" s="65"/>
      <c r="I43" s="83" t="s">
        <v>84</v>
      </c>
      <c r="J43" s="117">
        <f>SUM(J40:J42)</f>
        <v>215040</v>
      </c>
      <c r="K43" s="117">
        <f t="shared" ref="K43:N43" si="11">SUM(K40:K42)</f>
        <v>334402</v>
      </c>
      <c r="L43" s="117">
        <f t="shared" si="11"/>
        <v>491381.78</v>
      </c>
      <c r="M43" s="117">
        <f t="shared" si="11"/>
        <v>498901.33999999997</v>
      </c>
      <c r="N43" s="118">
        <f t="shared" si="11"/>
        <v>663196.44417600008</v>
      </c>
    </row>
    <row r="44" spans="2:14" x14ac:dyDescent="0.25">
      <c r="B44" s="72"/>
      <c r="C44" s="73"/>
      <c r="D44" s="73"/>
      <c r="E44" s="73"/>
      <c r="F44" s="73"/>
      <c r="G44" s="73"/>
      <c r="H44" s="65"/>
      <c r="I44" s="72"/>
      <c r="J44" s="73"/>
      <c r="K44" s="74"/>
      <c r="L44" s="74"/>
      <c r="M44" s="74"/>
      <c r="N44" s="74"/>
    </row>
    <row r="45" spans="2:14" ht="15.75" thickBot="1" x14ac:dyDescent="0.3">
      <c r="B45" s="72"/>
      <c r="C45" s="73"/>
      <c r="D45" s="73"/>
      <c r="E45" s="73"/>
      <c r="F45" s="73"/>
      <c r="G45" s="73"/>
      <c r="H45" s="65"/>
      <c r="I45" s="72"/>
      <c r="J45" s="73"/>
      <c r="K45" s="74"/>
      <c r="L45" s="74"/>
      <c r="M45" s="74"/>
      <c r="N45" s="74"/>
    </row>
    <row r="46" spans="2:14" ht="15.75" thickBot="1" x14ac:dyDescent="0.3">
      <c r="B46" s="119" t="s">
        <v>85</v>
      </c>
      <c r="C46" s="120">
        <f>C35-C43</f>
        <v>508166.66666666674</v>
      </c>
      <c r="D46" s="120">
        <f t="shared" ref="D46:G46" si="12">D35-D43</f>
        <v>818333.33333333372</v>
      </c>
      <c r="E46" s="120">
        <f t="shared" si="12"/>
        <v>1305641.6666666674</v>
      </c>
      <c r="F46" s="120">
        <f t="shared" si="12"/>
        <v>1814816.6666666674</v>
      </c>
      <c r="G46" s="121">
        <f t="shared" si="12"/>
        <v>2704412.5000000009</v>
      </c>
      <c r="H46" s="65"/>
      <c r="I46" s="119" t="s">
        <v>85</v>
      </c>
      <c r="J46" s="120">
        <f>J35-J43</f>
        <v>293333.33333333337</v>
      </c>
      <c r="K46" s="120">
        <f t="shared" ref="K46:N46" si="13">K35-K43</f>
        <v>488250.00000000012</v>
      </c>
      <c r="L46" s="120">
        <f t="shared" si="13"/>
        <v>781125.00000000023</v>
      </c>
      <c r="M46" s="120">
        <f t="shared" si="13"/>
        <v>1123300.0000000005</v>
      </c>
      <c r="N46" s="121">
        <f t="shared" si="13"/>
        <v>1789387.5000000005</v>
      </c>
    </row>
    <row r="47" spans="2:14" x14ac:dyDescent="0.25">
      <c r="B47" s="72"/>
      <c r="C47" s="74"/>
      <c r="D47" s="74"/>
      <c r="E47" s="74"/>
      <c r="F47" s="74"/>
      <c r="G47" s="74"/>
      <c r="H47" s="65"/>
      <c r="I47" s="72"/>
      <c r="J47" s="74"/>
      <c r="K47" s="74"/>
      <c r="L47" s="74"/>
      <c r="M47" s="74"/>
      <c r="N47" s="74"/>
    </row>
    <row r="48" spans="2:14" ht="15.75" thickBot="1" x14ac:dyDescent="0.3">
      <c r="B48" s="72"/>
      <c r="C48" s="74"/>
      <c r="D48" s="74"/>
      <c r="E48" s="74"/>
      <c r="F48" s="74"/>
      <c r="G48" s="74"/>
      <c r="H48" s="65"/>
      <c r="I48" s="72"/>
      <c r="J48" s="74"/>
      <c r="K48" s="74"/>
      <c r="L48" s="74"/>
      <c r="M48" s="74"/>
      <c r="N48" s="74"/>
    </row>
    <row r="49" spans="2:14" ht="15.75" thickBot="1" x14ac:dyDescent="0.3">
      <c r="B49" s="75"/>
      <c r="C49" s="486" t="s">
        <v>61</v>
      </c>
      <c r="D49" s="501"/>
      <c r="E49" s="501"/>
      <c r="F49" s="501"/>
      <c r="G49" s="502"/>
      <c r="H49" s="65"/>
      <c r="I49" s="75"/>
      <c r="J49" s="486" t="s">
        <v>61</v>
      </c>
      <c r="K49" s="501"/>
      <c r="L49" s="501"/>
      <c r="M49" s="501"/>
      <c r="N49" s="502"/>
    </row>
    <row r="50" spans="2:14" x14ac:dyDescent="0.25">
      <c r="B50" s="91" t="s">
        <v>62</v>
      </c>
      <c r="C50" s="126" t="s">
        <v>1</v>
      </c>
      <c r="D50" s="126" t="s">
        <v>2</v>
      </c>
      <c r="E50" s="126" t="s">
        <v>3</v>
      </c>
      <c r="F50" s="126" t="s">
        <v>4</v>
      </c>
      <c r="G50" s="127" t="s">
        <v>5</v>
      </c>
      <c r="H50" s="65"/>
      <c r="I50" s="91" t="s">
        <v>62</v>
      </c>
      <c r="J50" s="126" t="s">
        <v>1</v>
      </c>
      <c r="K50" s="126" t="s">
        <v>2</v>
      </c>
      <c r="L50" s="126" t="s">
        <v>3</v>
      </c>
      <c r="M50" s="126" t="s">
        <v>4</v>
      </c>
      <c r="N50" s="127" t="s">
        <v>5</v>
      </c>
    </row>
    <row r="51" spans="2:14" x14ac:dyDescent="0.25">
      <c r="B51" s="125" t="s">
        <v>7</v>
      </c>
      <c r="C51" s="122">
        <f>'fixed costs'!C4</f>
        <v>30000</v>
      </c>
      <c r="D51" s="122">
        <f>'fixed costs'!D4</f>
        <v>20000</v>
      </c>
      <c r="E51" s="122">
        <f>'fixed costs'!E4</f>
        <v>20000</v>
      </c>
      <c r="F51" s="122">
        <f>'fixed costs'!F4</f>
        <v>0</v>
      </c>
      <c r="G51" s="123">
        <f>'fixed costs'!G4</f>
        <v>0</v>
      </c>
      <c r="H51" s="65"/>
      <c r="I51" s="125" t="s">
        <v>7</v>
      </c>
      <c r="J51" s="122">
        <f>'fixed costs'!J4</f>
        <v>30000</v>
      </c>
      <c r="K51" s="122">
        <f>'fixed costs'!K4</f>
        <v>20000</v>
      </c>
      <c r="L51" s="122">
        <f>'fixed costs'!L4</f>
        <v>20000</v>
      </c>
      <c r="M51" s="122">
        <f>'fixed costs'!M4</f>
        <v>0</v>
      </c>
      <c r="N51" s="123">
        <f>'fixed costs'!N4</f>
        <v>0</v>
      </c>
    </row>
    <row r="52" spans="2:14" x14ac:dyDescent="0.25">
      <c r="B52" s="125" t="s">
        <v>8</v>
      </c>
      <c r="C52" s="122">
        <f>'fixed costs'!C5</f>
        <v>20000</v>
      </c>
      <c r="D52" s="122">
        <f>'fixed costs'!D5</f>
        <v>20000</v>
      </c>
      <c r="E52" s="122">
        <f>'fixed costs'!E5</f>
        <v>30000</v>
      </c>
      <c r="F52" s="122">
        <f>'fixed costs'!F5</f>
        <v>30000</v>
      </c>
      <c r="G52" s="123">
        <f>'fixed costs'!G5</f>
        <v>40000</v>
      </c>
      <c r="H52" s="65"/>
      <c r="I52" s="125" t="s">
        <v>8</v>
      </c>
      <c r="J52" s="122">
        <f>'fixed costs'!J5</f>
        <v>20000</v>
      </c>
      <c r="K52" s="122">
        <f>'fixed costs'!K5</f>
        <v>20000</v>
      </c>
      <c r="L52" s="122">
        <f>'fixed costs'!L5</f>
        <v>30000</v>
      </c>
      <c r="M52" s="122">
        <f>'fixed costs'!M5</f>
        <v>30000</v>
      </c>
      <c r="N52" s="123">
        <f>'fixed costs'!N5</f>
        <v>30000</v>
      </c>
    </row>
    <row r="53" spans="2:14" x14ac:dyDescent="0.25">
      <c r="B53" s="125" t="s">
        <v>9</v>
      </c>
      <c r="C53" s="122">
        <f>'fixed costs'!C6</f>
        <v>30000</v>
      </c>
      <c r="D53" s="122">
        <f>'fixed costs'!D6</f>
        <v>0</v>
      </c>
      <c r="E53" s="122">
        <f>'fixed costs'!E6</f>
        <v>0</v>
      </c>
      <c r="F53" s="122">
        <f>'fixed costs'!F6</f>
        <v>0</v>
      </c>
      <c r="G53" s="123">
        <f>'fixed costs'!G6</f>
        <v>0</v>
      </c>
      <c r="H53" s="65"/>
      <c r="I53" s="125" t="s">
        <v>9</v>
      </c>
      <c r="J53" s="122">
        <f>'fixed costs'!J6</f>
        <v>30000</v>
      </c>
      <c r="K53" s="122">
        <f>'fixed costs'!K6</f>
        <v>0</v>
      </c>
      <c r="L53" s="122">
        <f>'fixed costs'!L6</f>
        <v>0</v>
      </c>
      <c r="M53" s="122">
        <f>'fixed costs'!M6</f>
        <v>0</v>
      </c>
      <c r="N53" s="123">
        <f>'fixed costs'!N6</f>
        <v>0</v>
      </c>
    </row>
    <row r="54" spans="2:14" ht="15.75" thickBot="1" x14ac:dyDescent="0.3">
      <c r="B54" s="444" t="s">
        <v>10</v>
      </c>
      <c r="C54" s="441">
        <f>'fixed costs'!C7</f>
        <v>20000</v>
      </c>
      <c r="D54" s="441">
        <f>'fixed costs'!D7</f>
        <v>10000</v>
      </c>
      <c r="E54" s="441">
        <f>'fixed costs'!E7</f>
        <v>10000</v>
      </c>
      <c r="F54" s="441">
        <f>'fixed costs'!F7</f>
        <v>10000</v>
      </c>
      <c r="G54" s="442">
        <f>'fixed costs'!G7</f>
        <v>10000</v>
      </c>
      <c r="H54" s="65"/>
      <c r="I54" s="444" t="s">
        <v>10</v>
      </c>
      <c r="J54" s="441">
        <f>'fixed costs'!J7</f>
        <v>20000</v>
      </c>
      <c r="K54" s="441">
        <f>'fixed costs'!K7</f>
        <v>10000</v>
      </c>
      <c r="L54" s="441">
        <f>'fixed costs'!L7</f>
        <v>10000</v>
      </c>
      <c r="M54" s="441">
        <f>'fixed costs'!M7</f>
        <v>10000</v>
      </c>
      <c r="N54" s="442">
        <f>'fixed costs'!N7</f>
        <v>10000</v>
      </c>
    </row>
    <row r="55" spans="2:14" ht="15.75" thickBot="1" x14ac:dyDescent="0.3">
      <c r="B55" s="137" t="s">
        <v>63</v>
      </c>
      <c r="C55" s="138">
        <f>SUM(C51:C54)</f>
        <v>100000</v>
      </c>
      <c r="D55" s="138">
        <f>SUM(D51:D54)</f>
        <v>50000</v>
      </c>
      <c r="E55" s="138">
        <f>SUM(E51:E54)</f>
        <v>60000</v>
      </c>
      <c r="F55" s="138">
        <f>SUM(F51:F54)</f>
        <v>40000</v>
      </c>
      <c r="G55" s="139">
        <f>SUM(G51:G54)</f>
        <v>50000</v>
      </c>
      <c r="H55" s="65"/>
      <c r="I55" s="137" t="s">
        <v>63</v>
      </c>
      <c r="J55" s="138">
        <f>SUM(J51:J54)</f>
        <v>100000</v>
      </c>
      <c r="K55" s="138">
        <f>SUM(K51:K54)</f>
        <v>50000</v>
      </c>
      <c r="L55" s="138">
        <v>50000</v>
      </c>
      <c r="M55" s="138">
        <f>SUM(M51:M54)</f>
        <v>40000</v>
      </c>
      <c r="N55" s="139">
        <v>40000</v>
      </c>
    </row>
    <row r="56" spans="2:14" ht="15.75" thickBot="1" x14ac:dyDescent="0.3">
      <c r="B56" s="143" t="s">
        <v>64</v>
      </c>
      <c r="C56" s="131" t="s">
        <v>1</v>
      </c>
      <c r="D56" s="131" t="s">
        <v>2</v>
      </c>
      <c r="E56" s="131" t="s">
        <v>3</v>
      </c>
      <c r="F56" s="131" t="s">
        <v>4</v>
      </c>
      <c r="G56" s="132" t="s">
        <v>5</v>
      </c>
      <c r="H56" s="65"/>
      <c r="I56" s="143" t="s">
        <v>64</v>
      </c>
      <c r="J56" s="131" t="s">
        <v>1</v>
      </c>
      <c r="K56" s="131" t="s">
        <v>2</v>
      </c>
      <c r="L56" s="131" t="s">
        <v>3</v>
      </c>
      <c r="M56" s="131" t="s">
        <v>4</v>
      </c>
      <c r="N56" s="132" t="s">
        <v>5</v>
      </c>
    </row>
    <row r="57" spans="2:14" x14ac:dyDescent="0.25">
      <c r="B57" s="438" t="s">
        <v>65</v>
      </c>
      <c r="C57" s="439">
        <v>0</v>
      </c>
      <c r="D57" s="439">
        <v>0</v>
      </c>
      <c r="E57" s="439">
        <v>0</v>
      </c>
      <c r="F57" s="439">
        <v>0</v>
      </c>
      <c r="G57" s="440">
        <v>0</v>
      </c>
      <c r="H57" s="65"/>
      <c r="I57" s="438" t="s">
        <v>65</v>
      </c>
      <c r="J57" s="439">
        <f>C57</f>
        <v>0</v>
      </c>
      <c r="K57" s="439">
        <f t="shared" ref="K57:N57" si="14">D57</f>
        <v>0</v>
      </c>
      <c r="L57" s="439">
        <f t="shared" si="14"/>
        <v>0</v>
      </c>
      <c r="M57" s="439">
        <f t="shared" si="14"/>
        <v>0</v>
      </c>
      <c r="N57" s="440">
        <f t="shared" si="14"/>
        <v>0</v>
      </c>
    </row>
    <row r="58" spans="2:14" ht="15.75" thickBot="1" x14ac:dyDescent="0.3">
      <c r="B58" s="443" t="s">
        <v>18</v>
      </c>
      <c r="C58" s="441">
        <f>'fixed costs'!C39</f>
        <v>200</v>
      </c>
      <c r="D58" s="441">
        <f>'fixed costs'!D39</f>
        <v>0</v>
      </c>
      <c r="E58" s="441">
        <f>'fixed costs'!E39</f>
        <v>0</v>
      </c>
      <c r="F58" s="441">
        <f>'fixed costs'!F39</f>
        <v>0</v>
      </c>
      <c r="G58" s="442">
        <f>'fixed costs'!G39</f>
        <v>0</v>
      </c>
      <c r="H58" s="65"/>
      <c r="I58" s="443" t="s">
        <v>18</v>
      </c>
      <c r="J58" s="441">
        <f>'fixed costs'!J39</f>
        <v>200</v>
      </c>
      <c r="K58" s="441">
        <f>'fixed costs'!K39</f>
        <v>0</v>
      </c>
      <c r="L58" s="441">
        <f>'fixed costs'!L39</f>
        <v>0</v>
      </c>
      <c r="M58" s="441">
        <f>'fixed costs'!M39</f>
        <v>0</v>
      </c>
      <c r="N58" s="442">
        <f>'fixed costs'!N39</f>
        <v>0</v>
      </c>
    </row>
    <row r="59" spans="2:14" ht="15.75" thickBot="1" x14ac:dyDescent="0.3">
      <c r="B59" s="137" t="s">
        <v>66</v>
      </c>
      <c r="C59" s="138">
        <f>SUM(C57:C58)</f>
        <v>200</v>
      </c>
      <c r="D59" s="138">
        <f>SUM(D57:D58)</f>
        <v>0</v>
      </c>
      <c r="E59" s="138">
        <f>SUM(E57:E58)</f>
        <v>0</v>
      </c>
      <c r="F59" s="138">
        <f>SUM(F57:F58)</f>
        <v>0</v>
      </c>
      <c r="G59" s="139">
        <f>SUM(G57:G58)</f>
        <v>0</v>
      </c>
      <c r="H59" s="65"/>
      <c r="I59" s="137" t="s">
        <v>66</v>
      </c>
      <c r="J59" s="138">
        <f>SUM(J57:J58)</f>
        <v>200</v>
      </c>
      <c r="K59" s="138">
        <f>SUM(K57:K58)</f>
        <v>0</v>
      </c>
      <c r="L59" s="138">
        <f>SUM(L57:L58)</f>
        <v>0</v>
      </c>
      <c r="M59" s="138">
        <f>SUM(M57:M58)</f>
        <v>0</v>
      </c>
      <c r="N59" s="139">
        <f>SUM(N57:N58)</f>
        <v>0</v>
      </c>
    </row>
    <row r="60" spans="2:14" ht="15.75" thickBot="1" x14ac:dyDescent="0.3">
      <c r="B60" s="143" t="s">
        <v>86</v>
      </c>
      <c r="C60" s="131" t="s">
        <v>1</v>
      </c>
      <c r="D60" s="131" t="s">
        <v>2</v>
      </c>
      <c r="E60" s="131" t="s">
        <v>3</v>
      </c>
      <c r="F60" s="131" t="s">
        <v>4</v>
      </c>
      <c r="G60" s="132" t="s">
        <v>5</v>
      </c>
      <c r="H60" s="65"/>
      <c r="I60" s="91" t="s">
        <v>86</v>
      </c>
      <c r="J60" s="131" t="s">
        <v>1</v>
      </c>
      <c r="K60" s="131" t="s">
        <v>2</v>
      </c>
      <c r="L60" s="131" t="s">
        <v>3</v>
      </c>
      <c r="M60" s="131" t="s">
        <v>4</v>
      </c>
      <c r="N60" s="132" t="s">
        <v>5</v>
      </c>
    </row>
    <row r="61" spans="2:14" x14ac:dyDescent="0.25">
      <c r="B61" s="124" t="s">
        <v>67</v>
      </c>
      <c r="C61" s="128">
        <f>'fixed costs'!C14</f>
        <v>297570</v>
      </c>
      <c r="D61" s="128">
        <f>'fixed costs'!D14</f>
        <v>403767</v>
      </c>
      <c r="E61" s="128">
        <f>'fixed costs'!E14</f>
        <v>514092.85199999996</v>
      </c>
      <c r="F61" s="128">
        <f>'fixed costs'!F14</f>
        <v>834364.17792000005</v>
      </c>
      <c r="G61" s="447">
        <f>'fixed costs'!G14</f>
        <v>1060859.2870512002</v>
      </c>
      <c r="H61" s="65"/>
      <c r="I61" s="124" t="s">
        <v>67</v>
      </c>
      <c r="J61" s="130">
        <f>'fixed costs'!J14</f>
        <v>297570</v>
      </c>
      <c r="K61" s="130">
        <f>'fixed costs'!K14</f>
        <v>333970</v>
      </c>
      <c r="L61" s="130">
        <f>'fixed costs'!L14</f>
        <v>400481.89999999997</v>
      </c>
      <c r="M61" s="130">
        <f>'fixed costs'!M14</f>
        <v>666023.35800000001</v>
      </c>
      <c r="N61" s="453">
        <f>'fixed costs'!N14</f>
        <v>812145.13561999996</v>
      </c>
    </row>
    <row r="62" spans="2:14" x14ac:dyDescent="0.25">
      <c r="B62" s="125" t="s">
        <v>68</v>
      </c>
      <c r="C62" s="129">
        <f>'fixed costs'!C36</f>
        <v>250</v>
      </c>
      <c r="D62" s="129">
        <f>'fixed costs'!D36</f>
        <v>255</v>
      </c>
      <c r="E62" s="129">
        <f>'fixed costs'!E36</f>
        <v>260.10000000000002</v>
      </c>
      <c r="F62" s="129">
        <f>'fixed costs'!F36</f>
        <v>265.30200000000002</v>
      </c>
      <c r="G62" s="448">
        <f>'fixed costs'!G36</f>
        <v>270.60804000000002</v>
      </c>
      <c r="H62" s="65"/>
      <c r="I62" s="125" t="s">
        <v>68</v>
      </c>
      <c r="J62" s="129">
        <f>'fixed costs'!J36</f>
        <v>250</v>
      </c>
      <c r="K62" s="129">
        <f>'fixed costs'!K36</f>
        <v>255</v>
      </c>
      <c r="L62" s="129">
        <f>'fixed costs'!L36</f>
        <v>260.10000000000002</v>
      </c>
      <c r="M62" s="129">
        <f>'fixed costs'!M36</f>
        <v>265.30200000000002</v>
      </c>
      <c r="N62" s="448">
        <f>'fixed costs'!N36</f>
        <v>270.60804000000002</v>
      </c>
    </row>
    <row r="63" spans="2:14" x14ac:dyDescent="0.25">
      <c r="B63" s="125" t="s">
        <v>69</v>
      </c>
      <c r="C63" s="129">
        <f>'fixed costs'!C9</f>
        <v>23640</v>
      </c>
      <c r="D63" s="129">
        <f>'fixed costs'!D9</f>
        <v>23944.799999999999</v>
      </c>
      <c r="E63" s="129">
        <f>'fixed costs'!E9</f>
        <v>24255.696</v>
      </c>
      <c r="F63" s="129">
        <f>'fixed costs'!F9</f>
        <v>24572.809920000003</v>
      </c>
      <c r="G63" s="448">
        <f>'fixed costs'!G9</f>
        <v>32170.210233600003</v>
      </c>
      <c r="H63" s="65"/>
      <c r="I63" s="125" t="s">
        <v>69</v>
      </c>
      <c r="J63" s="129">
        <f>'fixed costs'!J9</f>
        <v>23640</v>
      </c>
      <c r="K63" s="129">
        <f>'fixed costs'!K9</f>
        <v>23944.799999999999</v>
      </c>
      <c r="L63" s="129">
        <f>'fixed costs'!L9</f>
        <v>24255.696</v>
      </c>
      <c r="M63" s="129">
        <f>'fixed costs'!M9</f>
        <v>24572.809920000003</v>
      </c>
      <c r="N63" s="448">
        <f>'fixed costs'!N9</f>
        <v>32170.210233600003</v>
      </c>
    </row>
    <row r="64" spans="2:14" x14ac:dyDescent="0.25">
      <c r="B64" s="125" t="s">
        <v>70</v>
      </c>
      <c r="C64" s="129">
        <f>'fixed costs'!C37</f>
        <v>1020</v>
      </c>
      <c r="D64" s="129">
        <f>'fixed costs'!D37</f>
        <v>1040.4000000000001</v>
      </c>
      <c r="E64" s="129">
        <f>'fixed costs'!E37</f>
        <v>1061.2080000000001</v>
      </c>
      <c r="F64" s="129">
        <f>'fixed costs'!F37</f>
        <v>1082.4321600000001</v>
      </c>
      <c r="G64" s="448">
        <f>'fixed costs'!G37</f>
        <v>1104.0808032</v>
      </c>
      <c r="H64" s="65"/>
      <c r="I64" s="125" t="s">
        <v>70</v>
      </c>
      <c r="J64" s="129">
        <f>'fixed costs'!J37</f>
        <v>1020</v>
      </c>
      <c r="K64" s="129">
        <f>'fixed costs'!K37</f>
        <v>1040.4000000000001</v>
      </c>
      <c r="L64" s="129">
        <f>'fixed costs'!L37</f>
        <v>1061.2080000000001</v>
      </c>
      <c r="M64" s="129">
        <f>'fixed costs'!M37</f>
        <v>1082.4321600000001</v>
      </c>
      <c r="N64" s="448">
        <f>'fixed costs'!N37</f>
        <v>1104.0808032</v>
      </c>
    </row>
    <row r="65" spans="2:14" x14ac:dyDescent="0.25">
      <c r="B65" s="125" t="s">
        <v>31</v>
      </c>
      <c r="C65" s="129">
        <f>'fixed costs'!C33</f>
        <v>12000</v>
      </c>
      <c r="D65" s="129">
        <f>'fixed costs'!D33</f>
        <v>500</v>
      </c>
      <c r="E65" s="129">
        <f>'fixed costs'!E33</f>
        <v>500</v>
      </c>
      <c r="F65" s="129">
        <f>'fixed costs'!F33</f>
        <v>500</v>
      </c>
      <c r="G65" s="448">
        <f>'fixed costs'!G33</f>
        <v>500</v>
      </c>
      <c r="H65" s="65"/>
      <c r="I65" s="125" t="s">
        <v>31</v>
      </c>
      <c r="J65" s="129">
        <f>'fixed costs'!J33</f>
        <v>12000</v>
      </c>
      <c r="K65" s="129">
        <f>'fixed costs'!K33</f>
        <v>500</v>
      </c>
      <c r="L65" s="129">
        <f>'fixed costs'!L33</f>
        <v>500</v>
      </c>
      <c r="M65" s="129">
        <f>'fixed costs'!M33</f>
        <v>500</v>
      </c>
      <c r="N65" s="448">
        <f>'fixed costs'!N33</f>
        <v>500</v>
      </c>
    </row>
    <row r="66" spans="2:14" x14ac:dyDescent="0.25">
      <c r="B66" s="125" t="s">
        <v>13</v>
      </c>
      <c r="C66" s="129">
        <f>'fixed costs'!C21</f>
        <v>6061.333333333333</v>
      </c>
      <c r="D66" s="129">
        <f>'fixed costs'!D21</f>
        <v>2704.6666666666665</v>
      </c>
      <c r="E66" s="129">
        <f>'fixed costs'!E21</f>
        <v>1984.6666666666665</v>
      </c>
      <c r="F66" s="129">
        <f>'fixed costs'!F21</f>
        <v>3769</v>
      </c>
      <c r="G66" s="448">
        <f>'fixed costs'!G21</f>
        <v>10384.666666666666</v>
      </c>
      <c r="H66" s="65"/>
      <c r="I66" s="125" t="s">
        <v>13</v>
      </c>
      <c r="J66" s="129">
        <f>'fixed costs'!J21</f>
        <v>6061.333333333333</v>
      </c>
      <c r="K66" s="129">
        <f>'fixed costs'!K21</f>
        <v>1136.3333333333333</v>
      </c>
      <c r="L66" s="129">
        <f>'fixed costs'!L21</f>
        <v>1554.3333333333333</v>
      </c>
      <c r="M66" s="129">
        <f>'fixed costs'!M21</f>
        <v>3026.666666666667</v>
      </c>
      <c r="N66" s="448">
        <f>'fixed costs'!N21</f>
        <v>6219.666666666667</v>
      </c>
    </row>
    <row r="67" spans="2:14" x14ac:dyDescent="0.25">
      <c r="B67" s="125" t="s">
        <v>12</v>
      </c>
      <c r="C67" s="129">
        <f>'fixed costs'!C19</f>
        <v>50000</v>
      </c>
      <c r="D67" s="129">
        <f>'fixed costs'!D19</f>
        <v>0</v>
      </c>
      <c r="E67" s="129">
        <f>'fixed costs'!E19</f>
        <v>0</v>
      </c>
      <c r="F67" s="129">
        <f>'fixed costs'!F19</f>
        <v>0</v>
      </c>
      <c r="G67" s="448">
        <f>'fixed costs'!G19</f>
        <v>0</v>
      </c>
      <c r="H67" s="65"/>
      <c r="I67" s="125" t="s">
        <v>12</v>
      </c>
      <c r="J67" s="129">
        <f>'fixed costs'!J19</f>
        <v>50000</v>
      </c>
      <c r="K67" s="129">
        <f>'fixed costs'!K19</f>
        <v>0</v>
      </c>
      <c r="L67" s="129">
        <f>'fixed costs'!L19</f>
        <v>0</v>
      </c>
      <c r="M67" s="129">
        <f>'fixed costs'!M19</f>
        <v>0</v>
      </c>
      <c r="N67" s="448">
        <f>'fixed costs'!N19</f>
        <v>0</v>
      </c>
    </row>
    <row r="68" spans="2:14" x14ac:dyDescent="0.25">
      <c r="B68" s="125" t="s">
        <v>205</v>
      </c>
      <c r="C68" s="129">
        <f>'fixed costs'!C29</f>
        <v>20000</v>
      </c>
      <c r="D68" s="129">
        <f>'fixed costs'!D29</f>
        <v>10000</v>
      </c>
      <c r="E68" s="129">
        <f>'fixed costs'!E29</f>
        <v>20000</v>
      </c>
      <c r="F68" s="129">
        <f>'fixed costs'!F29</f>
        <v>30000</v>
      </c>
      <c r="G68" s="448">
        <f>'fixed costs'!G29</f>
        <v>50000</v>
      </c>
      <c r="H68" s="65"/>
      <c r="I68" s="125" t="s">
        <v>205</v>
      </c>
      <c r="J68" s="129">
        <f>'fixed costs'!J29</f>
        <v>20000</v>
      </c>
      <c r="K68" s="129">
        <f>'fixed costs'!K29</f>
        <v>10000</v>
      </c>
      <c r="L68" s="129">
        <f>'fixed costs'!L29</f>
        <v>10000</v>
      </c>
      <c r="M68" s="129">
        <f>'fixed costs'!M29</f>
        <v>20000</v>
      </c>
      <c r="N68" s="448">
        <f>'fixed costs'!N29</f>
        <v>30000</v>
      </c>
    </row>
    <row r="69" spans="2:14" x14ac:dyDescent="0.25">
      <c r="B69" s="444" t="s">
        <v>190</v>
      </c>
      <c r="C69" s="445">
        <f>'fixed costs'!C31</f>
        <v>1000</v>
      </c>
      <c r="D69" s="445">
        <f>'fixed costs'!D31</f>
        <v>1000</v>
      </c>
      <c r="E69" s="445">
        <f>'fixed costs'!E31</f>
        <v>2000</v>
      </c>
      <c r="F69" s="445">
        <f>'fixed costs'!F31</f>
        <v>3000</v>
      </c>
      <c r="G69" s="445">
        <f>'fixed costs'!G31</f>
        <v>5000</v>
      </c>
      <c r="H69" s="65"/>
      <c r="I69" s="444" t="s">
        <v>190</v>
      </c>
      <c r="J69" s="445">
        <f>'fixed costs'!J31</f>
        <v>1000</v>
      </c>
      <c r="K69" s="445">
        <f>'fixed costs'!K31</f>
        <v>1000</v>
      </c>
      <c r="L69" s="445">
        <f>'fixed costs'!L31</f>
        <v>1000</v>
      </c>
      <c r="M69" s="445">
        <f>'fixed costs'!M31</f>
        <v>2000</v>
      </c>
      <c r="N69" s="445">
        <f>'fixed costs'!N31</f>
        <v>3000</v>
      </c>
    </row>
    <row r="70" spans="2:14" ht="15.75" thickBot="1" x14ac:dyDescent="0.3">
      <c r="B70" s="444" t="s">
        <v>30</v>
      </c>
      <c r="C70" s="445">
        <f>'fixed costs'!C25</f>
        <v>0</v>
      </c>
      <c r="D70" s="445">
        <f>'fixed costs'!D25</f>
        <v>22714.285714285714</v>
      </c>
      <c r="E70" s="445">
        <f>'fixed costs'!E25</f>
        <v>2714.2857142857142</v>
      </c>
      <c r="F70" s="445">
        <f>'fixed costs'!F25</f>
        <v>25428.571428571428</v>
      </c>
      <c r="G70" s="449">
        <f>'fixed costs'!G25</f>
        <v>51000</v>
      </c>
      <c r="H70" s="65"/>
      <c r="I70" s="444" t="s">
        <v>30</v>
      </c>
      <c r="J70" s="445">
        <f>'fixed costs'!J25</f>
        <v>0</v>
      </c>
      <c r="K70" s="445">
        <f>'fixed costs'!K25</f>
        <v>22714.285714285714</v>
      </c>
      <c r="L70" s="445">
        <f>'fixed costs'!L25</f>
        <v>2714.2857142857142</v>
      </c>
      <c r="M70" s="445">
        <f>'fixed costs'!M25</f>
        <v>25428.571428571428</v>
      </c>
      <c r="N70" s="449">
        <f>'fixed costs'!N25</f>
        <v>5428.5714285714284</v>
      </c>
    </row>
    <row r="71" spans="2:14" ht="15.75" thickBot="1" x14ac:dyDescent="0.3">
      <c r="B71" s="446" t="s">
        <v>71</v>
      </c>
      <c r="C71" s="138">
        <f>SUM(C61:C70)</f>
        <v>411541.33333333331</v>
      </c>
      <c r="D71" s="138">
        <f>SUM(D61:D70)</f>
        <v>465926.15238095244</v>
      </c>
      <c r="E71" s="138">
        <f>SUM(E61:E70)</f>
        <v>566868.80838095222</v>
      </c>
      <c r="F71" s="138">
        <f>SUM(F61:F70)</f>
        <v>922982.29342857155</v>
      </c>
      <c r="G71" s="139">
        <f>SUM(G61:G70)</f>
        <v>1211288.852794667</v>
      </c>
      <c r="H71" s="65"/>
      <c r="I71" s="446" t="s">
        <v>71</v>
      </c>
      <c r="J71" s="138">
        <f>SUM(J61:J70)</f>
        <v>411541.33333333331</v>
      </c>
      <c r="K71" s="138">
        <f>SUM(K61:K70)</f>
        <v>394560.81904761906</v>
      </c>
      <c r="L71" s="138">
        <f>SUM(L61:L70)</f>
        <v>441827.52304761898</v>
      </c>
      <c r="M71" s="138">
        <f>SUM(M61:M70)</f>
        <v>742899.14017523814</v>
      </c>
      <c r="N71" s="139">
        <f>SUM(N61:N70)</f>
        <v>890838.27279203804</v>
      </c>
    </row>
    <row r="72" spans="2:14" ht="15.75" thickBot="1" x14ac:dyDescent="0.3">
      <c r="B72" s="76"/>
      <c r="C72" s="73"/>
      <c r="D72" s="73"/>
      <c r="E72" s="73"/>
      <c r="F72" s="73"/>
      <c r="G72" s="73"/>
      <c r="H72" s="65"/>
      <c r="I72" s="450"/>
      <c r="J72" s="451"/>
      <c r="K72" s="451"/>
      <c r="L72" s="451"/>
      <c r="M72" s="451"/>
      <c r="N72" s="452"/>
    </row>
    <row r="73" spans="2:14" ht="15.75" thickBot="1" x14ac:dyDescent="0.3">
      <c r="B73" s="133" t="s">
        <v>72</v>
      </c>
      <c r="C73" s="134">
        <f>C55+C59+C71</f>
        <v>511741.33333333331</v>
      </c>
      <c r="D73" s="134">
        <f>D55+D59+D71</f>
        <v>515926.15238095244</v>
      </c>
      <c r="E73" s="134">
        <f>E55+E59+E71</f>
        <v>626868.80838095222</v>
      </c>
      <c r="F73" s="134">
        <f>F55+F59+F71</f>
        <v>962982.29342857155</v>
      </c>
      <c r="G73" s="135">
        <f>G55+G59+G71</f>
        <v>1261288.852794667</v>
      </c>
      <c r="H73" s="65"/>
      <c r="I73" s="133" t="s">
        <v>72</v>
      </c>
      <c r="J73" s="134">
        <f>J55+J59+J71</f>
        <v>511741.33333333331</v>
      </c>
      <c r="K73" s="134">
        <f>K55+K59+K71</f>
        <v>444560.81904761906</v>
      </c>
      <c r="L73" s="134">
        <f>L55+L59+L71</f>
        <v>491827.52304761898</v>
      </c>
      <c r="M73" s="134">
        <f>M55+M59+M71</f>
        <v>782899.14017523814</v>
      </c>
      <c r="N73" s="135">
        <f>N55+N59+N71</f>
        <v>930838.27279203804</v>
      </c>
    </row>
    <row r="74" spans="2:14" ht="15.75" thickBot="1" x14ac:dyDescent="0.3">
      <c r="B74" s="77"/>
      <c r="C74" s="73"/>
      <c r="D74" s="73"/>
      <c r="E74" s="73"/>
      <c r="F74" s="73"/>
      <c r="G74" s="73"/>
      <c r="H74" s="65"/>
      <c r="I74" s="77"/>
      <c r="J74" s="73"/>
      <c r="K74" s="73"/>
      <c r="L74" s="73"/>
      <c r="M74" s="73"/>
      <c r="N74" s="73"/>
    </row>
    <row r="75" spans="2:14" ht="15.75" thickBot="1" x14ac:dyDescent="0.3">
      <c r="B75" s="119" t="s">
        <v>87</v>
      </c>
      <c r="C75" s="120">
        <f>C46-C73</f>
        <v>-3574.6666666665697</v>
      </c>
      <c r="D75" s="120">
        <f>D46-D73</f>
        <v>302407.18095238128</v>
      </c>
      <c r="E75" s="120">
        <f>E46-E73</f>
        <v>678772.85828571522</v>
      </c>
      <c r="F75" s="120">
        <f>F46-F73</f>
        <v>851834.3732380959</v>
      </c>
      <c r="G75" s="121">
        <f>G46-G73</f>
        <v>1443123.6472053339</v>
      </c>
      <c r="H75" s="65"/>
      <c r="I75" s="119" t="s">
        <v>87</v>
      </c>
      <c r="J75" s="120">
        <f>J46-J73</f>
        <v>-218407.99999999994</v>
      </c>
      <c r="K75" s="120">
        <f>K46-K73</f>
        <v>43689.180952381052</v>
      </c>
      <c r="L75" s="120">
        <f>L46-L73</f>
        <v>289297.47695238126</v>
      </c>
      <c r="M75" s="120">
        <f>M46-M73</f>
        <v>340400.85982476233</v>
      </c>
      <c r="N75" s="121">
        <f>N46-N73</f>
        <v>858549.22720796242</v>
      </c>
    </row>
    <row r="76" spans="2:14" ht="15.75" thickBot="1" x14ac:dyDescent="0.3">
      <c r="B76" s="77"/>
      <c r="C76" s="78"/>
      <c r="D76" s="78"/>
      <c r="E76" s="78"/>
      <c r="F76" s="78"/>
      <c r="G76" s="78"/>
      <c r="H76" s="65"/>
      <c r="I76" s="77"/>
      <c r="J76" s="78"/>
      <c r="K76" s="78"/>
      <c r="L76" s="78"/>
      <c r="M76" s="78"/>
      <c r="N76" s="78"/>
    </row>
    <row r="77" spans="2:14" ht="15.75" thickBot="1" x14ac:dyDescent="0.3">
      <c r="B77" s="136"/>
      <c r="C77" s="486" t="s">
        <v>73</v>
      </c>
      <c r="D77" s="501"/>
      <c r="E77" s="501"/>
      <c r="F77" s="501"/>
      <c r="G77" s="502"/>
      <c r="H77" s="65"/>
      <c r="I77" s="136"/>
      <c r="J77" s="486" t="s">
        <v>73</v>
      </c>
      <c r="K77" s="501"/>
      <c r="L77" s="501"/>
      <c r="M77" s="501"/>
      <c r="N77" s="502"/>
    </row>
    <row r="78" spans="2:14" ht="15.75" thickBot="1" x14ac:dyDescent="0.3">
      <c r="B78" s="140" t="s">
        <v>73</v>
      </c>
      <c r="C78" s="141">
        <f>IF(C75&lt;0,0,1/3*C75)</f>
        <v>0</v>
      </c>
      <c r="D78" s="141">
        <f>IF(D75&lt;0,0,1/3*D75)</f>
        <v>100802.39365079376</v>
      </c>
      <c r="E78" s="141">
        <f>IF(E75&lt;0,0,1/3*E75)</f>
        <v>226257.61942857172</v>
      </c>
      <c r="F78" s="141">
        <f>IF(F75&lt;0,0,1/3*F75)</f>
        <v>283944.7910793653</v>
      </c>
      <c r="G78" s="142">
        <f>IF(G75&lt;0,0,1/3*G75)</f>
        <v>481041.21573511127</v>
      </c>
      <c r="H78" s="65"/>
      <c r="I78" s="140" t="s">
        <v>73</v>
      </c>
      <c r="J78" s="141">
        <f>IF(J75&lt;0,0,1/3*J75)</f>
        <v>0</v>
      </c>
      <c r="K78" s="141">
        <f>IF(K75&lt;0,0,1/3*K75)</f>
        <v>14563.060317460349</v>
      </c>
      <c r="L78" s="141">
        <f>IF(L75&lt;0,0,1/3*L75)</f>
        <v>96432.492317460419</v>
      </c>
      <c r="M78" s="141">
        <f>IF(M75&lt;0,0,1/3*M75)</f>
        <v>113466.95327492077</v>
      </c>
      <c r="N78" s="142">
        <f>IF(N75&lt;0,0,1/3*N75)</f>
        <v>286183.07573598746</v>
      </c>
    </row>
    <row r="79" spans="2:14" ht="15.75" thickBot="1" x14ac:dyDescent="0.3">
      <c r="B79" s="137" t="s">
        <v>74</v>
      </c>
      <c r="C79" s="138">
        <f>SUM(C78:C78)</f>
        <v>0</v>
      </c>
      <c r="D79" s="138">
        <f>SUM(D78:D78)</f>
        <v>100802.39365079376</v>
      </c>
      <c r="E79" s="138">
        <f>SUM(E78:E78)</f>
        <v>226257.61942857172</v>
      </c>
      <c r="F79" s="138">
        <f>SUM(F78:F78)</f>
        <v>283944.7910793653</v>
      </c>
      <c r="G79" s="139">
        <f>SUM(G78:G78)</f>
        <v>481041.21573511127</v>
      </c>
      <c r="H79" s="65"/>
      <c r="I79" s="137" t="s">
        <v>74</v>
      </c>
      <c r="J79" s="138">
        <f>SUM(J78:J78)</f>
        <v>0</v>
      </c>
      <c r="K79" s="138">
        <f>SUM(K78:K78)</f>
        <v>14563.060317460349</v>
      </c>
      <c r="L79" s="138">
        <f>SUM(L78:L78)</f>
        <v>96432.492317460419</v>
      </c>
      <c r="M79" s="138">
        <f>SUM(M78:M78)</f>
        <v>113466.95327492077</v>
      </c>
      <c r="N79" s="139">
        <f>SUM(N78:N78)</f>
        <v>286183.07573598746</v>
      </c>
    </row>
    <row r="80" spans="2:14" ht="15.75" thickBot="1" x14ac:dyDescent="0.3">
      <c r="B80" s="72"/>
      <c r="C80" s="73"/>
      <c r="D80" s="73"/>
      <c r="E80" s="73"/>
      <c r="F80" s="73"/>
      <c r="G80" s="73"/>
      <c r="H80" s="65"/>
      <c r="I80" s="72"/>
      <c r="J80" s="73"/>
      <c r="K80" s="73"/>
      <c r="L80" s="73"/>
      <c r="M80" s="73"/>
      <c r="N80" s="73"/>
    </row>
    <row r="81" spans="2:14" ht="15.75" thickBot="1" x14ac:dyDescent="0.3">
      <c r="B81" s="119" t="s">
        <v>88</v>
      </c>
      <c r="C81" s="120">
        <f>C75-C79</f>
        <v>-3574.6666666665697</v>
      </c>
      <c r="D81" s="120">
        <f>D75-D79</f>
        <v>201604.78730158752</v>
      </c>
      <c r="E81" s="120">
        <f>E75-E79</f>
        <v>452515.2388571435</v>
      </c>
      <c r="F81" s="120">
        <f>F75-F79</f>
        <v>567889.5821587306</v>
      </c>
      <c r="G81" s="121">
        <f>G75-G79</f>
        <v>962082.43147022265</v>
      </c>
      <c r="H81" s="65"/>
      <c r="I81" s="119" t="s">
        <v>88</v>
      </c>
      <c r="J81" s="120">
        <f>J75-J79</f>
        <v>-218407.99999999994</v>
      </c>
      <c r="K81" s="120">
        <f>K75-K79</f>
        <v>29126.120634920702</v>
      </c>
      <c r="L81" s="120">
        <f>L75-L79</f>
        <v>192864.98463492084</v>
      </c>
      <c r="M81" s="120">
        <f>M75-M79</f>
        <v>226933.90654984157</v>
      </c>
      <c r="N81" s="121">
        <f>N75-N79</f>
        <v>572366.15147197503</v>
      </c>
    </row>
    <row r="88" spans="2:14" x14ac:dyDescent="0.25">
      <c r="G88" t="s">
        <v>172</v>
      </c>
    </row>
    <row r="90" spans="2:14" x14ac:dyDescent="0.25">
      <c r="G90" s="426" t="s">
        <v>179</v>
      </c>
    </row>
    <row r="91" spans="2:14" x14ac:dyDescent="0.25">
      <c r="G91" s="426" t="s">
        <v>180</v>
      </c>
    </row>
  </sheetData>
  <mergeCells count="12">
    <mergeCell ref="C38:G38"/>
    <mergeCell ref="J38:N38"/>
    <mergeCell ref="C49:G49"/>
    <mergeCell ref="J49:N49"/>
    <mergeCell ref="C77:G77"/>
    <mergeCell ref="J77:N77"/>
    <mergeCell ref="C4:G4"/>
    <mergeCell ref="J4:N4"/>
    <mergeCell ref="C12:G12"/>
    <mergeCell ref="J12:N12"/>
    <mergeCell ref="C30:G30"/>
    <mergeCell ref="J30:N3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459AD-CC23-44D7-8639-781D3E432197}">
  <sheetPr codeName="Feuil4">
    <tabColor rgb="FFE53A05"/>
  </sheetPr>
  <dimension ref="B1:V116"/>
  <sheetViews>
    <sheetView topLeftCell="A21" zoomScale="115" zoomScaleNormal="115" workbookViewId="0">
      <selection activeCell="N109" sqref="N109"/>
    </sheetView>
  </sheetViews>
  <sheetFormatPr baseColWidth="10" defaultRowHeight="15" x14ac:dyDescent="0.25"/>
  <cols>
    <col min="2" max="2" width="3.5703125" customWidth="1"/>
    <col min="3" max="3" width="44.85546875" bestFit="1" customWidth="1"/>
    <col min="4" max="4" width="10.7109375" bestFit="1" customWidth="1"/>
    <col min="5" max="8" width="11.7109375" bestFit="1" customWidth="1"/>
    <col min="9" max="9" width="12" bestFit="1" customWidth="1"/>
    <col min="10" max="10" width="4.42578125" customWidth="1"/>
    <col min="11" max="11" width="3.85546875" customWidth="1"/>
    <col min="12" max="12" width="30.85546875" bestFit="1" customWidth="1"/>
    <col min="14" max="14" width="12" bestFit="1" customWidth="1"/>
  </cols>
  <sheetData>
    <row r="1" spans="2:22" ht="15.75" thickBot="1" x14ac:dyDescent="0.3"/>
    <row r="2" spans="2:22" ht="15.75" thickBot="1" x14ac:dyDescent="0.3">
      <c r="B2" s="208"/>
      <c r="C2" s="207" t="s">
        <v>89</v>
      </c>
      <c r="D2" s="294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209"/>
    </row>
    <row r="3" spans="2:22" ht="15.75" thickBot="1" x14ac:dyDescent="0.3">
      <c r="B3" s="210"/>
      <c r="C3" s="161"/>
      <c r="D3" s="161"/>
      <c r="E3" s="221" t="s">
        <v>1</v>
      </c>
      <c r="F3" s="222" t="s">
        <v>2</v>
      </c>
      <c r="G3" s="222" t="s">
        <v>3</v>
      </c>
      <c r="H3" s="222" t="s">
        <v>4</v>
      </c>
      <c r="I3" s="223" t="s">
        <v>5</v>
      </c>
      <c r="J3" s="161"/>
      <c r="K3" s="161"/>
      <c r="L3" s="211"/>
      <c r="M3" s="211"/>
      <c r="N3" s="211"/>
      <c r="O3" s="161"/>
      <c r="P3" s="212"/>
    </row>
    <row r="4" spans="2:22" ht="15.75" thickBot="1" x14ac:dyDescent="0.3">
      <c r="B4" s="210"/>
      <c r="C4" s="161"/>
      <c r="D4" s="161"/>
      <c r="E4" s="161"/>
      <c r="F4" s="161"/>
      <c r="G4" s="161"/>
      <c r="H4" s="161"/>
      <c r="I4" s="161"/>
      <c r="J4" s="161"/>
      <c r="K4" s="161"/>
      <c r="L4" s="211"/>
      <c r="M4" s="509" t="s">
        <v>90</v>
      </c>
      <c r="N4" s="510"/>
      <c r="O4" s="200">
        <f>1/3</f>
        <v>0.33333333333333331</v>
      </c>
      <c r="P4" s="212"/>
    </row>
    <row r="5" spans="2:22" x14ac:dyDescent="0.25">
      <c r="B5" s="210"/>
      <c r="C5" s="158" t="s">
        <v>91</v>
      </c>
      <c r="D5" s="171"/>
      <c r="E5" s="186">
        <f>'Profit &amp; losses'!C35</f>
        <v>842416.66666666674</v>
      </c>
      <c r="F5" s="186">
        <f>'Profit &amp; losses'!D35</f>
        <v>1314516.3333333337</v>
      </c>
      <c r="G5" s="186">
        <f>'Profit &amp; losses'!E35</f>
        <v>2043763.5666666673</v>
      </c>
      <c r="H5" s="186">
        <f>'Profit &amp; losses'!F35</f>
        <v>2529466.3818666674</v>
      </c>
      <c r="I5" s="191">
        <f>'Profit &amp; losses'!G35</f>
        <v>3601777.8868800011</v>
      </c>
      <c r="J5" s="161"/>
      <c r="K5" s="161"/>
      <c r="L5" s="211"/>
      <c r="M5" s="211"/>
      <c r="N5" s="211"/>
      <c r="O5" s="161"/>
      <c r="P5" s="212"/>
    </row>
    <row r="6" spans="2:22" ht="15.75" thickBot="1" x14ac:dyDescent="0.3">
      <c r="B6" s="210"/>
      <c r="C6" s="160" t="s">
        <v>82</v>
      </c>
      <c r="D6" s="187"/>
      <c r="E6" s="188">
        <f>'Profit &amp; losses'!C43</f>
        <v>334250</v>
      </c>
      <c r="F6" s="188">
        <f>'Profit &amp; losses'!D43</f>
        <v>496183</v>
      </c>
      <c r="G6" s="188">
        <f>'Profit &amp; losses'!E43</f>
        <v>738121.9</v>
      </c>
      <c r="H6" s="188">
        <f>'Profit &amp; losses'!F43</f>
        <v>714649.71519999998</v>
      </c>
      <c r="I6" s="189">
        <f>'Profit &amp; losses'!G43</f>
        <v>897365.38688000001</v>
      </c>
      <c r="J6" s="161"/>
      <c r="K6" s="161"/>
      <c r="L6" s="213"/>
      <c r="M6" s="213"/>
      <c r="N6" s="211"/>
      <c r="O6" s="161"/>
      <c r="P6" s="212"/>
      <c r="V6" t="s">
        <v>172</v>
      </c>
    </row>
    <row r="7" spans="2:22" ht="15.75" thickBot="1" x14ac:dyDescent="0.3">
      <c r="B7" s="210"/>
      <c r="C7" s="160" t="s">
        <v>93</v>
      </c>
      <c r="D7" s="187"/>
      <c r="E7" s="187">
        <f>'fixed costs'!C23+'fixed costs'!C27</f>
        <v>1136.3333333333333</v>
      </c>
      <c r="F7" s="187">
        <f>'fixed costs'!D23+'fixed costs'!D27</f>
        <v>4118.9523809523807</v>
      </c>
      <c r="G7" s="187">
        <f>'fixed costs'!E23+'fixed costs'!E27</f>
        <v>4148.9523809523807</v>
      </c>
      <c r="H7" s="187">
        <f>'fixed costs'!F23+'fixed costs'!F27</f>
        <v>6472.5714285714284</v>
      </c>
      <c r="I7" s="190">
        <f>'fixed costs'!G23+'fixed costs'!G27</f>
        <v>13709.666666666666</v>
      </c>
      <c r="J7" s="161"/>
      <c r="K7" s="161"/>
      <c r="L7" s="214"/>
      <c r="M7" s="205" t="s">
        <v>104</v>
      </c>
      <c r="N7" s="201" t="s">
        <v>92</v>
      </c>
      <c r="O7" s="202">
        <v>0.06</v>
      </c>
      <c r="P7" s="212"/>
    </row>
    <row r="8" spans="2:22" ht="15.75" thickBot="1" x14ac:dyDescent="0.3">
      <c r="B8" s="210"/>
      <c r="C8" s="162" t="s">
        <v>103</v>
      </c>
      <c r="D8" s="194"/>
      <c r="E8" s="195">
        <f>'Profit &amp; losses'!C73-E7</f>
        <v>510605</v>
      </c>
      <c r="F8" s="195">
        <f>'Profit &amp; losses'!D73-F7</f>
        <v>511807.20000000007</v>
      </c>
      <c r="G8" s="195">
        <f>'Profit &amp; losses'!E73-G7</f>
        <v>622719.8559999998</v>
      </c>
      <c r="H8" s="195">
        <f>'Profit &amp; losses'!F73-H7</f>
        <v>956509.72200000007</v>
      </c>
      <c r="I8" s="196">
        <f>'Profit &amp; losses'!G73-I7</f>
        <v>1247579.1861280003</v>
      </c>
      <c r="J8" s="161"/>
      <c r="K8" s="161"/>
      <c r="L8" s="214"/>
      <c r="M8" s="214"/>
      <c r="N8" s="203" t="s">
        <v>105</v>
      </c>
      <c r="O8" s="204">
        <v>5</v>
      </c>
      <c r="P8" s="212"/>
      <c r="V8" s="426" t="s">
        <v>183</v>
      </c>
    </row>
    <row r="9" spans="2:22" ht="15.75" thickBot="1" x14ac:dyDescent="0.3">
      <c r="B9" s="210"/>
      <c r="C9" s="161"/>
      <c r="D9" s="161"/>
      <c r="E9" s="161"/>
      <c r="F9" s="161"/>
      <c r="G9" s="161"/>
      <c r="H9" s="161"/>
      <c r="I9" s="161"/>
      <c r="J9" s="161"/>
      <c r="K9" s="161"/>
      <c r="L9" s="211"/>
      <c r="M9" s="211"/>
      <c r="N9" s="211"/>
      <c r="O9" s="161"/>
      <c r="P9" s="25"/>
      <c r="V9" s="426" t="s">
        <v>184</v>
      </c>
    </row>
    <row r="10" spans="2:22" ht="15.75" thickBot="1" x14ac:dyDescent="0.3">
      <c r="B10" s="210"/>
      <c r="C10" s="198" t="s">
        <v>102</v>
      </c>
      <c r="D10" s="199"/>
      <c r="E10" s="245">
        <f>'fixed costs'!C22+'fixed costs'!C26</f>
        <v>4925</v>
      </c>
      <c r="F10" s="245">
        <f>'fixed costs'!D22+'fixed costs'!D26</f>
        <v>21300</v>
      </c>
      <c r="G10" s="245">
        <f>'fixed costs'!E22+'fixed costs'!E26</f>
        <v>550</v>
      </c>
      <c r="H10" s="245">
        <f>'fixed costs'!F22+'fixed costs'!F26</f>
        <v>22725</v>
      </c>
      <c r="I10" s="246">
        <f>'fixed costs'!G22+'fixed costs'!G26</f>
        <v>47675</v>
      </c>
      <c r="J10" s="161"/>
      <c r="K10" s="161"/>
      <c r="L10" s="215"/>
      <c r="M10" s="215"/>
      <c r="N10" s="211"/>
      <c r="O10" s="161"/>
      <c r="P10" s="212"/>
      <c r="V10" s="426" t="s">
        <v>185</v>
      </c>
    </row>
    <row r="11" spans="2:22" ht="15.75" thickBot="1" x14ac:dyDescent="0.3">
      <c r="B11" s="210"/>
      <c r="C11" s="161"/>
      <c r="D11" s="161"/>
      <c r="E11" s="161"/>
      <c r="F11" s="161"/>
      <c r="G11" s="161"/>
      <c r="H11" s="161"/>
      <c r="I11" s="161"/>
      <c r="J11" s="161"/>
      <c r="K11" s="161"/>
      <c r="L11" s="215"/>
      <c r="M11" s="215"/>
      <c r="N11" s="211"/>
      <c r="O11" s="161"/>
      <c r="P11" s="212"/>
      <c r="V11" s="426" t="s">
        <v>186</v>
      </c>
    </row>
    <row r="12" spans="2:22" ht="15.75" thickBot="1" x14ac:dyDescent="0.3">
      <c r="B12" s="210"/>
      <c r="C12" s="177" t="s">
        <v>158</v>
      </c>
      <c r="D12" s="176"/>
      <c r="E12" s="192">
        <f>E13</f>
        <v>23</v>
      </c>
      <c r="F12" s="193">
        <f t="shared" ref="F12:I12" si="0">F13</f>
        <v>21</v>
      </c>
      <c r="G12" s="193">
        <f t="shared" si="0"/>
        <v>18</v>
      </c>
      <c r="H12" s="193">
        <f t="shared" si="0"/>
        <v>13</v>
      </c>
      <c r="I12" s="185">
        <f t="shared" si="0"/>
        <v>8</v>
      </c>
      <c r="J12" s="161"/>
      <c r="K12" s="161"/>
      <c r="L12" s="211"/>
      <c r="M12" s="211"/>
      <c r="N12" s="161"/>
      <c r="O12" s="24"/>
      <c r="P12" s="212"/>
      <c r="V12" s="426" t="s">
        <v>187</v>
      </c>
    </row>
    <row r="13" spans="2:22" ht="15.75" thickBot="1" x14ac:dyDescent="0.3">
      <c r="B13" s="210"/>
      <c r="C13" s="197" t="s">
        <v>98</v>
      </c>
      <c r="D13" s="178"/>
      <c r="E13" s="182">
        <f>E15+E16-E14</f>
        <v>23</v>
      </c>
      <c r="F13" s="183">
        <f t="shared" ref="F13:I13" si="1">F15+F16-F14</f>
        <v>21</v>
      </c>
      <c r="G13" s="183">
        <f t="shared" si="1"/>
        <v>18</v>
      </c>
      <c r="H13" s="183">
        <f t="shared" si="1"/>
        <v>13</v>
      </c>
      <c r="I13" s="184">
        <f t="shared" si="1"/>
        <v>8</v>
      </c>
      <c r="J13" s="161"/>
      <c r="K13" s="161"/>
      <c r="L13" s="211"/>
      <c r="M13" s="507" t="s">
        <v>159</v>
      </c>
      <c r="N13" s="508"/>
      <c r="O13" s="206">
        <v>365.25</v>
      </c>
      <c r="P13" s="212"/>
    </row>
    <row r="14" spans="2:22" x14ac:dyDescent="0.25">
      <c r="B14" s="210"/>
      <c r="C14" s="179" t="s">
        <v>99</v>
      </c>
      <c r="D14" s="161"/>
      <c r="E14" s="164">
        <v>7</v>
      </c>
      <c r="F14" s="164">
        <v>7</v>
      </c>
      <c r="G14" s="164">
        <v>7</v>
      </c>
      <c r="H14" s="164">
        <v>8</v>
      </c>
      <c r="I14" s="165">
        <v>8</v>
      </c>
      <c r="J14" s="161"/>
      <c r="K14" s="161"/>
      <c r="L14" s="161"/>
      <c r="M14" s="161"/>
      <c r="N14" s="216"/>
      <c r="O14" s="161"/>
      <c r="P14" s="212"/>
    </row>
    <row r="15" spans="2:22" x14ac:dyDescent="0.25">
      <c r="B15" s="210"/>
      <c r="C15" s="180" t="s">
        <v>100</v>
      </c>
      <c r="D15" s="161"/>
      <c r="E15" s="164">
        <v>15</v>
      </c>
      <c r="F15" s="164">
        <v>14</v>
      </c>
      <c r="G15" s="164">
        <v>12</v>
      </c>
      <c r="H15" s="164">
        <v>9</v>
      </c>
      <c r="I15" s="165">
        <v>5</v>
      </c>
      <c r="J15" s="161"/>
      <c r="K15" s="161"/>
      <c r="L15" s="161"/>
      <c r="M15" s="217"/>
      <c r="N15" s="161"/>
      <c r="O15" s="161"/>
      <c r="P15" s="212"/>
    </row>
    <row r="16" spans="2:22" ht="15.75" thickBot="1" x14ac:dyDescent="0.3">
      <c r="B16" s="210"/>
      <c r="C16" s="181" t="s">
        <v>101</v>
      </c>
      <c r="D16" s="163"/>
      <c r="E16" s="166">
        <v>15</v>
      </c>
      <c r="F16" s="166">
        <v>14</v>
      </c>
      <c r="G16" s="166">
        <v>13</v>
      </c>
      <c r="H16" s="166">
        <v>12</v>
      </c>
      <c r="I16" s="167">
        <v>11</v>
      </c>
      <c r="J16" s="161"/>
      <c r="K16" s="161"/>
      <c r="L16" s="161"/>
      <c r="M16" s="161"/>
      <c r="N16" s="161"/>
      <c r="O16" s="161"/>
      <c r="P16" s="212"/>
    </row>
    <row r="17" spans="2:18" x14ac:dyDescent="0.25">
      <c r="B17" s="210"/>
      <c r="C17" s="24"/>
      <c r="D17" s="24"/>
      <c r="E17" s="24"/>
      <c r="F17" s="24"/>
      <c r="G17" s="24"/>
      <c r="H17" s="24"/>
      <c r="I17" s="24"/>
      <c r="J17" s="161"/>
      <c r="K17" s="161"/>
      <c r="L17" s="161"/>
      <c r="M17" s="161"/>
      <c r="N17" s="161"/>
      <c r="O17" s="161"/>
      <c r="P17" s="212"/>
    </row>
    <row r="18" spans="2:18" ht="15.75" thickBot="1" x14ac:dyDescent="0.3">
      <c r="B18" s="218"/>
      <c r="C18" s="194"/>
      <c r="D18" s="194"/>
      <c r="E18" s="194"/>
      <c r="F18" s="194"/>
      <c r="G18" s="194"/>
      <c r="H18" s="194"/>
      <c r="I18" s="194"/>
      <c r="J18" s="163"/>
      <c r="K18" s="163"/>
      <c r="L18" s="163"/>
      <c r="M18" s="163"/>
      <c r="N18" s="194"/>
      <c r="O18" s="194"/>
      <c r="P18" s="219"/>
    </row>
    <row r="21" spans="2:18" ht="15.75" thickBot="1" x14ac:dyDescent="0.3"/>
    <row r="22" spans="2:18" ht="15.75" thickBot="1" x14ac:dyDescent="0.3">
      <c r="B22" s="224"/>
      <c r="C22" s="229" t="s">
        <v>106</v>
      </c>
      <c r="D22" s="230"/>
      <c r="E22" s="220"/>
      <c r="F22" s="220"/>
      <c r="G22" s="220"/>
      <c r="H22" s="220"/>
      <c r="I22" s="220"/>
      <c r="K22" s="243"/>
      <c r="L22" s="256" t="s">
        <v>116</v>
      </c>
      <c r="M22" s="244"/>
      <c r="N22" s="161"/>
      <c r="O22" s="161"/>
      <c r="P22" s="161"/>
      <c r="Q22" s="161"/>
      <c r="R22" s="161"/>
    </row>
    <row r="23" spans="2:18" x14ac:dyDescent="0.25">
      <c r="B23" s="376"/>
      <c r="C23" s="377"/>
      <c r="D23" s="349"/>
      <c r="E23" s="325" t="s">
        <v>1</v>
      </c>
      <c r="F23" s="226" t="s">
        <v>2</v>
      </c>
      <c r="G23" s="226" t="s">
        <v>3</v>
      </c>
      <c r="H23" s="226" t="s">
        <v>4</v>
      </c>
      <c r="I23" s="227" t="s">
        <v>5</v>
      </c>
      <c r="K23" s="362"/>
      <c r="L23" s="239"/>
      <c r="M23" s="240"/>
      <c r="N23" s="225" t="s">
        <v>1</v>
      </c>
      <c r="O23" s="226" t="s">
        <v>2</v>
      </c>
      <c r="P23" s="226" t="s">
        <v>3</v>
      </c>
      <c r="Q23" s="226" t="s">
        <v>4</v>
      </c>
      <c r="R23" s="227" t="s">
        <v>5</v>
      </c>
    </row>
    <row r="24" spans="2:18" x14ac:dyDescent="0.25">
      <c r="B24" s="378"/>
      <c r="C24" s="511" t="str">
        <f>C5</f>
        <v>Turnover</v>
      </c>
      <c r="D24" s="512"/>
      <c r="E24" s="231">
        <f t="shared" ref="E24:I24" si="2">E5</f>
        <v>842416.66666666674</v>
      </c>
      <c r="F24" s="231">
        <f t="shared" si="2"/>
        <v>1314516.3333333337</v>
      </c>
      <c r="G24" s="231">
        <f t="shared" si="2"/>
        <v>2043763.5666666673</v>
      </c>
      <c r="H24" s="231">
        <f t="shared" si="2"/>
        <v>2529466.3818666674</v>
      </c>
      <c r="I24" s="232">
        <f t="shared" si="2"/>
        <v>3601777.8868800011</v>
      </c>
      <c r="K24" s="233"/>
      <c r="L24" s="235" t="s">
        <v>117</v>
      </c>
      <c r="M24" s="235"/>
      <c r="N24" s="257">
        <f>E33</f>
        <v>-2383.1111111110595</v>
      </c>
      <c r="O24" s="258">
        <f t="shared" ref="O24:R24" si="3">F33</f>
        <v>201604.78730158755</v>
      </c>
      <c r="P24" s="258">
        <f t="shared" si="3"/>
        <v>452515.23885714344</v>
      </c>
      <c r="Q24" s="258">
        <f t="shared" si="3"/>
        <v>567889.58215873071</v>
      </c>
      <c r="R24" s="247">
        <f t="shared" si="3"/>
        <v>962082.43147022277</v>
      </c>
    </row>
    <row r="25" spans="2:18" x14ac:dyDescent="0.25">
      <c r="B25" s="378" t="s">
        <v>107</v>
      </c>
      <c r="C25" s="511" t="s">
        <v>115</v>
      </c>
      <c r="D25" s="512"/>
      <c r="E25" s="231">
        <f>E8+E6</f>
        <v>844855</v>
      </c>
      <c r="F25" s="231">
        <f t="shared" ref="F25:I25" si="4">F8+F6</f>
        <v>1007990.2000000001</v>
      </c>
      <c r="G25" s="231">
        <f t="shared" si="4"/>
        <v>1360841.7559999998</v>
      </c>
      <c r="H25" s="231">
        <f t="shared" si="4"/>
        <v>1671159.4372</v>
      </c>
      <c r="I25" s="232">
        <f t="shared" si="4"/>
        <v>2144944.5730080004</v>
      </c>
      <c r="K25" s="234" t="s">
        <v>118</v>
      </c>
      <c r="L25" s="237" t="str">
        <f>C7</f>
        <v>Depreciation</v>
      </c>
      <c r="M25" s="237"/>
      <c r="N25" s="257">
        <f t="shared" ref="N25" si="5">E7</f>
        <v>1136.3333333333333</v>
      </c>
      <c r="O25" s="259">
        <f t="shared" ref="O25" si="6">F7</f>
        <v>4118.9523809523807</v>
      </c>
      <c r="P25" s="259">
        <f t="shared" ref="P25" si="7">G7</f>
        <v>4148.9523809523807</v>
      </c>
      <c r="Q25" s="259">
        <f t="shared" ref="Q25" si="8">H7</f>
        <v>6472.5714285714284</v>
      </c>
      <c r="R25" s="260">
        <f t="shared" ref="R25" si="9">I7</f>
        <v>13709.666666666666</v>
      </c>
    </row>
    <row r="26" spans="2:18" x14ac:dyDescent="0.25">
      <c r="B26" s="378" t="s">
        <v>107</v>
      </c>
      <c r="C26" s="511" t="str">
        <f>C7</f>
        <v>Depreciation</v>
      </c>
      <c r="D26" s="512"/>
      <c r="E26" s="231">
        <f t="shared" ref="E26:I26" si="10">E7</f>
        <v>1136.3333333333333</v>
      </c>
      <c r="F26" s="231">
        <f t="shared" si="10"/>
        <v>4118.9523809523807</v>
      </c>
      <c r="G26" s="231">
        <f t="shared" si="10"/>
        <v>4148.9523809523807</v>
      </c>
      <c r="H26" s="231">
        <f t="shared" si="10"/>
        <v>6472.5714285714284</v>
      </c>
      <c r="I26" s="232">
        <f t="shared" si="10"/>
        <v>13709.666666666666</v>
      </c>
      <c r="K26" s="375" t="s">
        <v>107</v>
      </c>
      <c r="L26" s="237" t="s">
        <v>119</v>
      </c>
      <c r="M26" s="237"/>
      <c r="N26" s="257">
        <f>E24*E12/$O$13</f>
        <v>53047.456080310294</v>
      </c>
      <c r="O26" s="259">
        <f>F24*F12/$O$13</f>
        <v>75577.941136208101</v>
      </c>
      <c r="P26" s="259">
        <f t="shared" ref="P26:R26" si="11">G24*G12/$O$13</f>
        <v>100719.35441478442</v>
      </c>
      <c r="Q26" s="259">
        <f t="shared" si="11"/>
        <v>90028.919820031966</v>
      </c>
      <c r="R26" s="247">
        <f t="shared" si="11"/>
        <v>78889.043381355266</v>
      </c>
    </row>
    <row r="27" spans="2:18" ht="15.75" thickBot="1" x14ac:dyDescent="0.3">
      <c r="B27" s="228" t="s">
        <v>108</v>
      </c>
      <c r="C27" s="517" t="s">
        <v>109</v>
      </c>
      <c r="D27" s="518"/>
      <c r="E27" s="279">
        <f>E24-E25-E26</f>
        <v>-3574.6666666665888</v>
      </c>
      <c r="F27" s="279">
        <f>F24-F25-F26</f>
        <v>302407.18095238128</v>
      </c>
      <c r="G27" s="279">
        <f>G24-G25-G26</f>
        <v>678772.85828571511</v>
      </c>
      <c r="H27" s="279">
        <f>H24-H25-H26</f>
        <v>851834.3732380959</v>
      </c>
      <c r="I27" s="280">
        <f>I24-I25-I26</f>
        <v>1443123.6472053339</v>
      </c>
      <c r="K27" s="248"/>
      <c r="L27" s="249" t="s">
        <v>132</v>
      </c>
      <c r="M27" s="249"/>
      <c r="N27" s="261">
        <f>N24+N25-N26</f>
        <v>-54294.233858088017</v>
      </c>
      <c r="O27" s="262">
        <f>O24+O25-O26</f>
        <v>130145.79854633182</v>
      </c>
      <c r="P27" s="262">
        <f>P24+P25-P26</f>
        <v>355944.8368233114</v>
      </c>
      <c r="Q27" s="262">
        <f>Q24+Q25-Q26</f>
        <v>484333.23376727023</v>
      </c>
      <c r="R27" s="263">
        <f>R24+R25-R26</f>
        <v>896903.05475553416</v>
      </c>
    </row>
    <row r="28" spans="2:18" x14ac:dyDescent="0.25">
      <c r="B28" s="379" t="s">
        <v>107</v>
      </c>
      <c r="C28" s="513" t="s">
        <v>110</v>
      </c>
      <c r="D28" s="511"/>
      <c r="E28" s="231">
        <f>N38</f>
        <v>4500</v>
      </c>
      <c r="F28" s="231">
        <f>O38</f>
        <v>3600</v>
      </c>
      <c r="G28" s="231">
        <f>P38</f>
        <v>2700</v>
      </c>
      <c r="H28" s="231">
        <f t="shared" ref="H28:I28" si="12">Q38</f>
        <v>1800</v>
      </c>
      <c r="I28" s="232">
        <f t="shared" si="12"/>
        <v>900</v>
      </c>
      <c r="K28" s="331"/>
      <c r="L28" s="332"/>
      <c r="M28" s="332"/>
      <c r="N28" s="333"/>
      <c r="O28" s="334"/>
      <c r="P28" s="334"/>
      <c r="Q28" s="334"/>
      <c r="R28" s="335"/>
    </row>
    <row r="29" spans="2:18" x14ac:dyDescent="0.25">
      <c r="B29" s="379" t="s">
        <v>108</v>
      </c>
      <c r="C29" s="513" t="s">
        <v>111</v>
      </c>
      <c r="D29" s="511"/>
      <c r="E29" s="231">
        <f>E27-E28</f>
        <v>-8074.6666666665888</v>
      </c>
      <c r="F29" s="231">
        <f>F27-F28</f>
        <v>298807.18095238128</v>
      </c>
      <c r="G29" s="231">
        <f>G27-G28</f>
        <v>676072.85828571511</v>
      </c>
      <c r="H29" s="231">
        <f>H27-H28</f>
        <v>850034.3732380959</v>
      </c>
      <c r="I29" s="232">
        <f>I27-I28</f>
        <v>1442223.6472053339</v>
      </c>
      <c r="K29" s="250"/>
      <c r="L29" s="251" t="s">
        <v>120</v>
      </c>
      <c r="M29" s="251"/>
      <c r="N29" s="264">
        <f>E10</f>
        <v>4925</v>
      </c>
      <c r="O29" s="265">
        <f t="shared" ref="O29:R29" si="13">F10</f>
        <v>21300</v>
      </c>
      <c r="P29" s="265">
        <f t="shared" si="13"/>
        <v>550</v>
      </c>
      <c r="Q29" s="265">
        <f t="shared" si="13"/>
        <v>22725</v>
      </c>
      <c r="R29" s="266">
        <f t="shared" si="13"/>
        <v>47675</v>
      </c>
    </row>
    <row r="30" spans="2:18" x14ac:dyDescent="0.25">
      <c r="B30" s="379" t="s">
        <v>107</v>
      </c>
      <c r="C30" s="513" t="s">
        <v>112</v>
      </c>
      <c r="D30" s="511"/>
      <c r="E30" s="231">
        <f>IF(E29&lt;0,0,$O$4*E29)</f>
        <v>0</v>
      </c>
      <c r="F30" s="231">
        <f t="shared" ref="F30:I30" si="14">IF(F29&lt;0,0,$O$4*F29)</f>
        <v>99602.393650793761</v>
      </c>
      <c r="G30" s="231">
        <f t="shared" si="14"/>
        <v>225357.61942857169</v>
      </c>
      <c r="H30" s="231">
        <f t="shared" si="14"/>
        <v>283344.7910793653</v>
      </c>
      <c r="I30" s="232">
        <f t="shared" si="14"/>
        <v>480741.21573511127</v>
      </c>
      <c r="K30" s="336"/>
      <c r="L30" s="337"/>
      <c r="M30" s="337"/>
      <c r="N30" s="338"/>
      <c r="O30" s="339"/>
      <c r="P30" s="339"/>
      <c r="Q30" s="339"/>
      <c r="R30" s="340"/>
    </row>
    <row r="31" spans="2:18" x14ac:dyDescent="0.25">
      <c r="B31" s="228" t="s">
        <v>108</v>
      </c>
      <c r="C31" s="517" t="s">
        <v>113</v>
      </c>
      <c r="D31" s="518"/>
      <c r="E31" s="279">
        <f>E29-E30</f>
        <v>-8074.6666666665888</v>
      </c>
      <c r="F31" s="279">
        <f>F29-F30</f>
        <v>199204.78730158752</v>
      </c>
      <c r="G31" s="279">
        <f>G29-G30</f>
        <v>450715.23885714344</v>
      </c>
      <c r="H31" s="279">
        <f>H29-H30</f>
        <v>566689.5821587306</v>
      </c>
      <c r="I31" s="280">
        <f>I29-I30</f>
        <v>961482.43147022265</v>
      </c>
      <c r="K31" s="250"/>
      <c r="L31" s="251" t="s">
        <v>121</v>
      </c>
      <c r="M31" s="251"/>
      <c r="N31" s="264">
        <f>N27-N29</f>
        <v>-59219.233858088017</v>
      </c>
      <c r="O31" s="267">
        <f>O27-O29</f>
        <v>108845.79854633182</v>
      </c>
      <c r="P31" s="267">
        <f>P27-P29</f>
        <v>355394.8368233114</v>
      </c>
      <c r="Q31" s="267">
        <f>Q27-Q29</f>
        <v>461608.23376727023</v>
      </c>
      <c r="R31" s="268">
        <f>R27-R29</f>
        <v>849228.05475553416</v>
      </c>
    </row>
    <row r="32" spans="2:18" ht="15.75" thickBot="1" x14ac:dyDescent="0.3">
      <c r="B32" s="343"/>
      <c r="C32" s="344"/>
      <c r="D32" s="345"/>
      <c r="E32" s="346"/>
      <c r="F32" s="346"/>
      <c r="G32" s="346"/>
      <c r="H32" s="346"/>
      <c r="I32" s="347"/>
      <c r="K32" s="326"/>
      <c r="L32" s="341"/>
      <c r="M32" s="341"/>
      <c r="N32" s="372"/>
      <c r="O32" s="373"/>
      <c r="P32" s="373"/>
      <c r="Q32" s="373"/>
      <c r="R32" s="374"/>
    </row>
    <row r="33" spans="2:20" ht="15.75" thickBot="1" x14ac:dyDescent="0.3">
      <c r="B33" s="514" t="s">
        <v>114</v>
      </c>
      <c r="C33" s="515"/>
      <c r="D33" s="516"/>
      <c r="E33" s="281">
        <f>E27*(1-$O$4)</f>
        <v>-2383.1111111110595</v>
      </c>
      <c r="F33" s="281">
        <f>F27*(1-$O$4)</f>
        <v>201604.78730158755</v>
      </c>
      <c r="G33" s="281">
        <f>G27*(1-$O$4)</f>
        <v>452515.23885714344</v>
      </c>
      <c r="H33" s="281">
        <f>H27*(1-$O$4)</f>
        <v>567889.58215873071</v>
      </c>
      <c r="I33" s="282">
        <f>I27*(1-$O$4)</f>
        <v>962082.43147022277</v>
      </c>
      <c r="K33" s="362"/>
      <c r="L33" s="239" t="s">
        <v>122</v>
      </c>
      <c r="M33" s="240"/>
      <c r="N33" s="269">
        <v>200000</v>
      </c>
      <c r="O33" s="270">
        <v>0</v>
      </c>
      <c r="P33" s="270">
        <v>0</v>
      </c>
      <c r="Q33" s="270">
        <v>0</v>
      </c>
      <c r="R33" s="271">
        <v>0</v>
      </c>
    </row>
    <row r="34" spans="2:20" x14ac:dyDescent="0.25">
      <c r="K34" s="505" t="s">
        <v>107</v>
      </c>
      <c r="L34" s="394" t="s">
        <v>123</v>
      </c>
      <c r="M34" s="395"/>
      <c r="N34" s="283">
        <f>IF(E31&lt;0,0,E31*N35)</f>
        <v>0</v>
      </c>
      <c r="O34" s="284">
        <f>IF(F31&lt;0,0,F31*O35)</f>
        <v>79681.914920635012</v>
      </c>
      <c r="P34" s="284">
        <f t="shared" ref="P34:R34" si="15">IF(G31&lt;0,0,G31*P35)</f>
        <v>225357.61942857172</v>
      </c>
      <c r="Q34" s="284">
        <f t="shared" si="15"/>
        <v>340013.74929523835</v>
      </c>
      <c r="R34" s="285">
        <f t="shared" si="15"/>
        <v>673037.7020291558</v>
      </c>
    </row>
    <row r="35" spans="2:20" ht="15.75" thickBot="1" x14ac:dyDescent="0.3">
      <c r="K35" s="506"/>
      <c r="L35" s="503" t="s">
        <v>133</v>
      </c>
      <c r="M35" s="504"/>
      <c r="N35" s="316">
        <v>0.4</v>
      </c>
      <c r="O35" s="317">
        <v>0.4</v>
      </c>
      <c r="P35" s="318">
        <v>0.5</v>
      </c>
      <c r="Q35" s="402">
        <v>0.6</v>
      </c>
      <c r="R35" s="401">
        <v>0.7</v>
      </c>
    </row>
    <row r="36" spans="2:20" ht="15.75" thickBot="1" x14ac:dyDescent="0.3">
      <c r="B36" s="287"/>
      <c r="C36" s="288" t="s">
        <v>134</v>
      </c>
      <c r="D36" s="295"/>
      <c r="E36" s="161"/>
      <c r="F36" s="161"/>
      <c r="G36" s="161"/>
      <c r="H36" s="161"/>
      <c r="I36" s="163"/>
      <c r="K36" s="375" t="s">
        <v>118</v>
      </c>
      <c r="L36" s="237" t="s">
        <v>124</v>
      </c>
      <c r="M36" s="241"/>
      <c r="N36" s="272">
        <v>75000</v>
      </c>
      <c r="O36" s="259">
        <v>0</v>
      </c>
      <c r="P36" s="259">
        <v>0</v>
      </c>
      <c r="Q36" s="259">
        <v>0</v>
      </c>
      <c r="R36" s="260">
        <v>0</v>
      </c>
    </row>
    <row r="37" spans="2:20" ht="15.75" thickBot="1" x14ac:dyDescent="0.3">
      <c r="B37" s="238"/>
      <c r="C37" s="242"/>
      <c r="D37" s="289" t="s">
        <v>135</v>
      </c>
      <c r="E37" s="396" t="s">
        <v>136</v>
      </c>
      <c r="F37" s="292" t="s">
        <v>137</v>
      </c>
      <c r="G37" s="292" t="s">
        <v>138</v>
      </c>
      <c r="H37" s="292" t="s">
        <v>139</v>
      </c>
      <c r="I37" s="293" t="s">
        <v>140</v>
      </c>
      <c r="K37" s="375" t="s">
        <v>107</v>
      </c>
      <c r="L37" s="237" t="s">
        <v>125</v>
      </c>
      <c r="M37" s="241"/>
      <c r="N37" s="257">
        <f>N36/$O$8</f>
        <v>15000</v>
      </c>
      <c r="O37" s="259">
        <f>N37+O36/$O$8</f>
        <v>15000</v>
      </c>
      <c r="P37" s="259">
        <f t="shared" ref="P37:R37" si="16">O37+P36/$O$8</f>
        <v>15000</v>
      </c>
      <c r="Q37" s="259">
        <f t="shared" si="16"/>
        <v>15000</v>
      </c>
      <c r="R37" s="260">
        <f t="shared" si="16"/>
        <v>15000</v>
      </c>
    </row>
    <row r="38" spans="2:20" x14ac:dyDescent="0.25">
      <c r="B38" s="400"/>
      <c r="C38" s="236" t="s">
        <v>157</v>
      </c>
      <c r="D38" s="454">
        <f>E10</f>
        <v>4925</v>
      </c>
      <c r="E38" s="430">
        <f>D38-E7</f>
        <v>3788.666666666667</v>
      </c>
      <c r="F38" s="430">
        <f>E38-F7+F10</f>
        <v>20969.714285714286</v>
      </c>
      <c r="G38" s="430">
        <f>F38-G7+G10</f>
        <v>17370.761904761905</v>
      </c>
      <c r="H38" s="430">
        <f t="shared" ref="H38:I38" si="17">G38-H7+H10</f>
        <v>33623.190476190473</v>
      </c>
      <c r="I38" s="191">
        <f t="shared" si="17"/>
        <v>67588.523809523816</v>
      </c>
      <c r="K38" s="375" t="s">
        <v>107</v>
      </c>
      <c r="L38" s="237" t="s">
        <v>126</v>
      </c>
      <c r="M38" s="241"/>
      <c r="N38" s="257">
        <f>$O$7*N36</f>
        <v>4500</v>
      </c>
      <c r="O38" s="259">
        <f>$O$7*E47</f>
        <v>3600</v>
      </c>
      <c r="P38" s="259">
        <f>$O$7*F47</f>
        <v>2700</v>
      </c>
      <c r="Q38" s="259">
        <f>$O$7*G47</f>
        <v>1800</v>
      </c>
      <c r="R38" s="260">
        <f>$O$7*H47</f>
        <v>900</v>
      </c>
    </row>
    <row r="39" spans="2:20" ht="15.75" thickBot="1" x14ac:dyDescent="0.3">
      <c r="B39" s="400"/>
      <c r="C39" s="364" t="s">
        <v>141</v>
      </c>
      <c r="D39" s="455">
        <f>D42-D38</f>
        <v>195075</v>
      </c>
      <c r="E39" s="456">
        <f>N44</f>
        <v>197780.76614191197</v>
      </c>
      <c r="F39" s="456">
        <f t="shared" ref="F39:I39" si="18">O44</f>
        <v>209544.64976760879</v>
      </c>
      <c r="G39" s="456">
        <f t="shared" si="18"/>
        <v>322781.86716234847</v>
      </c>
      <c r="H39" s="456">
        <f t="shared" si="18"/>
        <v>428176.35163438035</v>
      </c>
      <c r="I39" s="457">
        <f t="shared" si="18"/>
        <v>588766.70436075865</v>
      </c>
      <c r="K39" s="375" t="s">
        <v>118</v>
      </c>
      <c r="L39" s="237" t="s">
        <v>127</v>
      </c>
      <c r="M39" s="241"/>
      <c r="N39" s="257">
        <f>N38*$O$4</f>
        <v>1500</v>
      </c>
      <c r="O39" s="259">
        <f>O38*$O$4</f>
        <v>1200</v>
      </c>
      <c r="P39" s="259">
        <f>P38*$O$4</f>
        <v>900</v>
      </c>
      <c r="Q39" s="259">
        <f>Q38*$O$4</f>
        <v>600</v>
      </c>
      <c r="R39" s="260">
        <f>R38*$O$4</f>
        <v>300</v>
      </c>
    </row>
    <row r="40" spans="2:20" ht="15.75" thickBot="1" x14ac:dyDescent="0.3">
      <c r="B40" s="375"/>
      <c r="C40" s="241" t="s">
        <v>155</v>
      </c>
      <c r="D40" s="308">
        <f>D39</f>
        <v>195075</v>
      </c>
      <c r="E40" s="434">
        <f>E39+N26</f>
        <v>250828.22222222225</v>
      </c>
      <c r="F40" s="435">
        <f t="shared" ref="F40:I40" si="19">F39+O26</f>
        <v>285122.59090381686</v>
      </c>
      <c r="G40" s="435">
        <f t="shared" si="19"/>
        <v>423501.22157713288</v>
      </c>
      <c r="H40" s="435">
        <f t="shared" si="19"/>
        <v>518205.27145441232</v>
      </c>
      <c r="I40" s="436">
        <f t="shared" si="19"/>
        <v>667655.74774211389</v>
      </c>
      <c r="K40" s="250"/>
      <c r="L40" s="251" t="s">
        <v>128</v>
      </c>
      <c r="M40" s="252"/>
      <c r="N40" s="264">
        <f>N33-N34+N36-N37-N38+N39</f>
        <v>257000</v>
      </c>
      <c r="O40" s="267">
        <f>O33-O34+O36-O37-O38+O39</f>
        <v>-97081.914920635012</v>
      </c>
      <c r="P40" s="267">
        <f>P33-P34+P36-P37-P38+P39</f>
        <v>-242157.61942857172</v>
      </c>
      <c r="Q40" s="267">
        <f>Q33-Q34+Q36-Q37-Q38+Q39</f>
        <v>-356213.74929523835</v>
      </c>
      <c r="R40" s="268">
        <f>R33-R34+R36-R37-R38+R39</f>
        <v>-688637.7020291558</v>
      </c>
    </row>
    <row r="41" spans="2:20" ht="15.75" thickBot="1" x14ac:dyDescent="0.3">
      <c r="B41" s="326"/>
      <c r="C41" s="341"/>
      <c r="D41" s="298"/>
      <c r="E41" s="328"/>
      <c r="F41" s="329"/>
      <c r="G41" s="329"/>
      <c r="H41" s="329"/>
      <c r="I41" s="330"/>
      <c r="K41" s="326"/>
      <c r="L41" s="341"/>
      <c r="M41" s="342"/>
      <c r="N41" s="338"/>
      <c r="O41" s="339"/>
      <c r="P41" s="339"/>
      <c r="Q41" s="339"/>
      <c r="R41" s="340"/>
    </row>
    <row r="42" spans="2:20" ht="15.75" thickBot="1" x14ac:dyDescent="0.3">
      <c r="B42" s="290"/>
      <c r="C42" s="348" t="s">
        <v>142</v>
      </c>
      <c r="D42" s="299">
        <f>D48</f>
        <v>200000</v>
      </c>
      <c r="E42" s="300">
        <f>E38+E40</f>
        <v>254616.88888888891</v>
      </c>
      <c r="F42" s="301">
        <f t="shared" ref="F42:I42" si="20">F38+F40</f>
        <v>306092.30518953112</v>
      </c>
      <c r="G42" s="301">
        <f t="shared" si="20"/>
        <v>440871.98348189477</v>
      </c>
      <c r="H42" s="301">
        <f t="shared" si="20"/>
        <v>551828.46193060279</v>
      </c>
      <c r="I42" s="302">
        <f t="shared" si="20"/>
        <v>735244.27155163768</v>
      </c>
      <c r="K42" s="388"/>
      <c r="L42" s="389" t="s">
        <v>129</v>
      </c>
      <c r="M42" s="390"/>
      <c r="N42" s="257">
        <v>0</v>
      </c>
      <c r="O42" s="259">
        <f>N44</f>
        <v>197780.76614191197</v>
      </c>
      <c r="P42" s="259">
        <f>O44</f>
        <v>209544.64976760879</v>
      </c>
      <c r="Q42" s="259">
        <f>P44</f>
        <v>322781.86716234847</v>
      </c>
      <c r="R42" s="273">
        <f>Q44</f>
        <v>428176.35163438035</v>
      </c>
    </row>
    <row r="43" spans="2:20" ht="15.75" thickBot="1" x14ac:dyDescent="0.3">
      <c r="B43" s="326"/>
      <c r="C43" s="341"/>
      <c r="D43" s="298"/>
      <c r="E43" s="328"/>
      <c r="F43" s="329"/>
      <c r="G43" s="329"/>
      <c r="H43" s="329"/>
      <c r="I43" s="330"/>
      <c r="K43" s="391" t="s">
        <v>118</v>
      </c>
      <c r="L43" s="392" t="s">
        <v>130</v>
      </c>
      <c r="M43" s="393"/>
      <c r="N43" s="274">
        <f>N31+N40</f>
        <v>197780.76614191197</v>
      </c>
      <c r="O43" s="275">
        <f>O31+O40</f>
        <v>11763.883625696806</v>
      </c>
      <c r="P43" s="275">
        <f>P31+P40</f>
        <v>113237.21739473968</v>
      </c>
      <c r="Q43" s="275">
        <f>Q31+Q40</f>
        <v>105394.48447203188</v>
      </c>
      <c r="R43" s="276">
        <f>R31+R40</f>
        <v>160590.35272637836</v>
      </c>
    </row>
    <row r="44" spans="2:20" ht="15.75" thickBot="1" x14ac:dyDescent="0.3">
      <c r="B44" s="362"/>
      <c r="C44" s="240" t="s">
        <v>143</v>
      </c>
      <c r="D44" s="296">
        <f t="shared" ref="D44:I44" si="21">D45+D46</f>
        <v>200000</v>
      </c>
      <c r="E44" s="297">
        <f t="shared" si="21"/>
        <v>191925.3333333334</v>
      </c>
      <c r="F44" s="303">
        <f t="shared" si="21"/>
        <v>311448.2057142859</v>
      </c>
      <c r="G44" s="303">
        <f t="shared" si="21"/>
        <v>536805.82514285762</v>
      </c>
      <c r="H44" s="303">
        <f t="shared" si="21"/>
        <v>763481.65800634981</v>
      </c>
      <c r="I44" s="304">
        <f t="shared" si="21"/>
        <v>1051926.3874474165</v>
      </c>
      <c r="K44" s="253"/>
      <c r="L44" s="254" t="s">
        <v>131</v>
      </c>
      <c r="M44" s="255"/>
      <c r="N44" s="286">
        <f>N42+N43</f>
        <v>197780.76614191197</v>
      </c>
      <c r="O44" s="277">
        <f>O42+O43</f>
        <v>209544.64976760879</v>
      </c>
      <c r="P44" s="277">
        <f>P42+P43</f>
        <v>322781.86716234847</v>
      </c>
      <c r="Q44" s="277">
        <f>Q42+Q43</f>
        <v>428176.35163438035</v>
      </c>
      <c r="R44" s="278">
        <f>R42+R43</f>
        <v>588766.70436075865</v>
      </c>
      <c r="T44" t="s">
        <v>156</v>
      </c>
    </row>
    <row r="45" spans="2:20" x14ac:dyDescent="0.25">
      <c r="B45" s="375"/>
      <c r="C45" s="383" t="s">
        <v>147</v>
      </c>
      <c r="D45" s="305">
        <f>E45</f>
        <v>200000</v>
      </c>
      <c r="E45" s="306">
        <f>SUM($N33:N33)</f>
        <v>200000</v>
      </c>
      <c r="F45" s="306">
        <f>SUM($N33:O33)</f>
        <v>200000</v>
      </c>
      <c r="G45" s="306">
        <f>SUM($N33:P33)</f>
        <v>200000</v>
      </c>
      <c r="H45" s="306">
        <f>SUM($N33:Q33)</f>
        <v>200000</v>
      </c>
      <c r="I45" s="399">
        <f>SUM($N33:R33)</f>
        <v>200000</v>
      </c>
    </row>
    <row r="46" spans="2:20" ht="15.75" thickBot="1" x14ac:dyDescent="0.3">
      <c r="B46" s="363"/>
      <c r="C46" s="380" t="s">
        <v>144</v>
      </c>
      <c r="D46" s="429">
        <v>0</v>
      </c>
      <c r="E46" s="427">
        <f>D46+E31-N34</f>
        <v>-8074.6666666665888</v>
      </c>
      <c r="F46" s="427">
        <f>E46+F31-O34</f>
        <v>111448.20571428591</v>
      </c>
      <c r="G46" s="427">
        <f>F46+G31-P34</f>
        <v>336805.82514285768</v>
      </c>
      <c r="H46" s="427">
        <f>G46+H31-Q34</f>
        <v>563481.65800634981</v>
      </c>
      <c r="I46" s="428">
        <f>H46+I31-R34</f>
        <v>851926.38744741655</v>
      </c>
    </row>
    <row r="47" spans="2:20" ht="15.75" thickBot="1" x14ac:dyDescent="0.3">
      <c r="B47" s="381"/>
      <c r="C47" s="359" t="s">
        <v>145</v>
      </c>
      <c r="D47" s="308">
        <v>0</v>
      </c>
      <c r="E47" s="309">
        <f>N36-N37+D47</f>
        <v>60000</v>
      </c>
      <c r="F47" s="310">
        <f t="shared" ref="F47:I47" si="22">O36-O37+E47</f>
        <v>45000</v>
      </c>
      <c r="G47" s="310">
        <f t="shared" si="22"/>
        <v>30000</v>
      </c>
      <c r="H47" s="310">
        <f t="shared" si="22"/>
        <v>15000</v>
      </c>
      <c r="I47" s="311">
        <f t="shared" si="22"/>
        <v>0</v>
      </c>
    </row>
    <row r="48" spans="2:20" ht="15.75" thickBot="1" x14ac:dyDescent="0.3">
      <c r="B48" s="381"/>
      <c r="C48" s="382" t="s">
        <v>146</v>
      </c>
      <c r="D48" s="312">
        <f t="shared" ref="D48:G48" si="23">D44+D47</f>
        <v>200000</v>
      </c>
      <c r="E48" s="313">
        <f>E44+E47</f>
        <v>251925.3333333334</v>
      </c>
      <c r="F48" s="314">
        <f t="shared" si="23"/>
        <v>356448.2057142859</v>
      </c>
      <c r="G48" s="314">
        <f t="shared" si="23"/>
        <v>566805.82514285762</v>
      </c>
      <c r="H48" s="314">
        <f>H44+H47</f>
        <v>778481.65800634981</v>
      </c>
      <c r="I48" s="315">
        <f>I44+I47</f>
        <v>1051926.3874474165</v>
      </c>
    </row>
    <row r="50" spans="2:14" ht="15.75" thickBot="1" x14ac:dyDescent="0.3"/>
    <row r="51" spans="2:14" ht="15.75" thickBot="1" x14ac:dyDescent="0.3">
      <c r="B51" s="366"/>
      <c r="C51" s="367" t="s">
        <v>148</v>
      </c>
      <c r="D51" s="368"/>
      <c r="E51" s="161"/>
      <c r="F51" s="161"/>
      <c r="G51" s="161"/>
      <c r="H51" s="161"/>
      <c r="I51" s="161"/>
      <c r="J51" s="369"/>
      <c r="K51" s="369"/>
      <c r="L51" s="369"/>
      <c r="M51" s="369"/>
      <c r="N51" t="s">
        <v>154</v>
      </c>
    </row>
    <row r="52" spans="2:14" x14ac:dyDescent="0.25">
      <c r="B52" s="384"/>
      <c r="C52" s="350"/>
      <c r="D52" s="350"/>
      <c r="E52" s="361" t="s">
        <v>1</v>
      </c>
      <c r="F52" s="354" t="s">
        <v>2</v>
      </c>
      <c r="G52" s="354" t="s">
        <v>3</v>
      </c>
      <c r="H52" s="354" t="s">
        <v>4</v>
      </c>
      <c r="I52" s="360" t="s">
        <v>5</v>
      </c>
      <c r="J52" s="369"/>
      <c r="K52" s="369"/>
      <c r="L52" s="369"/>
      <c r="M52" s="369"/>
    </row>
    <row r="53" spans="2:14" x14ac:dyDescent="0.25">
      <c r="B53" s="385"/>
      <c r="C53" s="237" t="s">
        <v>149</v>
      </c>
      <c r="D53" s="351"/>
      <c r="E53" s="319">
        <f>E38/E5</f>
        <v>4.4973785735483232E-3</v>
      </c>
      <c r="F53" s="319">
        <f>F38/F5</f>
        <v>1.5952418204298421E-2</v>
      </c>
      <c r="G53" s="319">
        <f>G38/G5</f>
        <v>8.4993989461771401E-3</v>
      </c>
      <c r="H53" s="319">
        <f>H38/H5</f>
        <v>1.3292602233115115E-2</v>
      </c>
      <c r="I53" s="320">
        <f>I38/I5</f>
        <v>1.8765322552433017E-2</v>
      </c>
      <c r="J53" s="369"/>
      <c r="K53" s="369"/>
      <c r="L53" s="369"/>
      <c r="M53" s="369"/>
    </row>
    <row r="54" spans="2:14" ht="15.75" thickBot="1" x14ac:dyDescent="0.3">
      <c r="B54" s="386"/>
      <c r="C54" s="387" t="s">
        <v>151</v>
      </c>
      <c r="D54" s="355"/>
      <c r="E54" s="356">
        <f>D40/E5</f>
        <v>0.23156593134830347</v>
      </c>
      <c r="F54" s="356">
        <f t="shared" ref="F54:I54" si="24">E40/F5</f>
        <v>0.19081407804661904</v>
      </c>
      <c r="G54" s="356">
        <f t="shared" si="24"/>
        <v>0.1395085985258292</v>
      </c>
      <c r="H54" s="356">
        <f t="shared" si="24"/>
        <v>0.16742710028215602</v>
      </c>
      <c r="I54" s="365">
        <f t="shared" si="24"/>
        <v>0.14387485506589684</v>
      </c>
      <c r="J54" s="369"/>
      <c r="K54" s="369"/>
      <c r="L54" s="369"/>
      <c r="M54" s="369"/>
    </row>
    <row r="55" spans="2:14" ht="15.75" thickBot="1" x14ac:dyDescent="0.3">
      <c r="B55" s="370"/>
      <c r="C55" s="324" t="s">
        <v>152</v>
      </c>
      <c r="D55" s="321"/>
      <c r="E55" s="357">
        <f>E5/E42</f>
        <v>3.3085655485889038</v>
      </c>
      <c r="F55" s="357">
        <f>F5/F42</f>
        <v>4.2945095680186753</v>
      </c>
      <c r="G55" s="357">
        <f>G5/G42</f>
        <v>4.6357301966106865</v>
      </c>
      <c r="H55" s="357">
        <f>H5/H42</f>
        <v>4.5837910806868996</v>
      </c>
      <c r="I55" s="358">
        <f>I5/I42</f>
        <v>4.8987500157993971</v>
      </c>
      <c r="J55" s="369"/>
      <c r="K55" s="369"/>
      <c r="L55" s="369"/>
      <c r="M55" s="369"/>
    </row>
    <row r="56" spans="2:14" ht="15.75" thickBot="1" x14ac:dyDescent="0.3">
      <c r="B56" s="371"/>
      <c r="C56" s="341"/>
      <c r="D56" s="327"/>
      <c r="E56" s="352"/>
      <c r="F56" s="352"/>
      <c r="G56" s="352"/>
      <c r="H56" s="352"/>
      <c r="I56" s="353"/>
      <c r="J56" s="369"/>
      <c r="K56" s="369"/>
      <c r="L56" s="369"/>
      <c r="M56" s="369"/>
    </row>
    <row r="57" spans="2:14" ht="15.75" thickBot="1" x14ac:dyDescent="0.3">
      <c r="B57" s="370"/>
      <c r="C57" s="324" t="s">
        <v>153</v>
      </c>
      <c r="D57" s="321"/>
      <c r="E57" s="322">
        <f>E27/E24</f>
        <v>-4.2433475121178219E-3</v>
      </c>
      <c r="F57" s="322">
        <f>F27/F24</f>
        <v>0.23005205282276031</v>
      </c>
      <c r="G57" s="322">
        <f>G27/G24</f>
        <v>0.3321190715777258</v>
      </c>
      <c r="H57" s="322">
        <f>H27/H24</f>
        <v>0.336764457256581</v>
      </c>
      <c r="I57" s="323">
        <f>I27/I24</f>
        <v>0.4006698060038964</v>
      </c>
      <c r="J57" s="369"/>
      <c r="K57" s="369"/>
      <c r="L57" s="369"/>
      <c r="M57" s="369"/>
    </row>
    <row r="58" spans="2:14" ht="15.75" thickBot="1" x14ac:dyDescent="0.3">
      <c r="B58" s="371"/>
      <c r="C58" s="341"/>
      <c r="D58" s="327"/>
      <c r="E58" s="352"/>
      <c r="F58" s="352"/>
      <c r="G58" s="352"/>
      <c r="H58" s="352"/>
      <c r="I58" s="353"/>
      <c r="J58" s="369"/>
      <c r="K58" s="369"/>
      <c r="L58" s="369"/>
      <c r="M58" s="369"/>
    </row>
    <row r="59" spans="2:14" ht="15.75" thickBot="1" x14ac:dyDescent="0.3">
      <c r="B59" s="370"/>
      <c r="C59" s="324" t="s">
        <v>150</v>
      </c>
      <c r="D59" s="321"/>
      <c r="E59" s="322">
        <f>E55*E57</f>
        <v>-1.4039393389283462E-2</v>
      </c>
      <c r="F59" s="322">
        <f>F55*F57</f>
        <v>0.98796074198968187</v>
      </c>
      <c r="G59" s="322">
        <f>G55*G57</f>
        <v>1.5396144089831696</v>
      </c>
      <c r="H59" s="322">
        <f>H55*H57</f>
        <v>1.5436579154650807</v>
      </c>
      <c r="I59" s="323">
        <f>I55*I57</f>
        <v>1.9627812184919289</v>
      </c>
      <c r="J59" s="369"/>
      <c r="K59" s="369"/>
      <c r="L59" s="369" t="s">
        <v>160</v>
      </c>
      <c r="M59" s="369"/>
    </row>
    <row r="60" spans="2:14" x14ac:dyDescent="0.25">
      <c r="B60" s="369"/>
      <c r="C60" s="369"/>
      <c r="D60" s="369"/>
      <c r="E60" s="369"/>
      <c r="F60" s="369"/>
      <c r="G60" s="369"/>
      <c r="H60" s="369"/>
      <c r="I60" s="369"/>
      <c r="J60" s="369"/>
      <c r="K60" s="369"/>
      <c r="M60" s="369"/>
    </row>
    <row r="61" spans="2:14" x14ac:dyDescent="0.25">
      <c r="B61" s="369"/>
      <c r="C61" s="369"/>
      <c r="D61" s="369"/>
      <c r="E61" s="369"/>
      <c r="F61" s="369"/>
      <c r="G61" s="369"/>
      <c r="H61" s="369"/>
      <c r="I61" s="369"/>
      <c r="J61" s="369"/>
      <c r="K61" s="369"/>
      <c r="L61" s="369"/>
      <c r="M61" s="369"/>
    </row>
    <row r="110" spans="3:9" ht="15.75" thickBot="1" x14ac:dyDescent="0.3"/>
    <row r="111" spans="3:9" ht="15.75" thickBot="1" x14ac:dyDescent="0.3">
      <c r="C111" s="161"/>
      <c r="D111" s="161"/>
      <c r="E111" s="221" t="s">
        <v>1</v>
      </c>
      <c r="F111" s="222" t="s">
        <v>2</v>
      </c>
      <c r="G111" s="222" t="s">
        <v>3</v>
      </c>
      <c r="H111" s="222" t="s">
        <v>4</v>
      </c>
      <c r="I111" s="223" t="s">
        <v>5</v>
      </c>
    </row>
    <row r="112" spans="3:9" ht="15.75" thickBot="1" x14ac:dyDescent="0.3">
      <c r="C112" s="161"/>
      <c r="D112" s="161"/>
      <c r="E112" s="161"/>
      <c r="F112" s="161"/>
      <c r="G112" s="161"/>
      <c r="H112" s="161"/>
      <c r="I112" s="161"/>
    </row>
    <row r="113" spans="3:9" x14ac:dyDescent="0.25">
      <c r="C113" s="158" t="s">
        <v>193</v>
      </c>
      <c r="D113" s="171"/>
      <c r="E113" s="186">
        <f>E8</f>
        <v>510605</v>
      </c>
      <c r="F113" s="186">
        <f t="shared" ref="F113:I113" si="25">F8</f>
        <v>511807.20000000007</v>
      </c>
      <c r="G113" s="186">
        <f t="shared" si="25"/>
        <v>622719.8559999998</v>
      </c>
      <c r="H113" s="186">
        <f t="shared" si="25"/>
        <v>956509.72200000007</v>
      </c>
      <c r="I113" s="186">
        <f t="shared" si="25"/>
        <v>1247579.1861280003</v>
      </c>
    </row>
    <row r="114" spans="3:9" x14ac:dyDescent="0.25">
      <c r="C114" s="160" t="s">
        <v>194</v>
      </c>
      <c r="D114" s="187"/>
      <c r="E114" s="188">
        <f>E6</f>
        <v>334250</v>
      </c>
      <c r="F114" s="188">
        <f t="shared" ref="F114:I114" si="26">F6</f>
        <v>496183</v>
      </c>
      <c r="G114" s="188">
        <f t="shared" si="26"/>
        <v>738121.9</v>
      </c>
      <c r="H114" s="188">
        <f t="shared" si="26"/>
        <v>714649.71519999998</v>
      </c>
      <c r="I114" s="188">
        <f t="shared" si="26"/>
        <v>897365.38688000001</v>
      </c>
    </row>
    <row r="115" spans="3:9" x14ac:dyDescent="0.25">
      <c r="C115" s="160" t="s">
        <v>91</v>
      </c>
      <c r="D115" s="187"/>
      <c r="E115" s="187">
        <f>E5</f>
        <v>842416.66666666674</v>
      </c>
      <c r="F115" s="187">
        <f t="shared" ref="F115:I115" si="27">F5</f>
        <v>1314516.3333333337</v>
      </c>
      <c r="G115" s="187">
        <f t="shared" si="27"/>
        <v>2043763.5666666673</v>
      </c>
      <c r="H115" s="187">
        <f t="shared" si="27"/>
        <v>2529466.3818666674</v>
      </c>
      <c r="I115" s="187">
        <f t="shared" si="27"/>
        <v>3601777.8868800011</v>
      </c>
    </row>
    <row r="116" spans="3:9" ht="15.75" thickBot="1" x14ac:dyDescent="0.3">
      <c r="C116" s="162" t="s">
        <v>113</v>
      </c>
      <c r="D116" s="194"/>
      <c r="E116" s="195">
        <f>E31</f>
        <v>-8074.6666666665888</v>
      </c>
      <c r="F116" s="195">
        <f t="shared" ref="F116:I116" si="28">F31</f>
        <v>199204.78730158752</v>
      </c>
      <c r="G116" s="195">
        <f t="shared" si="28"/>
        <v>450715.23885714344</v>
      </c>
      <c r="H116" s="195">
        <f t="shared" si="28"/>
        <v>566689.5821587306</v>
      </c>
      <c r="I116" s="195">
        <f t="shared" si="28"/>
        <v>961482.43147022265</v>
      </c>
    </row>
  </sheetData>
  <mergeCells count="13">
    <mergeCell ref="L35:M35"/>
    <mergeCell ref="K34:K35"/>
    <mergeCell ref="M13:N13"/>
    <mergeCell ref="M4:N4"/>
    <mergeCell ref="C24:D24"/>
    <mergeCell ref="C25:D25"/>
    <mergeCell ref="C26:D26"/>
    <mergeCell ref="C28:D28"/>
    <mergeCell ref="C29:D29"/>
    <mergeCell ref="C30:D30"/>
    <mergeCell ref="B33:D33"/>
    <mergeCell ref="C31:D31"/>
    <mergeCell ref="C27:D27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DDC95-FFC8-4D38-8A5C-F58CC1A2F582}">
  <sheetPr>
    <tabColor rgb="FFE53A05"/>
  </sheetPr>
  <dimension ref="B1:Y132"/>
  <sheetViews>
    <sheetView tabSelected="1" topLeftCell="A25" zoomScale="85" zoomScaleNormal="85" workbookViewId="0">
      <selection activeCell="M58" sqref="M58"/>
    </sheetView>
  </sheetViews>
  <sheetFormatPr baseColWidth="10" defaultRowHeight="15" x14ac:dyDescent="0.25"/>
  <cols>
    <col min="2" max="2" width="3.5703125" customWidth="1"/>
    <col min="3" max="3" width="44.85546875" bestFit="1" customWidth="1"/>
    <col min="4" max="4" width="10.7109375" bestFit="1" customWidth="1"/>
    <col min="5" max="6" width="11.7109375" bestFit="1" customWidth="1"/>
    <col min="7" max="9" width="12.140625" bestFit="1" customWidth="1"/>
    <col min="10" max="10" width="4.42578125" customWidth="1"/>
    <col min="11" max="11" width="3.85546875" customWidth="1"/>
    <col min="12" max="12" width="30.85546875" bestFit="1" customWidth="1"/>
    <col min="14" max="14" width="12" bestFit="1" customWidth="1"/>
  </cols>
  <sheetData>
    <row r="1" spans="2:22" ht="15.75" thickBot="1" x14ac:dyDescent="0.3"/>
    <row r="2" spans="2:22" ht="15.75" thickBot="1" x14ac:dyDescent="0.3">
      <c r="B2" s="208"/>
      <c r="C2" s="207" t="s">
        <v>163</v>
      </c>
      <c r="D2" s="294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209"/>
    </row>
    <row r="3" spans="2:22" ht="15.75" thickBot="1" x14ac:dyDescent="0.3">
      <c r="B3" s="210"/>
      <c r="C3" s="161"/>
      <c r="D3" s="161"/>
      <c r="E3" s="221" t="s">
        <v>1</v>
      </c>
      <c r="F3" s="222" t="s">
        <v>2</v>
      </c>
      <c r="G3" s="222" t="s">
        <v>3</v>
      </c>
      <c r="H3" s="222" t="s">
        <v>4</v>
      </c>
      <c r="I3" s="223" t="s">
        <v>5</v>
      </c>
      <c r="J3" s="161"/>
      <c r="K3" s="161"/>
      <c r="L3" s="211"/>
      <c r="M3" s="211"/>
      <c r="N3" s="211"/>
      <c r="O3" s="161"/>
      <c r="P3" s="212"/>
    </row>
    <row r="4" spans="2:22" ht="15.75" thickBot="1" x14ac:dyDescent="0.3">
      <c r="B4" s="210"/>
      <c r="C4" s="161"/>
      <c r="D4" s="161"/>
      <c r="E4" s="161"/>
      <c r="F4" s="161"/>
      <c r="G4" s="161"/>
      <c r="H4" s="161"/>
      <c r="I4" s="161"/>
      <c r="J4" s="161"/>
      <c r="K4" s="161"/>
      <c r="L4" s="211"/>
      <c r="M4" s="509" t="s">
        <v>90</v>
      </c>
      <c r="N4" s="510"/>
      <c r="O4" s="200">
        <f>1/3</f>
        <v>0.33333333333333331</v>
      </c>
      <c r="P4" s="212"/>
    </row>
    <row r="5" spans="2:22" x14ac:dyDescent="0.25">
      <c r="B5" s="210"/>
      <c r="C5" s="158" t="s">
        <v>91</v>
      </c>
      <c r="D5" s="171"/>
      <c r="E5" s="186">
        <f>'Profit &amp; losses'!J35</f>
        <v>508373.33333333337</v>
      </c>
      <c r="F5" s="186">
        <f>'Profit &amp; losses'!K35</f>
        <v>822652.00000000012</v>
      </c>
      <c r="G5" s="186">
        <f>'Profit &amp; losses'!L35</f>
        <v>1272506.7800000003</v>
      </c>
      <c r="H5" s="186">
        <f>'Profit &amp; losses'!M35</f>
        <v>1622201.3400000003</v>
      </c>
      <c r="I5" s="191">
        <f>'Profit &amp; losses'!N35</f>
        <v>2452583.9441760005</v>
      </c>
      <c r="J5" s="161"/>
      <c r="K5" s="161"/>
      <c r="L5" s="211"/>
      <c r="M5" s="211"/>
      <c r="N5" s="211"/>
      <c r="O5" s="161"/>
      <c r="P5" s="212"/>
    </row>
    <row r="6" spans="2:22" ht="15.75" thickBot="1" x14ac:dyDescent="0.3">
      <c r="B6" s="210"/>
      <c r="C6" s="160" t="s">
        <v>82</v>
      </c>
      <c r="D6" s="187"/>
      <c r="E6" s="188">
        <f>'Profit &amp; losses'!J43</f>
        <v>215040</v>
      </c>
      <c r="F6" s="188">
        <f>'Profit &amp; losses'!K43</f>
        <v>334402</v>
      </c>
      <c r="G6" s="188">
        <f>'Profit &amp; losses'!L43</f>
        <v>491381.78</v>
      </c>
      <c r="H6" s="188">
        <f>'Profit &amp; losses'!M43</f>
        <v>498901.33999999997</v>
      </c>
      <c r="I6" s="189">
        <f>'Profit &amp; losses'!N43</f>
        <v>663196.44417600008</v>
      </c>
      <c r="J6" s="161"/>
      <c r="K6" s="161"/>
      <c r="L6" s="213"/>
      <c r="M6" s="213"/>
      <c r="N6" s="211"/>
      <c r="O6" s="161"/>
      <c r="P6" s="212"/>
      <c r="V6" t="s">
        <v>172</v>
      </c>
    </row>
    <row r="7" spans="2:22" ht="15.75" thickBot="1" x14ac:dyDescent="0.3">
      <c r="B7" s="210"/>
      <c r="C7" s="160" t="s">
        <v>93</v>
      </c>
      <c r="D7" s="187"/>
      <c r="E7" s="187">
        <f>'fixed costs'!J23+'fixed costs'!J27</f>
        <v>1136.3333333333333</v>
      </c>
      <c r="F7" s="187">
        <f>'fixed costs'!K23+'fixed costs'!K27</f>
        <v>3850.6190476190477</v>
      </c>
      <c r="G7" s="187">
        <f>'fixed costs'!L23+'fixed costs'!L27</f>
        <v>3868.6190476190477</v>
      </c>
      <c r="H7" s="187">
        <f>'fixed costs'!M23+'fixed costs'!M27</f>
        <v>6105.2380952380954</v>
      </c>
      <c r="I7" s="190">
        <f>'fixed costs'!N23+'fixed costs'!N27</f>
        <v>7223.2380952380954</v>
      </c>
      <c r="J7" s="161"/>
      <c r="K7" s="161"/>
      <c r="L7" s="214"/>
      <c r="M7" s="205" t="s">
        <v>104</v>
      </c>
      <c r="N7" s="201" t="s">
        <v>92</v>
      </c>
      <c r="O7" s="202">
        <v>0.06</v>
      </c>
      <c r="P7" s="212"/>
    </row>
    <row r="8" spans="2:22" ht="15.75" thickBot="1" x14ac:dyDescent="0.3">
      <c r="B8" s="210"/>
      <c r="C8" s="162" t="s">
        <v>103</v>
      </c>
      <c r="D8" s="194"/>
      <c r="E8" s="195">
        <f>'Profit &amp; losses'!J73-E7</f>
        <v>510605</v>
      </c>
      <c r="F8" s="195">
        <f>'Profit &amp; losses'!K73-F7</f>
        <v>440710.2</v>
      </c>
      <c r="G8" s="195">
        <f>'Profit &amp; losses'!L73-G7</f>
        <v>487958.90399999992</v>
      </c>
      <c r="H8" s="195">
        <f>'Profit &amp; losses'!M73-H7</f>
        <v>776793.90208000003</v>
      </c>
      <c r="I8" s="196">
        <f>'Profit &amp; losses'!N73-I7</f>
        <v>923615.03469679994</v>
      </c>
      <c r="J8" s="161"/>
      <c r="K8" s="161"/>
      <c r="L8" s="214"/>
      <c r="M8" s="214"/>
      <c r="N8" s="203" t="s">
        <v>105</v>
      </c>
      <c r="O8" s="204">
        <v>5</v>
      </c>
      <c r="P8" s="212"/>
      <c r="V8" s="426" t="s">
        <v>183</v>
      </c>
    </row>
    <row r="9" spans="2:22" ht="15.75" thickBot="1" x14ac:dyDescent="0.3">
      <c r="B9" s="210"/>
      <c r="C9" s="161"/>
      <c r="D9" s="161"/>
      <c r="E9" s="161"/>
      <c r="F9" s="161"/>
      <c r="G9" s="161"/>
      <c r="H9" s="161"/>
      <c r="I9" s="161"/>
      <c r="J9" s="161"/>
      <c r="K9" s="161"/>
      <c r="L9" s="211"/>
      <c r="M9" s="211"/>
      <c r="N9" s="211"/>
      <c r="O9" s="161"/>
      <c r="P9" s="25"/>
      <c r="V9" s="426" t="s">
        <v>184</v>
      </c>
    </row>
    <row r="10" spans="2:22" ht="15.75" thickBot="1" x14ac:dyDescent="0.3">
      <c r="B10" s="210"/>
      <c r="C10" s="198" t="s">
        <v>102</v>
      </c>
      <c r="D10" s="199"/>
      <c r="E10" s="245">
        <f>'fixed costs'!J22+'fixed costs'!J26</f>
        <v>4925</v>
      </c>
      <c r="F10" s="245">
        <f>'fixed costs'!K22+'fixed costs'!K26</f>
        <v>20000</v>
      </c>
      <c r="G10" s="245">
        <f>'fixed costs'!L22+'fixed costs'!L26</f>
        <v>400</v>
      </c>
      <c r="H10" s="245">
        <f>'fixed costs'!M22+'fixed costs'!M26</f>
        <v>22350</v>
      </c>
      <c r="I10" s="246">
        <f>'fixed costs'!N22+'fixed costs'!N26</f>
        <v>4425</v>
      </c>
      <c r="J10" s="161"/>
      <c r="K10" s="161"/>
      <c r="L10" s="215"/>
      <c r="M10" s="215"/>
      <c r="N10" s="211"/>
      <c r="O10" s="161"/>
      <c r="P10" s="212"/>
      <c r="V10" s="426" t="s">
        <v>185</v>
      </c>
    </row>
    <row r="11" spans="2:22" ht="15.75" thickBot="1" x14ac:dyDescent="0.3">
      <c r="B11" s="210"/>
      <c r="C11" s="161"/>
      <c r="D11" s="161"/>
      <c r="E11" s="161"/>
      <c r="F11" s="161"/>
      <c r="G11" s="161"/>
      <c r="H11" s="161"/>
      <c r="I11" s="161"/>
      <c r="J11" s="161"/>
      <c r="K11" s="161"/>
      <c r="L11" s="215"/>
      <c r="M11" s="215"/>
      <c r="N11" s="211"/>
      <c r="O11" s="161"/>
      <c r="P11" s="212"/>
      <c r="V11" s="426" t="s">
        <v>186</v>
      </c>
    </row>
    <row r="12" spans="2:22" ht="15.75" thickBot="1" x14ac:dyDescent="0.3">
      <c r="B12" s="210"/>
      <c r="C12" s="177" t="s">
        <v>158</v>
      </c>
      <c r="D12" s="176"/>
      <c r="E12" s="192">
        <f>E13</f>
        <v>23</v>
      </c>
      <c r="F12" s="193">
        <f t="shared" ref="F12:I12" si="0">F13</f>
        <v>21</v>
      </c>
      <c r="G12" s="193">
        <f t="shared" si="0"/>
        <v>16</v>
      </c>
      <c r="H12" s="193">
        <f t="shared" si="0"/>
        <v>11</v>
      </c>
      <c r="I12" s="185">
        <f t="shared" si="0"/>
        <v>6</v>
      </c>
      <c r="J12" s="161"/>
      <c r="K12" s="161"/>
      <c r="L12" s="211"/>
      <c r="M12" s="211"/>
      <c r="N12" s="161"/>
      <c r="O12" s="24"/>
      <c r="P12" s="212"/>
      <c r="V12" s="426" t="s">
        <v>187</v>
      </c>
    </row>
    <row r="13" spans="2:22" ht="15.75" thickBot="1" x14ac:dyDescent="0.3">
      <c r="B13" s="210"/>
      <c r="C13" s="197" t="s">
        <v>98</v>
      </c>
      <c r="D13" s="178"/>
      <c r="E13" s="182">
        <f>E15+E16-E14</f>
        <v>23</v>
      </c>
      <c r="F13" s="183">
        <f t="shared" ref="F13:I13" si="1">F15+F16-F14</f>
        <v>21</v>
      </c>
      <c r="G13" s="183">
        <f t="shared" si="1"/>
        <v>16</v>
      </c>
      <c r="H13" s="183">
        <f t="shared" si="1"/>
        <v>11</v>
      </c>
      <c r="I13" s="184">
        <f t="shared" si="1"/>
        <v>6</v>
      </c>
      <c r="J13" s="161"/>
      <c r="K13" s="161"/>
      <c r="L13" s="211"/>
      <c r="M13" s="507" t="s">
        <v>159</v>
      </c>
      <c r="N13" s="508"/>
      <c r="O13" s="206">
        <v>365.25</v>
      </c>
      <c r="P13" s="212"/>
      <c r="V13" s="426" t="s">
        <v>188</v>
      </c>
    </row>
    <row r="14" spans="2:22" x14ac:dyDescent="0.25">
      <c r="B14" s="210"/>
      <c r="C14" s="179" t="s">
        <v>99</v>
      </c>
      <c r="D14" s="161"/>
      <c r="E14" s="164">
        <v>7</v>
      </c>
      <c r="F14" s="164">
        <v>7</v>
      </c>
      <c r="G14" s="164">
        <v>8</v>
      </c>
      <c r="H14" s="164">
        <v>9</v>
      </c>
      <c r="I14" s="165">
        <v>9</v>
      </c>
      <c r="J14" s="161"/>
      <c r="K14" s="161"/>
      <c r="L14" s="161"/>
      <c r="M14" s="161"/>
      <c r="N14" s="216"/>
      <c r="O14" s="161"/>
      <c r="P14" s="212"/>
      <c r="V14" s="426" t="s">
        <v>189</v>
      </c>
    </row>
    <row r="15" spans="2:22" x14ac:dyDescent="0.25">
      <c r="B15" s="210"/>
      <c r="C15" s="180" t="s">
        <v>100</v>
      </c>
      <c r="D15" s="161"/>
      <c r="E15" s="164">
        <v>15</v>
      </c>
      <c r="F15" s="164">
        <v>14</v>
      </c>
      <c r="G15" s="164">
        <v>12</v>
      </c>
      <c r="H15" s="164">
        <v>9</v>
      </c>
      <c r="I15" s="165">
        <v>5</v>
      </c>
      <c r="J15" s="161"/>
      <c r="K15" s="161"/>
      <c r="L15" s="161"/>
      <c r="M15" s="217"/>
      <c r="N15" s="161"/>
      <c r="O15" s="161"/>
      <c r="P15" s="212"/>
    </row>
    <row r="16" spans="2:22" ht="15.75" thickBot="1" x14ac:dyDescent="0.3">
      <c r="B16" s="210"/>
      <c r="C16" s="181" t="s">
        <v>101</v>
      </c>
      <c r="D16" s="163"/>
      <c r="E16" s="166">
        <v>15</v>
      </c>
      <c r="F16" s="166">
        <v>14</v>
      </c>
      <c r="G16" s="166">
        <v>12</v>
      </c>
      <c r="H16" s="166">
        <v>11</v>
      </c>
      <c r="I16" s="167">
        <v>10</v>
      </c>
      <c r="J16" s="161"/>
      <c r="K16" s="161"/>
      <c r="L16" s="161"/>
      <c r="M16" s="161"/>
      <c r="N16" s="161"/>
      <c r="O16" s="161"/>
      <c r="P16" s="212"/>
    </row>
    <row r="17" spans="2:25" x14ac:dyDescent="0.25">
      <c r="B17" s="210"/>
      <c r="C17" s="24"/>
      <c r="D17" s="24"/>
      <c r="E17" s="24"/>
      <c r="F17" s="24"/>
      <c r="G17" s="24"/>
      <c r="H17" s="24"/>
      <c r="I17" s="24"/>
      <c r="J17" s="161"/>
      <c r="K17" s="161"/>
      <c r="L17" s="161"/>
      <c r="M17" s="161"/>
      <c r="N17" s="161"/>
      <c r="O17" s="161"/>
      <c r="P17" s="212"/>
    </row>
    <row r="18" spans="2:25" ht="15.75" thickBot="1" x14ac:dyDescent="0.3">
      <c r="B18" s="218"/>
      <c r="C18" s="194"/>
      <c r="D18" s="194"/>
      <c r="E18" s="194"/>
      <c r="F18" s="194"/>
      <c r="G18" s="194"/>
      <c r="H18" s="194"/>
      <c r="I18" s="194"/>
      <c r="J18" s="163"/>
      <c r="K18" s="163"/>
      <c r="L18" s="163"/>
      <c r="M18" s="163"/>
      <c r="N18" s="194"/>
      <c r="O18" s="194"/>
      <c r="P18" s="219"/>
    </row>
    <row r="21" spans="2:25" ht="15.75" thickBot="1" x14ac:dyDescent="0.3">
      <c r="V21" s="519" t="s">
        <v>192</v>
      </c>
      <c r="W21" s="519"/>
      <c r="X21" s="519"/>
      <c r="Y21" s="519"/>
    </row>
    <row r="22" spans="2:25" ht="15.75" thickBot="1" x14ac:dyDescent="0.3">
      <c r="B22" s="224"/>
      <c r="C22" s="229" t="s">
        <v>106</v>
      </c>
      <c r="D22" s="230"/>
      <c r="E22" s="220"/>
      <c r="F22" s="220"/>
      <c r="G22" s="220"/>
      <c r="H22" s="220"/>
      <c r="I22" s="220"/>
      <c r="K22" s="243"/>
      <c r="L22" s="256" t="s">
        <v>116</v>
      </c>
      <c r="M22" s="244"/>
      <c r="N22" s="161"/>
      <c r="O22" s="161"/>
      <c r="P22" s="161"/>
      <c r="Q22" s="161"/>
      <c r="R22" s="161"/>
      <c r="V22" s="519"/>
      <c r="W22" s="519"/>
      <c r="X22" s="519"/>
      <c r="Y22" s="519"/>
    </row>
    <row r="23" spans="2:25" x14ac:dyDescent="0.25">
      <c r="B23" s="376"/>
      <c r="C23" s="377"/>
      <c r="D23" s="349"/>
      <c r="E23" s="325" t="s">
        <v>1</v>
      </c>
      <c r="F23" s="226" t="s">
        <v>2</v>
      </c>
      <c r="G23" s="226" t="s">
        <v>3</v>
      </c>
      <c r="H23" s="226" t="s">
        <v>4</v>
      </c>
      <c r="I23" s="227" t="s">
        <v>5</v>
      </c>
      <c r="K23" s="362"/>
      <c r="L23" s="239"/>
      <c r="M23" s="240"/>
      <c r="N23" s="225" t="s">
        <v>1</v>
      </c>
      <c r="O23" s="226" t="s">
        <v>2</v>
      </c>
      <c r="P23" s="226" t="s">
        <v>3</v>
      </c>
      <c r="Q23" s="226" t="s">
        <v>4</v>
      </c>
      <c r="R23" s="227" t="s">
        <v>5</v>
      </c>
    </row>
    <row r="24" spans="2:25" x14ac:dyDescent="0.25">
      <c r="B24" s="378"/>
      <c r="C24" s="511" t="str">
        <f>C5</f>
        <v>Turnover</v>
      </c>
      <c r="D24" s="512"/>
      <c r="E24" s="231">
        <f t="shared" ref="E24:I24" si="2">E5</f>
        <v>508373.33333333337</v>
      </c>
      <c r="F24" s="231">
        <f t="shared" si="2"/>
        <v>822652.00000000012</v>
      </c>
      <c r="G24" s="231">
        <f t="shared" si="2"/>
        <v>1272506.7800000003</v>
      </c>
      <c r="H24" s="231">
        <f t="shared" si="2"/>
        <v>1622201.3400000003</v>
      </c>
      <c r="I24" s="232">
        <f t="shared" si="2"/>
        <v>2452583.9441760005</v>
      </c>
      <c r="K24" s="233"/>
      <c r="L24" s="235" t="s">
        <v>117</v>
      </c>
      <c r="M24" s="235"/>
      <c r="N24" s="257">
        <f>E33</f>
        <v>-145605.33333333334</v>
      </c>
      <c r="O24" s="258">
        <f t="shared" ref="O24:R24" si="3">F33</f>
        <v>29126.12063492075</v>
      </c>
      <c r="P24" s="258">
        <f t="shared" si="3"/>
        <v>192864.9846349209</v>
      </c>
      <c r="Q24" s="258">
        <f t="shared" si="3"/>
        <v>226933.90654984151</v>
      </c>
      <c r="R24" s="247">
        <f t="shared" si="3"/>
        <v>572366.15147197503</v>
      </c>
    </row>
    <row r="25" spans="2:25" x14ac:dyDescent="0.25">
      <c r="B25" s="378" t="s">
        <v>107</v>
      </c>
      <c r="C25" s="511" t="s">
        <v>115</v>
      </c>
      <c r="D25" s="512"/>
      <c r="E25" s="231">
        <f>E8+E6</f>
        <v>725645</v>
      </c>
      <c r="F25" s="231">
        <f t="shared" ref="F25:I25" si="4">F8+F6</f>
        <v>775112.2</v>
      </c>
      <c r="G25" s="231">
        <f t="shared" si="4"/>
        <v>979340.68399999989</v>
      </c>
      <c r="H25" s="231">
        <f t="shared" si="4"/>
        <v>1275695.24208</v>
      </c>
      <c r="I25" s="232">
        <f t="shared" si="4"/>
        <v>1586811.4788728</v>
      </c>
      <c r="K25" s="234" t="s">
        <v>118</v>
      </c>
      <c r="L25" s="237" t="str">
        <f>C7</f>
        <v>Depreciation</v>
      </c>
      <c r="M25" s="237"/>
      <c r="N25" s="257">
        <f t="shared" ref="N25:R25" si="5">E7</f>
        <v>1136.3333333333333</v>
      </c>
      <c r="O25" s="259">
        <f t="shared" si="5"/>
        <v>3850.6190476190477</v>
      </c>
      <c r="P25" s="259">
        <f t="shared" si="5"/>
        <v>3868.6190476190477</v>
      </c>
      <c r="Q25" s="259">
        <f t="shared" si="5"/>
        <v>6105.2380952380954</v>
      </c>
      <c r="R25" s="260">
        <f t="shared" si="5"/>
        <v>7223.2380952380954</v>
      </c>
    </row>
    <row r="26" spans="2:25" x14ac:dyDescent="0.25">
      <c r="B26" s="378" t="s">
        <v>107</v>
      </c>
      <c r="C26" s="511" t="str">
        <f>C7</f>
        <v>Depreciation</v>
      </c>
      <c r="D26" s="512"/>
      <c r="E26" s="231">
        <f t="shared" ref="E26:I26" si="6">E7</f>
        <v>1136.3333333333333</v>
      </c>
      <c r="F26" s="231">
        <f t="shared" si="6"/>
        <v>3850.6190476190477</v>
      </c>
      <c r="G26" s="231">
        <f t="shared" si="6"/>
        <v>3868.6190476190477</v>
      </c>
      <c r="H26" s="231">
        <f t="shared" si="6"/>
        <v>6105.2380952380954</v>
      </c>
      <c r="I26" s="232">
        <f t="shared" si="6"/>
        <v>7223.2380952380954</v>
      </c>
      <c r="K26" s="375" t="s">
        <v>107</v>
      </c>
      <c r="L26" s="237" t="s">
        <v>119</v>
      </c>
      <c r="M26" s="237"/>
      <c r="N26" s="257">
        <f>E24*E12/$O$13</f>
        <v>32012.557608943651</v>
      </c>
      <c r="O26" s="259">
        <f>F24*F12/$O$13</f>
        <v>47298.266940451758</v>
      </c>
      <c r="P26" s="259">
        <f t="shared" ref="P26:R26" si="7">G24*G12/$O$13</f>
        <v>55742.939028062981</v>
      </c>
      <c r="Q26" s="259">
        <f t="shared" si="7"/>
        <v>48854.797371663248</v>
      </c>
      <c r="R26" s="247">
        <f t="shared" si="7"/>
        <v>40288.853292418898</v>
      </c>
    </row>
    <row r="27" spans="2:25" ht="15.75" thickBot="1" x14ac:dyDescent="0.3">
      <c r="B27" s="228" t="s">
        <v>108</v>
      </c>
      <c r="C27" s="517" t="s">
        <v>109</v>
      </c>
      <c r="D27" s="518"/>
      <c r="E27" s="279">
        <f>E24-E25-E26</f>
        <v>-218407.99999999997</v>
      </c>
      <c r="F27" s="279">
        <f>F24-F25-F26</f>
        <v>43689.180952381117</v>
      </c>
      <c r="G27" s="279">
        <f>G24-G25-G26</f>
        <v>289297.47695238132</v>
      </c>
      <c r="H27" s="279">
        <f>H24-H25-H26</f>
        <v>340400.85982476221</v>
      </c>
      <c r="I27" s="280">
        <f>I24-I25-I26</f>
        <v>858549.22720796242</v>
      </c>
      <c r="K27" s="248"/>
      <c r="L27" s="249" t="s">
        <v>132</v>
      </c>
      <c r="M27" s="249"/>
      <c r="N27" s="261">
        <f>N24+N25-N26</f>
        <v>-176481.55760894367</v>
      </c>
      <c r="O27" s="262">
        <f>O24+O25-O26</f>
        <v>-14321.527257911963</v>
      </c>
      <c r="P27" s="262">
        <f>P24+P25-P26</f>
        <v>140990.66465447698</v>
      </c>
      <c r="Q27" s="262">
        <f>Q24+Q25-Q26</f>
        <v>184184.34727341638</v>
      </c>
      <c r="R27" s="263">
        <f>R24+R25-R26</f>
        <v>539300.53627479426</v>
      </c>
    </row>
    <row r="28" spans="2:25" x14ac:dyDescent="0.25">
      <c r="B28" s="379" t="s">
        <v>107</v>
      </c>
      <c r="C28" s="513" t="s">
        <v>110</v>
      </c>
      <c r="D28" s="511"/>
      <c r="E28" s="231">
        <f>N38</f>
        <v>4500</v>
      </c>
      <c r="F28" s="231">
        <f t="shared" ref="F28:H28" si="8">O38</f>
        <v>3600</v>
      </c>
      <c r="G28" s="231">
        <f t="shared" si="8"/>
        <v>2700</v>
      </c>
      <c r="H28" s="231">
        <f t="shared" si="8"/>
        <v>1800</v>
      </c>
      <c r="I28" s="232">
        <f>R38</f>
        <v>900</v>
      </c>
      <c r="K28" s="331"/>
      <c r="L28" s="332"/>
      <c r="M28" s="332"/>
      <c r="N28" s="333"/>
      <c r="O28" s="334"/>
      <c r="P28" s="334"/>
      <c r="Q28" s="334"/>
      <c r="R28" s="335"/>
    </row>
    <row r="29" spans="2:25" x14ac:dyDescent="0.25">
      <c r="B29" s="379" t="s">
        <v>108</v>
      </c>
      <c r="C29" s="513" t="s">
        <v>111</v>
      </c>
      <c r="D29" s="511"/>
      <c r="E29" s="231">
        <f>E27-E28</f>
        <v>-222907.99999999997</v>
      </c>
      <c r="F29" s="231">
        <f>F27-F28</f>
        <v>40089.180952381117</v>
      </c>
      <c r="G29" s="231">
        <f>G27-G28</f>
        <v>286597.47695238132</v>
      </c>
      <c r="H29" s="231">
        <f>H27-H28</f>
        <v>338600.85982476221</v>
      </c>
      <c r="I29" s="232">
        <f>I27-I28</f>
        <v>857649.22720796242</v>
      </c>
      <c r="K29" s="250"/>
      <c r="L29" s="251" t="s">
        <v>120</v>
      </c>
      <c r="M29" s="251"/>
      <c r="N29" s="264">
        <f>E10</f>
        <v>4925</v>
      </c>
      <c r="O29" s="265">
        <f t="shared" ref="O29:R29" si="9">F10</f>
        <v>20000</v>
      </c>
      <c r="P29" s="265">
        <f t="shared" si="9"/>
        <v>400</v>
      </c>
      <c r="Q29" s="265">
        <f t="shared" si="9"/>
        <v>22350</v>
      </c>
      <c r="R29" s="266">
        <f t="shared" si="9"/>
        <v>4425</v>
      </c>
    </row>
    <row r="30" spans="2:25" x14ac:dyDescent="0.25">
      <c r="B30" s="379" t="s">
        <v>107</v>
      </c>
      <c r="C30" s="513" t="s">
        <v>112</v>
      </c>
      <c r="D30" s="511"/>
      <c r="E30" s="231">
        <f>IF(E29&lt;0,0,$O$4*E29)</f>
        <v>0</v>
      </c>
      <c r="F30" s="231">
        <f t="shared" ref="F30:I30" si="10">IF(F29&lt;0,0,$O$4*F29)</f>
        <v>13363.060317460371</v>
      </c>
      <c r="G30" s="231">
        <f t="shared" si="10"/>
        <v>95532.492317460434</v>
      </c>
      <c r="H30" s="231">
        <f t="shared" si="10"/>
        <v>112866.95327492073</v>
      </c>
      <c r="I30" s="232">
        <f t="shared" si="10"/>
        <v>285883.07573598746</v>
      </c>
      <c r="K30" s="336"/>
      <c r="L30" s="337"/>
      <c r="M30" s="337"/>
      <c r="N30" s="338"/>
      <c r="O30" s="339"/>
      <c r="P30" s="339"/>
      <c r="Q30" s="339"/>
      <c r="R30" s="340"/>
    </row>
    <row r="31" spans="2:25" x14ac:dyDescent="0.25">
      <c r="B31" s="228" t="s">
        <v>108</v>
      </c>
      <c r="C31" s="517" t="s">
        <v>113</v>
      </c>
      <c r="D31" s="518"/>
      <c r="E31" s="279">
        <f>E29-E30</f>
        <v>-222907.99999999997</v>
      </c>
      <c r="F31" s="279">
        <f>F29-F30</f>
        <v>26726.120634920746</v>
      </c>
      <c r="G31" s="279">
        <f>G29-G30</f>
        <v>191064.9846349209</v>
      </c>
      <c r="H31" s="279">
        <f>H29-H30</f>
        <v>225733.90654984149</v>
      </c>
      <c r="I31" s="280">
        <f>I29-I30</f>
        <v>571766.15147197503</v>
      </c>
      <c r="K31" s="250"/>
      <c r="L31" s="251" t="s">
        <v>121</v>
      </c>
      <c r="M31" s="251"/>
      <c r="N31" s="264">
        <f>N27-N29</f>
        <v>-181406.55760894367</v>
      </c>
      <c r="O31" s="267">
        <f>O27-O29</f>
        <v>-34321.527257911963</v>
      </c>
      <c r="P31" s="267">
        <f>P27-P29</f>
        <v>140590.66465447698</v>
      </c>
      <c r="Q31" s="267">
        <f>Q27-Q29</f>
        <v>161834.34727341638</v>
      </c>
      <c r="R31" s="268">
        <f>R27-R29</f>
        <v>534875.53627479426</v>
      </c>
    </row>
    <row r="32" spans="2:25" ht="15.75" thickBot="1" x14ac:dyDescent="0.3">
      <c r="B32" s="343"/>
      <c r="C32" s="344"/>
      <c r="D32" s="345"/>
      <c r="E32" s="346"/>
      <c r="F32" s="346"/>
      <c r="G32" s="346"/>
      <c r="H32" s="346"/>
      <c r="I32" s="347"/>
      <c r="K32" s="326"/>
      <c r="L32" s="341"/>
      <c r="M32" s="341"/>
      <c r="N32" s="372"/>
      <c r="O32" s="373"/>
      <c r="P32" s="373"/>
      <c r="Q32" s="373"/>
      <c r="R32" s="374"/>
    </row>
    <row r="33" spans="2:18" ht="15.75" thickBot="1" x14ac:dyDescent="0.3">
      <c r="B33" s="514" t="s">
        <v>114</v>
      </c>
      <c r="C33" s="515"/>
      <c r="D33" s="516"/>
      <c r="E33" s="281">
        <f>E27*(1-$O$4)</f>
        <v>-145605.33333333334</v>
      </c>
      <c r="F33" s="281">
        <f>F27*(1-$O$4)</f>
        <v>29126.12063492075</v>
      </c>
      <c r="G33" s="281">
        <f>G27*(1-$O$4)</f>
        <v>192864.9846349209</v>
      </c>
      <c r="H33" s="281">
        <f>H27*(1-$O$4)</f>
        <v>226933.90654984151</v>
      </c>
      <c r="I33" s="282">
        <f>I27*(1-$O$4)</f>
        <v>572366.15147197503</v>
      </c>
      <c r="K33" s="362"/>
      <c r="L33" s="239" t="s">
        <v>122</v>
      </c>
      <c r="M33" s="240"/>
      <c r="N33" s="269">
        <v>200000</v>
      </c>
      <c r="O33" s="270"/>
      <c r="P33" s="270">
        <v>0</v>
      </c>
      <c r="Q33" s="270">
        <v>0</v>
      </c>
      <c r="R33" s="271">
        <v>0</v>
      </c>
    </row>
    <row r="34" spans="2:18" x14ac:dyDescent="0.25">
      <c r="K34" s="505" t="s">
        <v>107</v>
      </c>
      <c r="L34" s="394" t="s">
        <v>123</v>
      </c>
      <c r="M34" s="395"/>
      <c r="N34" s="283">
        <f>IF(E31&lt;0,0,E31*N35)</f>
        <v>0</v>
      </c>
      <c r="O34" s="284">
        <f>IF(F31&lt;0,0,F31*O35)</f>
        <v>10690.448253968299</v>
      </c>
      <c r="P34" s="284">
        <f t="shared" ref="P34:R34" si="11">IF(G31&lt;0,0,G31*P35)</f>
        <v>95532.492317460448</v>
      </c>
      <c r="Q34" s="463">
        <f t="shared" si="11"/>
        <v>135440.34392990489</v>
      </c>
      <c r="R34" s="285">
        <f t="shared" si="11"/>
        <v>400236.30603038252</v>
      </c>
    </row>
    <row r="35" spans="2:18" ht="15.75" thickBot="1" x14ac:dyDescent="0.3">
      <c r="K35" s="506"/>
      <c r="L35" s="503" t="s">
        <v>133</v>
      </c>
      <c r="M35" s="504"/>
      <c r="N35" s="316">
        <v>0.4</v>
      </c>
      <c r="O35" s="317">
        <v>0.4</v>
      </c>
      <c r="P35" s="318">
        <v>0.5</v>
      </c>
      <c r="Q35" s="464">
        <v>0.6</v>
      </c>
      <c r="R35" s="401">
        <v>0.7</v>
      </c>
    </row>
    <row r="36" spans="2:18" ht="15.75" thickBot="1" x14ac:dyDescent="0.3">
      <c r="B36" s="287"/>
      <c r="C36" s="288" t="s">
        <v>134</v>
      </c>
      <c r="D36" s="295"/>
      <c r="E36" s="161"/>
      <c r="F36" s="161"/>
      <c r="G36" s="161"/>
      <c r="H36" s="161"/>
      <c r="I36" s="163"/>
      <c r="K36" s="375" t="s">
        <v>118</v>
      </c>
      <c r="L36" s="237" t="s">
        <v>124</v>
      </c>
      <c r="M36" s="241"/>
      <c r="N36" s="272">
        <v>75000</v>
      </c>
      <c r="O36" s="259"/>
      <c r="P36" s="259"/>
      <c r="Q36" s="259">
        <v>0</v>
      </c>
      <c r="R36" s="260">
        <v>0</v>
      </c>
    </row>
    <row r="37" spans="2:18" ht="15.75" thickBot="1" x14ac:dyDescent="0.3">
      <c r="B37" s="238"/>
      <c r="C37" s="242"/>
      <c r="D37" s="289" t="s">
        <v>135</v>
      </c>
      <c r="E37" s="291" t="s">
        <v>136</v>
      </c>
      <c r="F37" s="292" t="s">
        <v>137</v>
      </c>
      <c r="G37" s="292" t="s">
        <v>138</v>
      </c>
      <c r="H37" s="292" t="s">
        <v>139</v>
      </c>
      <c r="I37" s="293" t="s">
        <v>140</v>
      </c>
      <c r="K37" s="375" t="s">
        <v>107</v>
      </c>
      <c r="L37" s="237" t="s">
        <v>125</v>
      </c>
      <c r="M37" s="241"/>
      <c r="N37" s="257">
        <f>N36/$O$8</f>
        <v>15000</v>
      </c>
      <c r="O37" s="259">
        <f>N37+O36/$O$8</f>
        <v>15000</v>
      </c>
      <c r="P37" s="259">
        <f t="shared" ref="P37:R37" si="12">O37+P36/$O$8</f>
        <v>15000</v>
      </c>
      <c r="Q37" s="259">
        <f t="shared" si="12"/>
        <v>15000</v>
      </c>
      <c r="R37" s="260">
        <f t="shared" si="12"/>
        <v>15000</v>
      </c>
    </row>
    <row r="38" spans="2:18" x14ac:dyDescent="0.25">
      <c r="B38" s="400"/>
      <c r="C38" s="236" t="s">
        <v>157</v>
      </c>
      <c r="D38" s="454">
        <f>E10</f>
        <v>4925</v>
      </c>
      <c r="E38" s="430">
        <f>D38-E7</f>
        <v>3788.666666666667</v>
      </c>
      <c r="F38" s="430">
        <f>E38-F7+F10</f>
        <v>19938.047619047618</v>
      </c>
      <c r="G38" s="430">
        <f>F38-G7+G10</f>
        <v>16469.428571428572</v>
      </c>
      <c r="H38" s="430">
        <f t="shared" ref="H38:I38" si="13">G38-H7+H10</f>
        <v>32714.190476190477</v>
      </c>
      <c r="I38" s="191">
        <f t="shared" si="13"/>
        <v>29915.952380952382</v>
      </c>
      <c r="K38" s="375" t="s">
        <v>107</v>
      </c>
      <c r="L38" s="237" t="s">
        <v>126</v>
      </c>
      <c r="M38" s="241"/>
      <c r="N38" s="257">
        <f>$O$7*N36</f>
        <v>4500</v>
      </c>
      <c r="O38" s="259">
        <f>$O$7*E47</f>
        <v>3600</v>
      </c>
      <c r="P38" s="259">
        <f>$O$7*F47</f>
        <v>2700</v>
      </c>
      <c r="Q38" s="259">
        <f>$O$7*G47</f>
        <v>1800</v>
      </c>
      <c r="R38" s="260">
        <f>$O$7*H47</f>
        <v>900</v>
      </c>
    </row>
    <row r="39" spans="2:18" ht="15.75" thickBot="1" x14ac:dyDescent="0.3">
      <c r="B39" s="400"/>
      <c r="C39" s="364" t="s">
        <v>141</v>
      </c>
      <c r="D39" s="458">
        <f>D42-D38</f>
        <v>195075</v>
      </c>
      <c r="E39" s="459">
        <f>N44</f>
        <v>75593.442391056335</v>
      </c>
      <c r="F39" s="460">
        <f t="shared" ref="F39:I39" si="14">O44</f>
        <v>13181.466879176071</v>
      </c>
      <c r="G39" s="460">
        <f t="shared" si="14"/>
        <v>41439.639216192598</v>
      </c>
      <c r="H39" s="460">
        <f t="shared" si="14"/>
        <v>51633.642559704087</v>
      </c>
      <c r="I39" s="461">
        <f t="shared" si="14"/>
        <v>170672.87280411582</v>
      </c>
      <c r="K39" s="375" t="s">
        <v>118</v>
      </c>
      <c r="L39" s="237" t="s">
        <v>127</v>
      </c>
      <c r="M39" s="241"/>
      <c r="N39" s="257">
        <f>N38*$O$4</f>
        <v>1500</v>
      </c>
      <c r="O39" s="259">
        <f>O38*$O$4</f>
        <v>1200</v>
      </c>
      <c r="P39" s="259">
        <f>P38*$O$4</f>
        <v>900</v>
      </c>
      <c r="Q39" s="259">
        <f>Q38*$O$4</f>
        <v>600</v>
      </c>
      <c r="R39" s="260">
        <f>R38*$O$4</f>
        <v>300</v>
      </c>
    </row>
    <row r="40" spans="2:18" ht="15.75" thickBot="1" x14ac:dyDescent="0.3">
      <c r="B40" s="375"/>
      <c r="C40" s="241" t="s">
        <v>155</v>
      </c>
      <c r="D40" s="308">
        <f>D39</f>
        <v>195075</v>
      </c>
      <c r="E40" s="462">
        <f>E39+N26</f>
        <v>107605.99999999999</v>
      </c>
      <c r="F40" s="435">
        <f t="shared" ref="F40:I40" si="15">F39+O26</f>
        <v>60479.733819627829</v>
      </c>
      <c r="G40" s="435">
        <f t="shared" si="15"/>
        <v>97182.578244255579</v>
      </c>
      <c r="H40" s="435">
        <f t="shared" si="15"/>
        <v>100488.43993136733</v>
      </c>
      <c r="I40" s="436">
        <f t="shared" si="15"/>
        <v>210961.72609653472</v>
      </c>
      <c r="K40" s="250"/>
      <c r="L40" s="251" t="s">
        <v>128</v>
      </c>
      <c r="M40" s="252"/>
      <c r="N40" s="264">
        <f>N33-N34+N36-N37-N38+N39</f>
        <v>257000</v>
      </c>
      <c r="O40" s="267">
        <f>O33-O34+O36-O37-O38+O39</f>
        <v>-28090.448253968301</v>
      </c>
      <c r="P40" s="267">
        <f>P33-P34+P36-P37-P38+P39</f>
        <v>-112332.49231746045</v>
      </c>
      <c r="Q40" s="267">
        <f>Q33-Q34+Q36-Q37-Q38+Q39</f>
        <v>-151640.34392990489</v>
      </c>
      <c r="R40" s="268">
        <f>R33-R34+R36-R37-R38+R39</f>
        <v>-415836.30603038252</v>
      </c>
    </row>
    <row r="41" spans="2:18" ht="15.75" thickBot="1" x14ac:dyDescent="0.3">
      <c r="B41" s="326"/>
      <c r="C41" s="341"/>
      <c r="D41" s="298"/>
      <c r="E41" s="398"/>
      <c r="F41" s="329"/>
      <c r="G41" s="329"/>
      <c r="H41" s="329"/>
      <c r="I41" s="330"/>
      <c r="K41" s="326"/>
      <c r="L41" s="341"/>
      <c r="M41" s="342"/>
      <c r="N41" s="338"/>
      <c r="O41" s="339"/>
      <c r="P41" s="339"/>
      <c r="Q41" s="339"/>
      <c r="R41" s="340"/>
    </row>
    <row r="42" spans="2:18" ht="15.75" thickBot="1" x14ac:dyDescent="0.3">
      <c r="B42" s="290"/>
      <c r="C42" s="348" t="s">
        <v>142</v>
      </c>
      <c r="D42" s="299">
        <f>D48</f>
        <v>200000</v>
      </c>
      <c r="E42" s="397">
        <f>E38+E40</f>
        <v>111394.66666666666</v>
      </c>
      <c r="F42" s="301">
        <f t="shared" ref="F42:I42" si="16">F38+F40</f>
        <v>80417.781438675447</v>
      </c>
      <c r="G42" s="301">
        <f t="shared" si="16"/>
        <v>113652.00681568414</v>
      </c>
      <c r="H42" s="301">
        <f t="shared" si="16"/>
        <v>133202.63040755782</v>
      </c>
      <c r="I42" s="302">
        <f t="shared" si="16"/>
        <v>240877.67847748712</v>
      </c>
      <c r="K42" s="388"/>
      <c r="L42" s="389" t="s">
        <v>129</v>
      </c>
      <c r="M42" s="390"/>
      <c r="N42" s="257">
        <v>0</v>
      </c>
      <c r="O42" s="259">
        <f>N44</f>
        <v>75593.442391056335</v>
      </c>
      <c r="P42" s="259">
        <f>O44</f>
        <v>13181.466879176071</v>
      </c>
      <c r="Q42" s="259">
        <f>P44</f>
        <v>41439.639216192598</v>
      </c>
      <c r="R42" s="273">
        <f>Q44</f>
        <v>51633.642559704087</v>
      </c>
    </row>
    <row r="43" spans="2:18" ht="15.75" thickBot="1" x14ac:dyDescent="0.3">
      <c r="B43" s="326"/>
      <c r="C43" s="341"/>
      <c r="D43" s="298"/>
      <c r="E43" s="328"/>
      <c r="F43" s="329"/>
      <c r="G43" s="329"/>
      <c r="H43" s="329"/>
      <c r="I43" s="330"/>
      <c r="K43" s="391" t="s">
        <v>118</v>
      </c>
      <c r="L43" s="392" t="s">
        <v>130</v>
      </c>
      <c r="M43" s="393"/>
      <c r="N43" s="274">
        <f>N31+N40</f>
        <v>75593.442391056335</v>
      </c>
      <c r="O43" s="275">
        <f>O31+O40</f>
        <v>-62411.975511880264</v>
      </c>
      <c r="P43" s="275">
        <f>P31+P40</f>
        <v>28258.172337016527</v>
      </c>
      <c r="Q43" s="275">
        <f>Q31+Q40</f>
        <v>10194.003343511489</v>
      </c>
      <c r="R43" s="276">
        <f>R31+R40</f>
        <v>119039.23024441174</v>
      </c>
    </row>
    <row r="44" spans="2:18" ht="15.75" thickBot="1" x14ac:dyDescent="0.3">
      <c r="B44" s="362"/>
      <c r="C44" s="240" t="s">
        <v>143</v>
      </c>
      <c r="D44" s="296">
        <f t="shared" ref="D44:I44" si="17">D45+D46</f>
        <v>200000</v>
      </c>
      <c r="E44" s="297">
        <f t="shared" si="17"/>
        <v>-22907.999999999971</v>
      </c>
      <c r="F44" s="303">
        <f t="shared" si="17"/>
        <v>-6872.3276190475153</v>
      </c>
      <c r="G44" s="303">
        <f t="shared" si="17"/>
        <v>88660.164698412933</v>
      </c>
      <c r="H44" s="303">
        <f t="shared" si="17"/>
        <v>178953.72731834953</v>
      </c>
      <c r="I44" s="304">
        <f t="shared" si="17"/>
        <v>350483.57275994204</v>
      </c>
      <c r="K44" s="253"/>
      <c r="L44" s="254" t="s">
        <v>131</v>
      </c>
      <c r="M44" s="255"/>
      <c r="N44" s="286">
        <f>N42+N43</f>
        <v>75593.442391056335</v>
      </c>
      <c r="O44" s="277">
        <f>O42+O43</f>
        <v>13181.466879176071</v>
      </c>
      <c r="P44" s="277">
        <f>P42+P43</f>
        <v>41439.639216192598</v>
      </c>
      <c r="Q44" s="277">
        <f>Q42+Q43</f>
        <v>51633.642559704087</v>
      </c>
      <c r="R44" s="278">
        <f>R42+R43</f>
        <v>170672.87280411582</v>
      </c>
    </row>
    <row r="45" spans="2:18" x14ac:dyDescent="0.25">
      <c r="B45" s="375"/>
      <c r="C45" s="383" t="s">
        <v>147</v>
      </c>
      <c r="D45" s="305">
        <f>E45</f>
        <v>200000</v>
      </c>
      <c r="E45" s="306">
        <f>SUM($N33:N33)</f>
        <v>200000</v>
      </c>
      <c r="F45" s="306">
        <f>SUM($N33:O33)</f>
        <v>200000</v>
      </c>
      <c r="G45" s="306">
        <f>SUM($N33:P33)</f>
        <v>200000</v>
      </c>
      <c r="H45" s="306">
        <f>SUM($N33:Q33)</f>
        <v>200000</v>
      </c>
      <c r="I45" s="399">
        <f>SUM($N33:R33)</f>
        <v>200000</v>
      </c>
    </row>
    <row r="46" spans="2:18" ht="15.75" thickBot="1" x14ac:dyDescent="0.3">
      <c r="B46" s="363"/>
      <c r="C46" s="380" t="s">
        <v>144</v>
      </c>
      <c r="D46" s="307">
        <v>0</v>
      </c>
      <c r="E46" s="427">
        <f>D46+E31-N34</f>
        <v>-222907.99999999997</v>
      </c>
      <c r="F46" s="427">
        <f>E46+F31-O34</f>
        <v>-206872.32761904752</v>
      </c>
      <c r="G46" s="427">
        <f>F46+G31-P34</f>
        <v>-111339.83530158707</v>
      </c>
      <c r="H46" s="427">
        <f>G46+H31-Q34</f>
        <v>-21046.272681650473</v>
      </c>
      <c r="I46" s="428">
        <f>H46+I31-R34</f>
        <v>150483.57275994204</v>
      </c>
    </row>
    <row r="47" spans="2:18" ht="15.75" thickBot="1" x14ac:dyDescent="0.3">
      <c r="B47" s="381"/>
      <c r="C47" s="359" t="s">
        <v>145</v>
      </c>
      <c r="D47" s="308">
        <v>0</v>
      </c>
      <c r="E47" s="309">
        <f>N36+D47-N37</f>
        <v>60000</v>
      </c>
      <c r="F47" s="310">
        <f t="shared" ref="F47:I47" si="18">O36+E47-O37</f>
        <v>45000</v>
      </c>
      <c r="G47" s="310">
        <f t="shared" si="18"/>
        <v>30000</v>
      </c>
      <c r="H47" s="310">
        <f t="shared" si="18"/>
        <v>15000</v>
      </c>
      <c r="I47" s="311">
        <f t="shared" si="18"/>
        <v>0</v>
      </c>
    </row>
    <row r="48" spans="2:18" ht="15.75" thickBot="1" x14ac:dyDescent="0.3">
      <c r="B48" s="381"/>
      <c r="C48" s="382" t="s">
        <v>146</v>
      </c>
      <c r="D48" s="312">
        <f t="shared" ref="D48:I48" si="19">D44+D47</f>
        <v>200000</v>
      </c>
      <c r="E48" s="313">
        <f>E44+E47</f>
        <v>37092.000000000029</v>
      </c>
      <c r="F48" s="314">
        <f t="shared" si="19"/>
        <v>38127.672380952485</v>
      </c>
      <c r="G48" s="314">
        <f t="shared" si="19"/>
        <v>118660.16469841293</v>
      </c>
      <c r="H48" s="314">
        <f t="shared" si="19"/>
        <v>193953.72731834953</v>
      </c>
      <c r="I48" s="315">
        <f t="shared" si="19"/>
        <v>350483.57275994204</v>
      </c>
    </row>
    <row r="50" spans="2:13" ht="15.75" thickBot="1" x14ac:dyDescent="0.3"/>
    <row r="51" spans="2:13" ht="15.75" thickBot="1" x14ac:dyDescent="0.3">
      <c r="B51" s="366"/>
      <c r="C51" s="367" t="s">
        <v>148</v>
      </c>
      <c r="D51" s="368"/>
      <c r="E51" s="161"/>
      <c r="F51" s="161"/>
      <c r="G51" s="161"/>
      <c r="H51" s="161"/>
      <c r="I51" s="161"/>
      <c r="J51" s="369"/>
      <c r="K51" s="369"/>
      <c r="L51" s="369"/>
      <c r="M51" s="369"/>
    </row>
    <row r="52" spans="2:13" x14ac:dyDescent="0.25">
      <c r="B52" s="384"/>
      <c r="C52" s="350"/>
      <c r="D52" s="350"/>
      <c r="E52" s="361" t="s">
        <v>1</v>
      </c>
      <c r="F52" s="354" t="s">
        <v>2</v>
      </c>
      <c r="G52" s="354" t="s">
        <v>3</v>
      </c>
      <c r="H52" s="354" t="s">
        <v>4</v>
      </c>
      <c r="I52" s="360" t="s">
        <v>5</v>
      </c>
      <c r="J52" s="369"/>
      <c r="K52" s="369"/>
      <c r="L52" s="369"/>
      <c r="M52" s="369"/>
    </row>
    <row r="53" spans="2:13" x14ac:dyDescent="0.25">
      <c r="B53" s="385"/>
      <c r="C53" s="237" t="s">
        <v>149</v>
      </c>
      <c r="D53" s="351"/>
      <c r="E53" s="319">
        <f>E38/E5</f>
        <v>7.4525283256399498E-3</v>
      </c>
      <c r="F53" s="319">
        <f>F38/F5</f>
        <v>2.4236308450046453E-2</v>
      </c>
      <c r="G53" s="319">
        <f>G38/G5</f>
        <v>1.2942507521593377E-2</v>
      </c>
      <c r="H53" s="319">
        <f>H38/H5</f>
        <v>2.0166541396267414E-2</v>
      </c>
      <c r="I53" s="320">
        <f>I38/I5</f>
        <v>1.2197728217210239E-2</v>
      </c>
      <c r="J53" s="369"/>
      <c r="K53" s="369"/>
      <c r="L53" s="369"/>
      <c r="M53" s="369"/>
    </row>
    <row r="54" spans="2:13" ht="15.75" thickBot="1" x14ac:dyDescent="0.3">
      <c r="B54" s="386"/>
      <c r="C54" s="392" t="s">
        <v>151</v>
      </c>
      <c r="D54" s="431"/>
      <c r="E54" s="432">
        <f>D40/E5</f>
        <v>0.38372390369282416</v>
      </c>
      <c r="F54" s="432">
        <f t="shared" ref="F54:I54" si="20">E40/F5</f>
        <v>0.13080379066725659</v>
      </c>
      <c r="G54" s="432">
        <f t="shared" si="20"/>
        <v>4.7528024816989832E-2</v>
      </c>
      <c r="H54" s="432">
        <f t="shared" si="20"/>
        <v>5.9907839950530159E-2</v>
      </c>
      <c r="I54" s="433">
        <f t="shared" si="20"/>
        <v>4.0972477280539578E-2</v>
      </c>
      <c r="J54" s="369"/>
      <c r="K54" s="369"/>
      <c r="L54" s="369"/>
      <c r="M54" s="369"/>
    </row>
    <row r="55" spans="2:13" ht="15.75" thickBot="1" x14ac:dyDescent="0.3">
      <c r="B55" s="370"/>
      <c r="C55" s="324" t="s">
        <v>152</v>
      </c>
      <c r="D55" s="321"/>
      <c r="E55" s="357">
        <f>E5/E42</f>
        <v>4.5637134033945381</v>
      </c>
      <c r="F55" s="357">
        <f>F5/F42</f>
        <v>10.229727620965688</v>
      </c>
      <c r="G55" s="357">
        <f>G5/G42</f>
        <v>11.196518351529825</v>
      </c>
      <c r="H55" s="357">
        <f>H5/H42</f>
        <v>12.178448241123906</v>
      </c>
      <c r="I55" s="358">
        <f>I5/I42</f>
        <v>10.181864752591526</v>
      </c>
      <c r="J55" s="369"/>
      <c r="K55" s="369"/>
      <c r="L55" s="369"/>
      <c r="M55" s="369"/>
    </row>
    <row r="56" spans="2:13" ht="15.75" thickBot="1" x14ac:dyDescent="0.3">
      <c r="B56" s="371"/>
      <c r="C56" s="341"/>
      <c r="D56" s="327"/>
      <c r="E56" s="352"/>
      <c r="F56" s="352"/>
      <c r="G56" s="352"/>
      <c r="H56" s="352"/>
      <c r="I56" s="353"/>
      <c r="J56" s="369"/>
      <c r="K56" s="369"/>
      <c r="L56" s="369"/>
      <c r="M56" s="369"/>
    </row>
    <row r="57" spans="2:13" ht="15.75" thickBot="1" x14ac:dyDescent="0.3">
      <c r="B57" s="370"/>
      <c r="C57" s="324" t="s">
        <v>153</v>
      </c>
      <c r="D57" s="321"/>
      <c r="E57" s="322">
        <f>E27/E24</f>
        <v>-0.42962127570289543</v>
      </c>
      <c r="F57" s="322">
        <f>F27/F24</f>
        <v>5.3107730793070594E-2</v>
      </c>
      <c r="G57" s="322">
        <f>G27/G24</f>
        <v>0.22734454660617309</v>
      </c>
      <c r="H57" s="322">
        <f>H27/H24</f>
        <v>0.20983884763944416</v>
      </c>
      <c r="I57" s="323">
        <f>I27/I24</f>
        <v>0.35005905883331995</v>
      </c>
      <c r="J57" s="369"/>
      <c r="K57" s="369"/>
      <c r="L57" s="369"/>
      <c r="M57" s="369"/>
    </row>
    <row r="58" spans="2:13" ht="15.75" thickBot="1" x14ac:dyDescent="0.3">
      <c r="B58" s="371"/>
      <c r="C58" s="341"/>
      <c r="D58" s="327"/>
      <c r="E58" s="352"/>
      <c r="F58" s="352"/>
      <c r="G58" s="352"/>
      <c r="H58" s="352"/>
      <c r="I58" s="353"/>
      <c r="J58" s="369"/>
      <c r="K58" s="369"/>
      <c r="L58" s="369"/>
      <c r="M58" s="369"/>
    </row>
    <row r="59" spans="2:13" ht="15.75" thickBot="1" x14ac:dyDescent="0.3">
      <c r="B59" s="370"/>
      <c r="C59" s="324" t="s">
        <v>150</v>
      </c>
      <c r="D59" s="321"/>
      <c r="E59" s="322">
        <f>E55*E57</f>
        <v>-1.9606683743087641</v>
      </c>
      <c r="F59" s="322">
        <f>F55*F57</f>
        <v>0.5432776205806843</v>
      </c>
      <c r="G59" s="322">
        <f>G55*G57</f>
        <v>2.5454673881962444</v>
      </c>
      <c r="H59" s="322">
        <f>H55*H57</f>
        <v>2.5555115449540562</v>
      </c>
      <c r="I59" s="323">
        <f>I55*I57</f>
        <v>3.5642539924603436</v>
      </c>
      <c r="J59" s="369"/>
      <c r="K59" s="369"/>
      <c r="L59" s="369" t="s">
        <v>160</v>
      </c>
      <c r="M59" s="369"/>
    </row>
    <row r="60" spans="2:13" x14ac:dyDescent="0.25">
      <c r="B60" s="369"/>
      <c r="C60" s="369"/>
      <c r="D60" s="369"/>
      <c r="E60" s="369"/>
      <c r="F60" s="369"/>
      <c r="G60" s="369"/>
      <c r="H60" s="369"/>
      <c r="I60" s="369"/>
      <c r="J60" s="369"/>
      <c r="K60" s="369"/>
      <c r="M60" s="369"/>
    </row>
    <row r="61" spans="2:13" x14ac:dyDescent="0.25">
      <c r="B61" s="369"/>
      <c r="C61" s="369"/>
      <c r="D61" s="369"/>
      <c r="E61" s="369"/>
      <c r="F61" s="369"/>
      <c r="G61" s="369"/>
      <c r="H61" s="369"/>
      <c r="I61" s="369"/>
      <c r="J61" s="369"/>
      <c r="K61" s="369"/>
      <c r="L61" s="369"/>
      <c r="M61" s="369"/>
    </row>
    <row r="130" spans="12:12" x14ac:dyDescent="0.25">
      <c r="L130">
        <v>2.8969173879999999</v>
      </c>
    </row>
    <row r="131" spans="12:12" x14ac:dyDescent="0.25">
      <c r="L131">
        <f>L130-2</f>
        <v>0.89691738799999987</v>
      </c>
    </row>
    <row r="132" spans="12:12" x14ac:dyDescent="0.25">
      <c r="L132">
        <f>L131*12</f>
        <v>10.763008655999998</v>
      </c>
    </row>
  </sheetData>
  <mergeCells count="14">
    <mergeCell ref="L35:M35"/>
    <mergeCell ref="C28:D28"/>
    <mergeCell ref="C29:D29"/>
    <mergeCell ref="C30:D30"/>
    <mergeCell ref="C31:D31"/>
    <mergeCell ref="B33:D33"/>
    <mergeCell ref="K34:K35"/>
    <mergeCell ref="V21:Y22"/>
    <mergeCell ref="C27:D27"/>
    <mergeCell ref="M4:N4"/>
    <mergeCell ref="M13:N13"/>
    <mergeCell ref="C24:D24"/>
    <mergeCell ref="C25:D25"/>
    <mergeCell ref="C26:D2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fixed costs</vt:lpstr>
      <vt:lpstr>variable costs</vt:lpstr>
      <vt:lpstr>Profit &amp; losses</vt:lpstr>
      <vt:lpstr>High hypothesis</vt:lpstr>
      <vt:lpstr>Low Hypothesis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de la Salle</dc:creator>
  <cp:lastModifiedBy>Adrien de la Salle</cp:lastModifiedBy>
  <dcterms:created xsi:type="dcterms:W3CDTF">2018-06-20T15:40:39Z</dcterms:created>
  <dcterms:modified xsi:type="dcterms:W3CDTF">2019-05-24T18:53:02Z</dcterms:modified>
</cp:coreProperties>
</file>