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-120" yWindow="-120" windowWidth="29040" windowHeight="15840" activeTab="6"/>
  </bookViews>
  <sheets>
    <sheet name="General" sheetId="6" r:id="rId1"/>
    <sheet name="Energies" sheetId="13" r:id="rId2"/>
    <sheet name="Metrology" sheetId="12" r:id="rId3"/>
    <sheet name="Tooling and small machinery" sheetId="8" r:id="rId4"/>
    <sheet name="Manpower" sheetId="11" r:id="rId5"/>
    <sheet name="TIG Welder" sheetId="10" r:id="rId6"/>
    <sheet name="Material" sheetId="2" r:id="rId7"/>
    <sheet name="IT" sheetId="9" r:id="rId8"/>
    <sheet name="CNC mill" sheetId="3" r:id="rId9"/>
    <sheet name="Laser cutter" sheetId="5" r:id="rId10"/>
    <sheet name="CNC lathes" sheetId="4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3" i="2" l="1"/>
  <c r="Q21" i="2"/>
  <c r="Q18" i="2"/>
  <c r="Q19" i="2"/>
  <c r="Q20" i="2"/>
  <c r="Q17" i="2"/>
  <c r="Q16" i="2"/>
  <c r="E18" i="2"/>
  <c r="E17" i="2"/>
  <c r="E19" i="2"/>
  <c r="E20" i="2"/>
  <c r="E21" i="2"/>
  <c r="E22" i="2"/>
  <c r="E16" i="2"/>
  <c r="H5" i="6" l="1"/>
  <c r="C59" i="6"/>
  <c r="C58" i="6"/>
  <c r="H17" i="6"/>
  <c r="H16" i="6"/>
  <c r="H15" i="6"/>
  <c r="H11" i="6" l="1"/>
  <c r="H18" i="6" s="1"/>
  <c r="C11" i="6"/>
  <c r="E11" i="6" s="1"/>
  <c r="B5" i="13"/>
  <c r="B6" i="13" s="1"/>
  <c r="C22" i="6"/>
  <c r="E22" i="6" s="1"/>
  <c r="C21" i="6"/>
  <c r="E21" i="6" s="1"/>
  <c r="B30" i="11"/>
  <c r="D6" i="11"/>
  <c r="D7" i="11"/>
  <c r="D5" i="11"/>
  <c r="F8" i="11"/>
  <c r="G6" i="11"/>
  <c r="G7" i="11"/>
  <c r="G5" i="11"/>
  <c r="K23" i="11"/>
  <c r="K24" i="11"/>
  <c r="K22" i="11"/>
  <c r="H7" i="6"/>
  <c r="H8" i="6" s="1"/>
  <c r="G8" i="11" l="1"/>
  <c r="L33" i="6"/>
  <c r="N33" i="6" s="1"/>
  <c r="L34" i="6"/>
  <c r="N34" i="6" s="1"/>
  <c r="L32" i="6"/>
  <c r="N32" i="6" s="1"/>
  <c r="L31" i="6"/>
  <c r="N31" i="6" s="1"/>
  <c r="C9" i="6"/>
  <c r="E9" i="6" s="1"/>
  <c r="C6" i="6"/>
  <c r="E6" i="6" s="1"/>
  <c r="L35" i="6"/>
  <c r="N35" i="6" s="1"/>
  <c r="E29" i="3"/>
  <c r="F29" i="3" s="1"/>
  <c r="F31" i="3"/>
  <c r="F3" i="8"/>
  <c r="C35" i="6" s="1"/>
  <c r="E35" i="6" s="1"/>
  <c r="E37" i="6"/>
  <c r="E38" i="6"/>
  <c r="F7" i="8"/>
  <c r="C36" i="6" s="1"/>
  <c r="E36" i="6" s="1"/>
  <c r="F4" i="8"/>
  <c r="F2" i="8"/>
  <c r="L5" i="6"/>
  <c r="N5" i="6" s="1"/>
  <c r="L4" i="6"/>
  <c r="N4" i="6" s="1"/>
  <c r="E13" i="6"/>
  <c r="E14" i="6"/>
  <c r="E15" i="6"/>
  <c r="E17" i="6"/>
  <c r="E18" i="6"/>
  <c r="E29" i="6"/>
  <c r="E30" i="6"/>
  <c r="E31" i="6"/>
  <c r="E32" i="6"/>
  <c r="E33" i="6"/>
  <c r="E34" i="6"/>
  <c r="B22" i="3"/>
  <c r="L3" i="6" s="1"/>
  <c r="B2" i="3"/>
  <c r="L36" i="6" l="1"/>
  <c r="N36" i="6" s="1"/>
  <c r="L6" i="6"/>
  <c r="N6" i="6" s="1"/>
  <c r="N3" i="6"/>
  <c r="F30" i="3"/>
  <c r="E19" i="12"/>
  <c r="E3" i="12"/>
  <c r="E4" i="12"/>
  <c r="E6" i="12"/>
  <c r="E7" i="12"/>
  <c r="E8" i="12"/>
  <c r="E10" i="12"/>
  <c r="E11" i="12"/>
  <c r="E12" i="12"/>
  <c r="E14" i="12"/>
  <c r="E15" i="12"/>
  <c r="E16" i="12"/>
  <c r="E17" i="12"/>
  <c r="E18" i="12"/>
  <c r="E2" i="12"/>
  <c r="D21" i="12"/>
  <c r="E21" i="12" s="1"/>
  <c r="C8" i="6" s="1"/>
  <c r="E8" i="6" s="1"/>
  <c r="C28" i="6"/>
  <c r="E28" i="6" s="1"/>
  <c r="B33" i="9"/>
  <c r="D2" i="9"/>
  <c r="C27" i="6" s="1"/>
  <c r="E27" i="6" s="1"/>
  <c r="D6" i="9"/>
  <c r="D7" i="9"/>
  <c r="D11" i="9"/>
  <c r="D12" i="9"/>
  <c r="D13" i="9"/>
  <c r="D15" i="9"/>
  <c r="D16" i="9"/>
  <c r="D17" i="9"/>
  <c r="D18" i="9"/>
  <c r="D5" i="9"/>
  <c r="C24" i="6" s="1"/>
  <c r="E24" i="6" s="1"/>
  <c r="C26" i="6"/>
  <c r="E26" i="6" s="1"/>
  <c r="C53" i="6"/>
  <c r="C52" i="6"/>
  <c r="B15" i="11"/>
  <c r="B16" i="11" s="1"/>
  <c r="C48" i="6" s="1"/>
  <c r="C46" i="6"/>
  <c r="C19" i="6" s="1"/>
  <c r="E19" i="6" s="1"/>
  <c r="C44" i="6"/>
  <c r="C45" i="6"/>
  <c r="C43" i="6"/>
  <c r="H10" i="6" l="1"/>
  <c r="L7" i="6"/>
  <c r="C12" i="6"/>
  <c r="E12" i="6" s="1"/>
  <c r="J26" i="11"/>
  <c r="C20" i="6"/>
  <c r="E20" i="6" s="1"/>
  <c r="C51" i="6"/>
  <c r="F26" i="11"/>
  <c r="B28" i="11"/>
  <c r="H5" i="11" s="1"/>
  <c r="G26" i="11"/>
  <c r="B26" i="11"/>
  <c r="C26" i="11"/>
  <c r="E26" i="11"/>
  <c r="D26" i="11"/>
  <c r="C25" i="6"/>
  <c r="E25" i="6" s="1"/>
  <c r="C5" i="6"/>
  <c r="E5" i="6" s="1"/>
  <c r="C7" i="6"/>
  <c r="E7" i="6" s="1"/>
  <c r="C4" i="6"/>
  <c r="E4" i="6" s="1"/>
  <c r="C3" i="6"/>
  <c r="E3" i="6" s="1"/>
  <c r="C23" i="6"/>
  <c r="E23" i="6" s="1"/>
  <c r="H12" i="6" l="1"/>
  <c r="H14" i="6" s="1"/>
  <c r="H6" i="11"/>
  <c r="H7" i="11"/>
  <c r="I25" i="11"/>
  <c r="D25" i="11"/>
  <c r="F25" i="11"/>
  <c r="J25" i="11"/>
  <c r="G25" i="11"/>
  <c r="C25" i="11"/>
  <c r="B25" i="11"/>
  <c r="E25" i="11"/>
  <c r="H25" i="11"/>
  <c r="I26" i="11"/>
  <c r="H26" i="11"/>
  <c r="K26" i="11" s="1"/>
  <c r="J5" i="2"/>
  <c r="J6" i="2"/>
  <c r="J7" i="2"/>
  <c r="J8" i="2"/>
  <c r="J9" i="2"/>
  <c r="J10" i="2"/>
  <c r="J11" i="2"/>
  <c r="J4" i="2"/>
  <c r="Q5" i="2"/>
  <c r="Q6" i="2"/>
  <c r="Q7" i="2"/>
  <c r="Q8" i="2"/>
  <c r="Q9" i="2"/>
  <c r="Q10" i="2"/>
  <c r="Q4" i="2"/>
  <c r="E5" i="2"/>
  <c r="E6" i="2"/>
  <c r="E7" i="2"/>
  <c r="E8" i="2"/>
  <c r="E9" i="2"/>
  <c r="E10" i="2"/>
  <c r="E11" i="2"/>
  <c r="E4" i="2"/>
  <c r="E12" i="2" s="1"/>
  <c r="Q11" i="2" l="1"/>
  <c r="J12" i="2"/>
  <c r="K25" i="11"/>
</calcChain>
</file>

<file path=xl/sharedStrings.xml><?xml version="1.0" encoding="utf-8"?>
<sst xmlns="http://schemas.openxmlformats.org/spreadsheetml/2006/main" count="451" uniqueCount="362">
  <si>
    <t>Alu 7075 T6</t>
  </si>
  <si>
    <t>largeur (mm)</t>
  </si>
  <si>
    <t>longueur (mm)</t>
  </si>
  <si>
    <t>Prix volumique (€/mm^3)</t>
  </si>
  <si>
    <t>Epaisseur (mm)</t>
  </si>
  <si>
    <t>http://www.blockenstock.fr/epaisseur-32mm-et-plus-c102x2963106</t>
  </si>
  <si>
    <t>2017A</t>
  </si>
  <si>
    <t xml:space="preserve">Prix </t>
  </si>
  <si>
    <t>Moyenne</t>
  </si>
  <si>
    <t>Alu 7075</t>
  </si>
  <si>
    <t>Diamètre (mm)</t>
  </si>
  <si>
    <t xml:space="preserve">Longueur </t>
  </si>
  <si>
    <t>https://www.haascnc.com/shop/category/pricelist.html</t>
  </si>
  <si>
    <t>https://www.bosslaser.com/metal-cutting-product/</t>
  </si>
  <si>
    <t>Overheads cost</t>
  </si>
  <si>
    <t>Milling</t>
  </si>
  <si>
    <t>OP</t>
  </si>
  <si>
    <t>Description</t>
  </si>
  <si>
    <t>Cost</t>
  </si>
  <si>
    <t>Cutting Fluid</t>
  </si>
  <si>
    <t>Turning</t>
  </si>
  <si>
    <t>2 Axis CNC Lathe</t>
  </si>
  <si>
    <t>Turning tools</t>
  </si>
  <si>
    <t xml:space="preserve">Operator </t>
  </si>
  <si>
    <t>Electricity</t>
  </si>
  <si>
    <t>Laser Cutting</t>
  </si>
  <si>
    <t>2D Laser cut</t>
  </si>
  <si>
    <t>Maintenance</t>
  </si>
  <si>
    <t xml:space="preserve">Electricity </t>
  </si>
  <si>
    <t>Welding</t>
  </si>
  <si>
    <t>Direct Assembly Cost</t>
  </si>
  <si>
    <t xml:space="preserve">Description </t>
  </si>
  <si>
    <t>Tighten bolts</t>
  </si>
  <si>
    <t>Operator</t>
  </si>
  <si>
    <t>Interference assembly</t>
  </si>
  <si>
    <t>Hydraulic press</t>
  </si>
  <si>
    <t>Gages?</t>
  </si>
  <si>
    <t>Specific PPE</t>
  </si>
  <si>
    <t>Filler</t>
  </si>
  <si>
    <t>Category</t>
  </si>
  <si>
    <t>Metrology</t>
  </si>
  <si>
    <t>Inside micrometer</t>
  </si>
  <si>
    <t>Indicator</t>
  </si>
  <si>
    <t>Profile projector</t>
  </si>
  <si>
    <t>Real Estate</t>
  </si>
  <si>
    <t>Shop floor</t>
  </si>
  <si>
    <t>Water</t>
  </si>
  <si>
    <t>Compressed Air</t>
  </si>
  <si>
    <t>Maintenance of building</t>
  </si>
  <si>
    <t>Recycling/Waste Managment</t>
  </si>
  <si>
    <t>IT</t>
  </si>
  <si>
    <t>Computers</t>
  </si>
  <si>
    <t>Internet/phone access</t>
  </si>
  <si>
    <t xml:space="preserve">General </t>
  </si>
  <si>
    <t>Insurance</t>
  </si>
  <si>
    <t>Security/safety</t>
  </si>
  <si>
    <t>Office furniture</t>
  </si>
  <si>
    <t>Fume extractor</t>
  </si>
  <si>
    <t>Manufacturing</t>
  </si>
  <si>
    <t>Band Saw</t>
  </si>
  <si>
    <t>Torque Wrench</t>
  </si>
  <si>
    <t>Chip managment</t>
  </si>
  <si>
    <t>Scrap</t>
  </si>
  <si>
    <t>Workstations</t>
  </si>
  <si>
    <t>Worktable/office/furniture</t>
  </si>
  <si>
    <t>Material cost</t>
  </si>
  <si>
    <t>Fasteners</t>
  </si>
  <si>
    <t>Stock</t>
  </si>
  <si>
    <t>Storage??</t>
  </si>
  <si>
    <t>Sanding</t>
  </si>
  <si>
    <t>Sand Paper</t>
  </si>
  <si>
    <t>Cleaning</t>
  </si>
  <si>
    <t>General Data</t>
  </si>
  <si>
    <t>Value</t>
  </si>
  <si>
    <t>Manpower</t>
  </si>
  <si>
    <t>Technician</t>
  </si>
  <si>
    <t>Engineer</t>
  </si>
  <si>
    <t>Sales/administrative</t>
  </si>
  <si>
    <t xml:space="preserve">Time </t>
  </si>
  <si>
    <t>Hours/week</t>
  </si>
  <si>
    <t>Week/year</t>
  </si>
  <si>
    <t>Base OPE</t>
  </si>
  <si>
    <t>General</t>
  </si>
  <si>
    <t>Water rate</t>
  </si>
  <si>
    <t xml:space="preserve">VF-3SSYT </t>
  </si>
  <si>
    <t>12000 rpm</t>
  </si>
  <si>
    <t>https://www.haascnc.com/machines/vertical-mills/vf-series/models/medium/vf-3ssyt.html</t>
  </si>
  <si>
    <t>travel</t>
  </si>
  <si>
    <t>x</t>
  </si>
  <si>
    <t>y</t>
  </si>
  <si>
    <t>z</t>
  </si>
  <si>
    <t>22.4kW</t>
  </si>
  <si>
    <t>122Nm @ 2000rpm</t>
  </si>
  <si>
    <t>électrobroche</t>
  </si>
  <si>
    <t>table</t>
  </si>
  <si>
    <t>Max cutting speed</t>
  </si>
  <si>
    <t>21.2m/min</t>
  </si>
  <si>
    <t xml:space="preserve">poussée max sur axes </t>
  </si>
  <si>
    <t>13723N</t>
  </si>
  <si>
    <t>Outils</t>
  </si>
  <si>
    <t xml:space="preserve"> 30+1</t>
  </si>
  <si>
    <t xml:space="preserve">Lubrification </t>
  </si>
  <si>
    <t>208L</t>
  </si>
  <si>
    <t xml:space="preserve">Air </t>
  </si>
  <si>
    <t>113L/min @ 6.9 bar</t>
  </si>
  <si>
    <t>3phase 440 VAC 35-70A</t>
  </si>
  <si>
    <t>Coolant</t>
  </si>
  <si>
    <t>Rocol Ultra cut  250+</t>
  </si>
  <si>
    <t>Dilution</t>
  </si>
  <si>
    <t>Prix</t>
  </si>
  <si>
    <t>Qté (L)</t>
  </si>
  <si>
    <t>Produit pur pour réservoir fraiseuse</t>
  </si>
  <si>
    <t>https://www.otelo.fr/catalogue/huile-coupe/rocol-0003050209-skg.html</t>
  </si>
  <si>
    <t>https://www.otelo.fr/catalogue/fluides-huiles-coupe-solubles.html</t>
  </si>
  <si>
    <t>https://www.hoffmann-group.com/FR/fr/hof/Accessoires-machines/Etaux/Etau-haute-pression-CN---NC8/p/360405-125L</t>
  </si>
  <si>
    <t xml:space="preserve">Sheet metal bender </t>
  </si>
  <si>
    <t>https://www.baileigh.com/sheet-metal-brake-hb-4816e</t>
  </si>
  <si>
    <t>https://www.baileigh.com/semi-auto-band-saw-bs-330sa</t>
  </si>
  <si>
    <t>Milling vise</t>
  </si>
  <si>
    <t>Stock Band saw</t>
  </si>
  <si>
    <t>Baileigh</t>
  </si>
  <si>
    <t>150cmx300cm</t>
  </si>
  <si>
    <t>142000$</t>
  </si>
  <si>
    <t>122cmx122cm</t>
  </si>
  <si>
    <t>https://www.baileigh.com/water-jet-wj-4x4cnc#</t>
  </si>
  <si>
    <t>https://www.baileigh.com/cnc-laser-table-fl-510hd-500</t>
  </si>
  <si>
    <t>Water jet</t>
  </si>
  <si>
    <t>Laser cutter</t>
  </si>
  <si>
    <t>208995$</t>
  </si>
  <si>
    <t>1000W</t>
  </si>
  <si>
    <t>8mm max</t>
  </si>
  <si>
    <t>Selon doc, 1000W pour aluminium</t>
  </si>
  <si>
    <t>https://www.baileigh.com/hydraulic-shop-press-hsp-10h</t>
  </si>
  <si>
    <t>Manual Hydraulic press</t>
  </si>
  <si>
    <t>Fusion 360</t>
  </si>
  <si>
    <t>https://www.autodesk.fr/products/fusion-360/subscribe?plc=F360&amp;term=1-YEAR&amp;support=ADVANCED&amp;quantity=1</t>
  </si>
  <si>
    <t>Office 365 business</t>
  </si>
  <si>
    <t>https://www.promeca.com/composition-v5-servante-chrono-6m3-facom-chrono-v5pb-promotion</t>
  </si>
  <si>
    <t>Clé dynamo</t>
  </si>
  <si>
    <t>60-340</t>
  </si>
  <si>
    <t>https://www.promeca.com/cle-dynamo-a-declenchement-avec-cliquet-60-340-nm-facom-s-208a340</t>
  </si>
  <si>
    <t>40-200</t>
  </si>
  <si>
    <t>https://www.promeca.com/cle-dynamometrique-40-200-nm-facom-s-208-200pb-promotion</t>
  </si>
  <si>
    <t>https://www.promeca.com/cle-dynamometrique-10-50-nm-facom-j208-50pb-promotion</t>
  </si>
  <si>
    <t>10-50'</t>
  </si>
  <si>
    <t>Tig Welder AC/DC</t>
  </si>
  <si>
    <t>https://www.promeca.com/poste-a-souder-tig220-ac-dc-ta34-ref-eau-esab-caddy-tig2200iac-dc</t>
  </si>
  <si>
    <t>https://www.gestionnaire-paie.com/convention-collective-automobile-salaires-minima/</t>
  </si>
  <si>
    <t>https://travail-emploi.gouv.fr/emploi/accompagnement-des-tpe-pme/tpe-pme/article/le-simulateur-du-cout-d-embauche</t>
  </si>
  <si>
    <t>https://www.promeca.com/cagoule-speedglas-100v-noir-751120</t>
  </si>
  <si>
    <t>Welding helmet</t>
  </si>
  <si>
    <t>https://www.promeca.com/soudage-et-accessoires/equipements-du-soudeur/vetements-specifiques-du-soudeur</t>
  </si>
  <si>
    <t>Clothes/gloves</t>
  </si>
  <si>
    <t>https://www.promeca.com/soudage-et-accessoires/consommables-de-soudage/metaux-d-apport-soudage-tig</t>
  </si>
  <si>
    <t>Metal rod</t>
  </si>
  <si>
    <t>Tool Holder</t>
  </si>
  <si>
    <t>https://www.hoffmann-group.com/FR/fr/hof/Accessoires-machines/Porte-outils/c/30</t>
  </si>
  <si>
    <t>80€ HT env</t>
  </si>
  <si>
    <t>https://shop.mitutoyo.fr/web/mitutoyo/fr_FR/mitutoyo/1305010043843/Comparateur%20%C3%A0%20palpeur%20orientable%2C%20mod%C3%A8le%20horizontal/$catalogue/mitutoyoData/PR/513-401-10E/index.xhtml</t>
  </si>
  <si>
    <t>0.001mm</t>
  </si>
  <si>
    <t>https://shop.mitutoyo.fr/web/mitutoyo/fr_FR/mitutoyo/1305198758390/Comparateur%20%C3%A0%20palpeur%20orientable%2C%20mod%C3%A8le%20horizontal/$catalogue/mitutoyoData/PR/513-908/index.xhtml</t>
  </si>
  <si>
    <t>Base + movable head indicator</t>
  </si>
  <si>
    <t>https://shop.mitutoyo.fr/web/mitutoyo/fr_FR/mitutoyo/1300888710750/Comparateur%20m%C3%A9canique%2C%20dos%20plat/$catalogue/mitutoyoData/PR/2044SB/index.xhtml</t>
  </si>
  <si>
    <t xml:space="preserve">moveable head Indicator </t>
  </si>
  <si>
    <t>https://shop.mitutoyo.fr/web/mitutoyo/fr_FR/mitutoyo/01.05.0331/Base%20pneumatique/index.xhtml</t>
  </si>
  <si>
    <t xml:space="preserve">pneumatic base </t>
  </si>
  <si>
    <t>https://shop.mitutoyo.fr/web/mitutoyo/fr_FR/mitutoyo/01.05.03/Support%20articul%C3%A9%20magn%C3%A9ti/$catalogue/mitutoyoData/PR/7019B/index.xhtml</t>
  </si>
  <si>
    <t>https://shop.mitutoyo.fr/web/mitutoyo/fr_FR/mitutoyo/01.05.033/Base%20magn%C3%A9tique%20avec%20r%C3%A9glage%20fin/$catalogue/mitutoyoData/PR/7011SN/index.xhtml</t>
  </si>
  <si>
    <t>Magnetic stand basic</t>
  </si>
  <si>
    <t>Magnetic stand multiple joint</t>
  </si>
  <si>
    <t>V Block</t>
  </si>
  <si>
    <t>https://shop.mitutoyo.fr/web/mitutoyo/fr_FR/mitutoyo/01.05.077/Paire%20de%20v%C3%A9s/$catalogue/mitutoyoData/PR/911-111/index.xhtml</t>
  </si>
  <si>
    <t>https://shop.mitutoyo.fr/web/mitutoyo/fr_FR/mitutoyo/01.07.01/Jeu%20de%20cales%20-%20m%C3%A9trique%20-%20Cert.%20Insp.%20-%20ISO/$catalogue/mitutoyoData/PR/516-942-10/index.xhtml</t>
  </si>
  <si>
    <t>Granit surface plate</t>
  </si>
  <si>
    <t>Gauge block set</t>
  </si>
  <si>
    <t>External Micrometer</t>
  </si>
  <si>
    <t>0-100 0.001</t>
  </si>
  <si>
    <t>https://shop.mitutoyo.fr/web/mitutoyo/fr_FR/mitutoyo/01.02.01.0/Microm%C3%A8tre%20DIGIMATIC%20IP65%20en%20jeu%200-100%20mm/$catalogue/mitutoyoData/PR/293-963/index.xhtml</t>
  </si>
  <si>
    <t>https://shop.mitutoyo.fr/web/mitutoyo/fr_FR/mitutoyo/01.02.01.032/Microm.%20d%27ext%C3%A9rieur%20col%20de%20cygne%20en%20jeu/$catalogue/mitutoyoData/PR/103-915-10/index.xhtml</t>
  </si>
  <si>
    <t>150-300 0.01</t>
  </si>
  <si>
    <t>https://shop.mitutoyo.fr/web/mitutoyo/fr_FR/mitutoyo/01.02.01.031/Microm.%20d%27ext%C3%A9rieur%20col%20de%20cygne/$catalogue/mitutoyoData/PR/103-141-10/index.xhtml</t>
  </si>
  <si>
    <t>100-125 0.01</t>
  </si>
  <si>
    <t>https://shop.mitutoyo.fr/web/mitutoyo/fr_FR/mitutoyo/01.02.01.031/Microm.%20d%27ext%C3%A9rieur%20col%20de%20cygne/$catalogue/mitutoyoData/PR/103-142-10/index.xhtml</t>
  </si>
  <si>
    <t>125-150 0.01</t>
  </si>
  <si>
    <t>https://shop.mitutoyo.fr/web/mitutoyo/fr_FR/mitutoyo/1355993040307/Microm%C3%A8tre%20d%27int%C3%A9rieur%20Holtest%20en%20jeu%2020-50%20mm/$catalogue/mitutoyoData/PR/368-992/index.xhtml</t>
  </si>
  <si>
    <t>20-50 0.005</t>
  </si>
  <si>
    <t xml:space="preserve">Electronic depth gauge </t>
  </si>
  <si>
    <t>http://www.starrett.com/metrology/product-detail/3753A-8~200</t>
  </si>
  <si>
    <t>0-200 0.01</t>
  </si>
  <si>
    <t>Administrative/sales people</t>
  </si>
  <si>
    <t>Automotive wage table</t>
  </si>
  <si>
    <t>Wage cost calculation for salary</t>
  </si>
  <si>
    <t>Operator - Grade 4</t>
  </si>
  <si>
    <t>Brut/month</t>
  </si>
  <si>
    <t>Yearly for the company</t>
  </si>
  <si>
    <t>https://www.juristique.org/social/duree-du-travail</t>
  </si>
  <si>
    <t>Working time</t>
  </si>
  <si>
    <t>Days/year</t>
  </si>
  <si>
    <t>Days of weekend</t>
  </si>
  <si>
    <t>Bank holliday</t>
  </si>
  <si>
    <t>Payed holliday (5 week)</t>
  </si>
  <si>
    <t>Theoretical worked days</t>
  </si>
  <si>
    <t>Theoretical worked week</t>
  </si>
  <si>
    <t>https://www.kelwatt.fr/guide/prix-electricite-entreprise</t>
  </si>
  <si>
    <t>Price /kWh HT</t>
  </si>
  <si>
    <t xml:space="preserve">Electricity Subscription </t>
  </si>
  <si>
    <t>Electricity Rate /kWh</t>
  </si>
  <si>
    <t>Printer A3/A4/… Scan/Fax/Copy</t>
  </si>
  <si>
    <t>https://store.hp.com/FranceStore/Merch/Product.aspx?id=G5J38A&amp;opt=A80&amp;sel=PRN</t>
  </si>
  <si>
    <t>https://store.hp.com/FranceStore/Merch/Product.aspx?id=6QN64ET&amp;opt=ABF&amp;sel=DTP</t>
  </si>
  <si>
    <t>CAD PC</t>
  </si>
  <si>
    <t>https://store.hp.com/FranceStore/Merch/Product.aspx?id=3ML21AT&amp;opt=ABB&amp;mastersku=3ML21AT&amp;masteropt=ABB&amp;sel=MTO&amp;</t>
  </si>
  <si>
    <t>Screen 24"</t>
  </si>
  <si>
    <t xml:space="preserve">Black cartridge 2000 pages </t>
  </si>
  <si>
    <t>https://store.hp.com/FranceStore/Merch/Product.aspx?id=L0S70AE&amp;opt=&amp;mastersku=L0S70AE&amp;masteropt=&amp;sel=SUP&amp;</t>
  </si>
  <si>
    <t>https://store.hp.com/FranceStore/Merch/Product.aspx?id=3HZ52AE&amp;opt=&amp;mastersku=3HZ52AE&amp;masteropt=&amp;sel=SUP&amp;</t>
  </si>
  <si>
    <t xml:space="preserve">4 pack cartridge 1600 pages </t>
  </si>
  <si>
    <t>Laptop</t>
  </si>
  <si>
    <t>https://store.hp.com/FranceStore/Merch/Product.aspx?id=2ZC41ET&amp;opt=ABF&amp;mastersku=2ZC41ET&amp;masteropt=ABF&amp;sel=NTB&amp;</t>
  </si>
  <si>
    <t>https://store.hp.com/FranceStore/Merch/Product.aspx?id=1KM17AA&amp;opt=&amp;mastersku=1KM17AA&amp;masteropt=&amp;sel=DEF&amp;</t>
  </si>
  <si>
    <t>Laptop backpack</t>
  </si>
  <si>
    <t xml:space="preserve">Keyboard and mouse </t>
  </si>
  <si>
    <t>https://store.hp.com/FranceStore/Merch/Product.aspx?id=T6T83AA&amp;opt=ABF&amp;mastersku=T6T83AA&amp;masteropt=ABF&amp;sel=ACC&amp;</t>
  </si>
  <si>
    <t xml:space="preserve">Docking station </t>
  </si>
  <si>
    <t>https://store.hp.com/FranceStore/Merch/Product.aspx?id=1MK33AA&amp;opt=ABB&amp;mastersku=1MK33AA&amp;masteropt=ABB&amp;sel=ACC&amp;</t>
  </si>
  <si>
    <t xml:space="preserve">Office computer </t>
  </si>
  <si>
    <t>https://store.hp.com/FranceStore/Merch/Product.aspx?id=4CZ83ET&amp;opt=ABF&amp;mastersku=4CZ83ET&amp;masteropt=ABF&amp;sel=DTP&amp;</t>
  </si>
  <si>
    <t>https://products.office.com/fr-fr/compare-all-microsoft-office-products?tab=2</t>
  </si>
  <si>
    <t>Adjustable height Welding table + clamping devices , squares</t>
  </si>
  <si>
    <t>https://www.siegmund.com/fr/1-Tables-de-soudure/98-Professional-Extreme/2400x1200x200/Panorama,101.php</t>
  </si>
  <si>
    <t>HT</t>
  </si>
  <si>
    <t>TTC</t>
  </si>
  <si>
    <t>Comment on price</t>
  </si>
  <si>
    <t>/Year/user</t>
  </si>
  <si>
    <t>/month/user</t>
  </si>
  <si>
    <t>Taux Euro --&gt; Dollar</t>
  </si>
  <si>
    <t xml:space="preserve">TVA </t>
  </si>
  <si>
    <t>Office Pack (3 license)</t>
  </si>
  <si>
    <t>Dedicated Software (Fusion 360) - 2 license</t>
  </si>
  <si>
    <t>A4 *2500</t>
  </si>
  <si>
    <t>https://www.officedepot.fr/a/pb/Papier-Office-Depot-A4-80-g-m2-Blanc-Business-2500-Feuilles/pr=&amp;id=1456200/</t>
  </si>
  <si>
    <t>A3*2500</t>
  </si>
  <si>
    <t>https://www.officedepot.fr/a/pb/Papier-Office-Depot-A3-80-g-m2-Blanc-Everyday-2500-Feuilles/pr=&amp;id=3057842/</t>
  </si>
  <si>
    <t>Telephone/mobile phone</t>
  </si>
  <si>
    <t>/month</t>
  </si>
  <si>
    <t>Internet/phone access 2 standard line, one mobile</t>
  </si>
  <si>
    <t>Orange Document</t>
  </si>
  <si>
    <t>Spec</t>
  </si>
  <si>
    <t xml:space="preserve">Price dollar </t>
  </si>
  <si>
    <t>Price TTC</t>
  </si>
  <si>
    <t>Price HT</t>
  </si>
  <si>
    <t>12-20 0.005</t>
  </si>
  <si>
    <t>https://shop.mitutoyo.fr/web/mitutoyo/fr_FR/mitutoyo/1355993040307/Microm%C3%A8tre%20d%27int%C3%A9rieur%20Holtest%20en%20jeu/$catalogue/mitutoyoData/PR/368-991/index.xhtml</t>
  </si>
  <si>
    <t>Indicators</t>
  </si>
  <si>
    <t>Inside micrometers</t>
  </si>
  <si>
    <t>Micrometres</t>
  </si>
  <si>
    <t xml:space="preserve">Reference Block </t>
  </si>
  <si>
    <t>Depth gauges</t>
  </si>
  <si>
    <t>https://www.master-outillage.com/facom/13765-servante-rouge-7-tiroirs-composition-d-outillage-v8-facom-jetv8m3-3148519073409.html</t>
  </si>
  <si>
    <t>Qté</t>
  </si>
  <si>
    <t>Source</t>
  </si>
  <si>
    <t>Quote</t>
  </si>
  <si>
    <t>Amortissement (année)</t>
  </si>
  <si>
    <t>Printer</t>
  </si>
  <si>
    <t>Printer consumable (4000 A4pages B&amp;W, 1600 A4pages Colors)</t>
  </si>
  <si>
    <t>Cost/year</t>
  </si>
  <si>
    <t>3 Axis CNC Mill Direct</t>
  </si>
  <si>
    <t>Manufacturing cost</t>
  </si>
  <si>
    <t>Milling tool holders</t>
  </si>
  <si>
    <t>Fixtures</t>
  </si>
  <si>
    <t>Variable</t>
  </si>
  <si>
    <t>No</t>
  </si>
  <si>
    <t>Yes</t>
  </si>
  <si>
    <t>Chip management</t>
  </si>
  <si>
    <t>Cutting fluid</t>
  </si>
  <si>
    <t>Cutting tools</t>
  </si>
  <si>
    <t xml:space="preserve">Way of costing </t>
  </si>
  <si>
    <t>Electricity/time</t>
  </si>
  <si>
    <t>Volume</t>
  </si>
  <si>
    <t>Volume/time</t>
  </si>
  <si>
    <t>5 % of initial cost /year</t>
  </si>
  <si>
    <t>Price $ HT</t>
  </si>
  <si>
    <t>Price $ TTC</t>
  </si>
  <si>
    <t>Spec info</t>
  </si>
  <si>
    <t xml:space="preserve">Roller cabinet + standard tooling </t>
  </si>
  <si>
    <t>Tooling kit V3</t>
  </si>
  <si>
    <t>Tooling kit V5</t>
  </si>
  <si>
    <t>Roller Cabinet (2 V3 and 2 V5)</t>
  </si>
  <si>
    <t>OPE</t>
  </si>
  <si>
    <t>OPM per job (Cleaning in min)</t>
  </si>
  <si>
    <t>Explanation</t>
  </si>
  <si>
    <t>Technician - Grade 25</t>
  </si>
  <si>
    <t>Engineer - Grade IV A</t>
  </si>
  <si>
    <t>Specific workstation and tooling</t>
  </si>
  <si>
    <t>weight/length</t>
  </si>
  <si>
    <t>Gaz</t>
  </si>
  <si>
    <t>https://www.orexad.com/fr/projecteur-de-profil-pj-h30/p-G1213001821</t>
  </si>
  <si>
    <t>Profil projector</t>
  </si>
  <si>
    <t>510x342 mm</t>
  </si>
  <si>
    <t>Measruement column</t>
  </si>
  <si>
    <t>https://www.orexad.com/fr/colonne-de-mesure-817clm-cap-600-770-pupitre-2d/p-G1197000019</t>
  </si>
  <si>
    <t xml:space="preserve">Measurement column </t>
  </si>
  <si>
    <t>600mm</t>
  </si>
  <si>
    <t>TIG Welder &amp; Chiller</t>
  </si>
  <si>
    <t>Tig Chiller</t>
  </si>
  <si>
    <t>https://www.orexad.com/fr/refroidisseurs-cool-arc/p-G1189001474</t>
  </si>
  <si>
    <t>https://www.orexad.com/fr/mobiflex-200-m-systeme-d-aspiration-des-fumees/p-G1189001541</t>
  </si>
  <si>
    <t>3% of initial cost/year</t>
  </si>
  <si>
    <t>Welding Helmet</t>
  </si>
  <si>
    <t>Number of machine/workstation</t>
  </si>
  <si>
    <t>Total time of production of machin or station per year (in hours)</t>
  </si>
  <si>
    <t>Welding/assy , CNC mill, CNC lathe, Laser Cutting, 2 Assembly</t>
  </si>
  <si>
    <t>Cleaning furniture</t>
  </si>
  <si>
    <t>Removal rate (min/mm^3)</t>
  </si>
  <si>
    <t>Programation time / mm^3 (40% of machining time)</t>
  </si>
  <si>
    <t>Setup time (fixture and tools) (min)</t>
  </si>
  <si>
    <t>Yearly fixed cost</t>
  </si>
  <si>
    <t>Fixed cost / hour</t>
  </si>
  <si>
    <t>People efficiency</t>
  </si>
  <si>
    <t>Sum</t>
  </si>
  <si>
    <t>CNC mill</t>
  </si>
  <si>
    <t>CNC lathe</t>
  </si>
  <si>
    <t>Assembly 1</t>
  </si>
  <si>
    <t>Assembly 2</t>
  </si>
  <si>
    <t>Welding/Assembly</t>
  </si>
  <si>
    <t xml:space="preserve">CNC programmation </t>
  </si>
  <si>
    <t>40% engineer</t>
  </si>
  <si>
    <t>Total</t>
  </si>
  <si>
    <t>Sum (hrs)</t>
  </si>
  <si>
    <t>Required  (hrs)</t>
  </si>
  <si>
    <t>Fixed cost (10% of the time)</t>
  </si>
  <si>
    <t>Variable cost for 1 op (€/hour)</t>
  </si>
  <si>
    <t>Manwork availability (90%) /year (hrs)</t>
  </si>
  <si>
    <t xml:space="preserve">Shopfloor allocation </t>
  </si>
  <si>
    <t>Because prototyping company so not running all time, 6 percent used for maintenance and cleaning of shop floor</t>
  </si>
  <si>
    <t xml:space="preserve">People not working all time, need to pay them during this time </t>
  </si>
  <si>
    <t>Maintenance manwork cost</t>
  </si>
  <si>
    <t>Yearly for the company (90%)</t>
  </si>
  <si>
    <t>Manwork</t>
  </si>
  <si>
    <t>10% of manwork OPE</t>
  </si>
  <si>
    <t>Maintenance manwork</t>
  </si>
  <si>
    <t>Power consumption (kW)</t>
  </si>
  <si>
    <t>Cost/hour</t>
  </si>
  <si>
    <t>Subscription €/kVA</t>
  </si>
  <si>
    <t xml:space="preserve">Power needed </t>
  </si>
  <si>
    <t>Electricity subscription</t>
  </si>
  <si>
    <t>Electricity consumption for office and small components (avg 16kW)</t>
  </si>
  <si>
    <t>https://www.fournisseurs-electricite.com/edf/pro/tarifs-reglementes/jaune#decomposition-facture</t>
  </si>
  <si>
    <t>https://www.fournisseurs-electricite.com/guides/compteur/puissance/estimation?fbclid=IwAR0M9rlabDNFJxLa_aehdEGtK33qlQUwFO2xf_a1OlrFo_cEoo8_Df1M5hg</t>
  </si>
  <si>
    <t>€/hour</t>
  </si>
  <si>
    <t>Cost/hour running</t>
  </si>
  <si>
    <t>Cost of machining part (€/mm^3)</t>
  </si>
  <si>
    <t>Cost of Setup</t>
  </si>
  <si>
    <t>Cost of programing part Technician(€/mm^3)</t>
  </si>
  <si>
    <t>Cost of programing part Engineer (€/mm^3)</t>
  </si>
  <si>
    <t>Cost of programing part Operator (€/mm^3)</t>
  </si>
  <si>
    <t>Fixed cost</t>
  </si>
  <si>
    <t>Fixed cost/hour to charge on operation (machine/station/programing/metrology)</t>
  </si>
  <si>
    <t>Rond plein</t>
  </si>
  <si>
    <t>diamètre (mm)</t>
  </si>
  <si>
    <t>Alu 7075 T651</t>
  </si>
  <si>
    <t>https://www.siso.fr/produits/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</si>
</sst>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00\ &quot;€&quot;_-;\-* #,##0.0000\ &quot;€&quot;_-;_-* &quot;-&quot;??\ &quot;€&quot;_-;_-@_-"/>
    <numFmt numFmtId="165" formatCode="_-[$$-409]* #,##0.00_ ;_-[$$-409]* \-#,##0.00\ ;_-[$$-409]* &quot;-&quot;??_ ;_-@_ "/>
    <numFmt numFmtId="166" formatCode="_-* #,##0.00\ [$€-40C]_-;\-* #,##0.00\ [$€-40C]_-;_-* &quot;-&quot;??\ [$€-40C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11" fontId="0" fillId="0" borderId="0" xfId="0" applyNumberFormat="1"/>
    <xf numFmtId="44" fontId="0" fillId="0" borderId="0" xfId="1" applyFont="1"/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/>
    <xf numFmtId="0" fontId="0" fillId="16" borderId="0" xfId="0" applyFill="1"/>
    <xf numFmtId="0" fontId="2" fillId="17" borderId="0" xfId="0" applyFont="1" applyFill="1" applyAlignment="1">
      <alignment vertical="center"/>
    </xf>
    <xf numFmtId="0" fontId="4" fillId="11" borderId="0" xfId="0" applyFont="1" applyFill="1" applyAlignment="1">
      <alignment horizontal="center" vertical="center"/>
    </xf>
    <xf numFmtId="0" fontId="3" fillId="11" borderId="0" xfId="0" applyFont="1" applyFill="1"/>
    <xf numFmtId="0" fontId="5" fillId="0" borderId="0" xfId="2"/>
    <xf numFmtId="9" fontId="0" fillId="0" borderId="0" xfId="0" applyNumberFormat="1"/>
    <xf numFmtId="44" fontId="0" fillId="0" borderId="0" xfId="0" applyNumberFormat="1"/>
    <xf numFmtId="8" fontId="0" fillId="0" borderId="0" xfId="0" applyNumberFormat="1"/>
    <xf numFmtId="17" fontId="0" fillId="0" borderId="0" xfId="0" applyNumberFormat="1"/>
    <xf numFmtId="6" fontId="0" fillId="0" borderId="0" xfId="0" applyNumberFormat="1"/>
    <xf numFmtId="9" fontId="0" fillId="0" borderId="0" xfId="3" applyFont="1"/>
    <xf numFmtId="1" fontId="0" fillId="0" borderId="0" xfId="0" applyNumberFormat="1"/>
    <xf numFmtId="164" fontId="0" fillId="0" borderId="0" xfId="1" applyNumberFormat="1" applyFont="1"/>
    <xf numFmtId="0" fontId="0" fillId="18" borderId="0" xfId="0" applyFill="1"/>
    <xf numFmtId="165" fontId="0" fillId="0" borderId="0" xfId="0" applyNumberFormat="1"/>
    <xf numFmtId="166" fontId="0" fillId="0" borderId="0" xfId="0" applyNumberFormat="1"/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0" borderId="0" xfId="0" applyNumberForma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9" fontId="2" fillId="11" borderId="0" xfId="3" applyFont="1" applyFill="1" applyAlignment="1">
      <alignment horizontal="center" vertical="center"/>
    </xf>
    <xf numFmtId="0" fontId="0" fillId="0" borderId="0" xfId="3" applyNumberFormat="1" applyFont="1"/>
    <xf numFmtId="0" fontId="0" fillId="3" borderId="0" xfId="0" applyFill="1"/>
    <xf numFmtId="0" fontId="0" fillId="0" borderId="0" xfId="0" applyFill="1"/>
    <xf numFmtId="0" fontId="2" fillId="11" borderId="0" xfId="0" applyFont="1" applyFill="1" applyAlignment="1">
      <alignment horizontal="center" vertical="center"/>
    </xf>
    <xf numFmtId="11" fontId="2" fillId="11" borderId="0" xfId="0" applyNumberFormat="1" applyFont="1" applyFill="1" applyAlignment="1">
      <alignment horizontal="center" vertical="center"/>
    </xf>
    <xf numFmtId="9" fontId="2" fillId="12" borderId="0" xfId="3" applyFont="1" applyFill="1" applyAlignment="1">
      <alignment horizontal="center" vertical="center"/>
    </xf>
    <xf numFmtId="11" fontId="2" fillId="12" borderId="0" xfId="0" applyNumberFormat="1" applyFont="1" applyFill="1" applyAlignment="1">
      <alignment horizontal="center" vertical="center"/>
    </xf>
    <xf numFmtId="44" fontId="2" fillId="11" borderId="0" xfId="0" applyNumberFormat="1" applyFont="1" applyFill="1" applyAlignment="1">
      <alignment horizontal="center" vertical="center"/>
    </xf>
    <xf numFmtId="0" fontId="2" fillId="11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1" fontId="0" fillId="0" borderId="0" xfId="1" applyNumberFormat="1" applyFont="1"/>
  </cellXfs>
  <cellStyles count="4">
    <cellStyle name="Lien hypertexte" xfId="2" builtinId="8"/>
    <cellStyle name="Monétaire" xfId="1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lwatt.fr/guide/prix-electricite-entrepri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itutoyo.fr/web/mitutoyo/fr_FR/mitutoyo/1355993040307/Microm%C3%A8tre%20d%27int%C3%A9rieur%20Holtest%20en%20jeu%2020-50%20mm/$catalogue/mitutoyoData/PR/368-992/index.xhtml" TargetMode="External"/><Relationship Id="rId2" Type="http://schemas.openxmlformats.org/officeDocument/2006/relationships/hyperlink" Target="http://www.starrett.com/metrology/product-detail/3753A-8~200" TargetMode="External"/><Relationship Id="rId1" Type="http://schemas.openxmlformats.org/officeDocument/2006/relationships/hyperlink" Target="https://shop.mitutoyo.fr/web/mitutoyo/fr_FR/mitutoyo/1305010043843/Comparateur%20%C3%A0%20palpeur%20orientable%2C%20mod%C3%A8le%20horizontal/$catalogue/mitutoyoData/PR/513-401-10E/index.x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leigh.com/sheet-metal-brake-hb-4816e" TargetMode="External"/><Relationship Id="rId7" Type="http://schemas.openxmlformats.org/officeDocument/2006/relationships/hyperlink" Target="https://www.promeca.com/cle-dynamometrique-10-50-nm-facom-j208-50pb-promotion" TargetMode="External"/><Relationship Id="rId2" Type="http://schemas.openxmlformats.org/officeDocument/2006/relationships/hyperlink" Target="https://www.master-outillage.com/facom/13765-servante-rouge-7-tiroirs-composition-d-outillage-v8-facom-jetv8m3-3148519073409.html" TargetMode="External"/><Relationship Id="rId1" Type="http://schemas.openxmlformats.org/officeDocument/2006/relationships/hyperlink" Target="https://www.promeca.com/composition-v5-servante-chrono-6m3-facom-chrono-v5pb-promotion" TargetMode="External"/><Relationship Id="rId6" Type="http://schemas.openxmlformats.org/officeDocument/2006/relationships/hyperlink" Target="https://www.promeca.com/cle-dynamometrique-40-200-nm-facom-s-208-200pb-promotion" TargetMode="External"/><Relationship Id="rId5" Type="http://schemas.openxmlformats.org/officeDocument/2006/relationships/hyperlink" Target="https://www.promeca.com/cle-dynamo-a-declenchement-avec-cliquet-60-340-nm-facom-s-208a340" TargetMode="External"/><Relationship Id="rId4" Type="http://schemas.openxmlformats.org/officeDocument/2006/relationships/hyperlink" Target="https://www.baileigh.com/hydraulic-shop-press-hsp-10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ristique.org/social/duree-du-travail" TargetMode="External"/><Relationship Id="rId2" Type="http://schemas.openxmlformats.org/officeDocument/2006/relationships/hyperlink" Target="https://travail-emploi.gouv.fr/emploi/accompagnement-des-tpe-pme/tpe-pme/article/le-simulateur-du-cout-d-embauche" TargetMode="External"/><Relationship Id="rId1" Type="http://schemas.openxmlformats.org/officeDocument/2006/relationships/hyperlink" Target="https://www.gestionnaire-paie.com/convention-collective-automobile-salaires-minim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lockenstock.fr/epaisseur-32mm-et-plus-c102x296310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ffmann-group.com/FR/fr/hof/Accessoires-machines/Etaux/Etau-haute-pression-CN---NC8/p/360405-125L" TargetMode="External"/><Relationship Id="rId2" Type="http://schemas.openxmlformats.org/officeDocument/2006/relationships/hyperlink" Target="https://www.haascnc.com/machines/vertical-mills/vf-series/models/medium/vf-3ssyt.html" TargetMode="External"/><Relationship Id="rId1" Type="http://schemas.openxmlformats.org/officeDocument/2006/relationships/hyperlink" Target="https://www.haascnc.com/shop/category/pricelist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sslaser.com/metal-cutting-produc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ascnc.com/shop/category/price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D1" workbookViewId="0">
      <selection activeCell="H9" sqref="H9"/>
    </sheetView>
  </sheetViews>
  <sheetFormatPr baseColWidth="10" defaultRowHeight="14.4" x14ac:dyDescent="0.3"/>
  <cols>
    <col min="1" max="1" width="14.5546875" bestFit="1" customWidth="1"/>
    <col min="2" max="2" width="62" bestFit="1" customWidth="1"/>
    <col min="3" max="3" width="11.88671875" bestFit="1" customWidth="1"/>
    <col min="4" max="4" width="14.6640625" bestFit="1" customWidth="1"/>
    <col min="5" max="5" width="11.88671875" customWidth="1"/>
    <col min="7" max="7" width="47.5546875" bestFit="1" customWidth="1"/>
    <col min="8" max="8" width="23.88671875" customWidth="1"/>
    <col min="9" max="9" width="31" bestFit="1" customWidth="1"/>
    <col min="10" max="10" width="8.44140625" bestFit="1" customWidth="1"/>
    <col min="11" max="11" width="37.109375" bestFit="1" customWidth="1"/>
    <col min="12" max="12" width="12.88671875" bestFit="1" customWidth="1"/>
    <col min="13" max="13" width="14.6640625" bestFit="1" customWidth="1"/>
    <col min="14" max="14" width="19.109375" customWidth="1"/>
    <col min="16" max="16" width="21" bestFit="1" customWidth="1"/>
    <col min="17" max="17" width="14.5546875" bestFit="1" customWidth="1"/>
  </cols>
  <sheetData>
    <row r="1" spans="1:22" x14ac:dyDescent="0.3">
      <c r="A1" s="52" t="s">
        <v>14</v>
      </c>
      <c r="B1" s="52"/>
      <c r="C1" s="52"/>
      <c r="D1" s="35"/>
      <c r="E1" s="35"/>
      <c r="G1" s="50" t="s">
        <v>267</v>
      </c>
      <c r="H1" s="50"/>
      <c r="I1" s="50"/>
      <c r="J1" s="50"/>
      <c r="K1" s="50"/>
      <c r="L1" s="50"/>
      <c r="M1" s="34"/>
      <c r="N1" s="34"/>
      <c r="P1" s="51" t="s">
        <v>30</v>
      </c>
      <c r="Q1" s="51"/>
      <c r="R1" s="51"/>
      <c r="T1" s="53" t="s">
        <v>65</v>
      </c>
      <c r="U1" s="53"/>
      <c r="V1" s="53"/>
    </row>
    <row r="2" spans="1:22" ht="28.8" x14ac:dyDescent="0.3">
      <c r="A2" s="3" t="s">
        <v>39</v>
      </c>
      <c r="B2" s="3" t="s">
        <v>31</v>
      </c>
      <c r="C2" s="3" t="s">
        <v>18</v>
      </c>
      <c r="D2" s="38" t="s">
        <v>262</v>
      </c>
      <c r="E2" s="35" t="s">
        <v>265</v>
      </c>
      <c r="G2" s="8" t="s">
        <v>16</v>
      </c>
      <c r="H2" s="34"/>
      <c r="I2" s="8" t="s">
        <v>17</v>
      </c>
      <c r="J2" s="34" t="s">
        <v>270</v>
      </c>
      <c r="K2" s="34" t="s">
        <v>276</v>
      </c>
      <c r="L2" s="8" t="s">
        <v>18</v>
      </c>
      <c r="M2" s="39" t="s">
        <v>262</v>
      </c>
      <c r="N2" s="34" t="s">
        <v>265</v>
      </c>
      <c r="P2" s="12" t="s">
        <v>16</v>
      </c>
      <c r="Q2" s="12" t="s">
        <v>31</v>
      </c>
      <c r="R2" s="12" t="s">
        <v>18</v>
      </c>
      <c r="T2" s="16" t="s">
        <v>16</v>
      </c>
      <c r="U2" s="16" t="s">
        <v>17</v>
      </c>
      <c r="V2" s="16" t="s">
        <v>18</v>
      </c>
    </row>
    <row r="3" spans="1:22" x14ac:dyDescent="0.3">
      <c r="A3" s="4" t="s">
        <v>40</v>
      </c>
      <c r="B3" t="s">
        <v>255</v>
      </c>
      <c r="C3" s="25">
        <f>SUM(Metrology!E14:E17)</f>
        <v>2320</v>
      </c>
      <c r="D3" s="37">
        <v>10</v>
      </c>
      <c r="E3" s="25">
        <f>C3/D3</f>
        <v>232</v>
      </c>
      <c r="G3" s="55" t="s">
        <v>15</v>
      </c>
      <c r="H3" s="55"/>
      <c r="I3" t="s">
        <v>266</v>
      </c>
      <c r="J3" t="s">
        <v>271</v>
      </c>
      <c r="L3" s="24">
        <f>'CNC mill'!B22</f>
        <v>108020</v>
      </c>
      <c r="M3">
        <v>10</v>
      </c>
      <c r="N3" s="24">
        <f>L3/M3</f>
        <v>10802</v>
      </c>
      <c r="P3" s="13" t="s">
        <v>32</v>
      </c>
      <c r="Q3" t="s">
        <v>60</v>
      </c>
      <c r="U3" t="s">
        <v>66</v>
      </c>
    </row>
    <row r="4" spans="1:22" x14ac:dyDescent="0.3">
      <c r="A4" s="4"/>
      <c r="B4" t="s">
        <v>254</v>
      </c>
      <c r="C4" s="25">
        <f>SUM(Metrology!E18:E19)</f>
        <v>1838.4</v>
      </c>
      <c r="D4" s="37">
        <v>10</v>
      </c>
      <c r="E4" s="25">
        <f t="shared" ref="E4:E38" si="0">C4/D4</f>
        <v>183.84</v>
      </c>
      <c r="G4" s="9" t="s">
        <v>341</v>
      </c>
      <c r="H4" s="9">
        <v>22.4</v>
      </c>
      <c r="I4" t="s">
        <v>268</v>
      </c>
      <c r="J4" t="s">
        <v>271</v>
      </c>
      <c r="L4" s="24">
        <f>'CNC mill'!B23*'CNC mill'!C23</f>
        <v>3200</v>
      </c>
      <c r="M4">
        <v>10</v>
      </c>
      <c r="N4" s="24">
        <f t="shared" ref="N4:N6" si="1">L4/M4</f>
        <v>320</v>
      </c>
      <c r="P4" s="13"/>
      <c r="Q4" t="s">
        <v>33</v>
      </c>
      <c r="U4" t="s">
        <v>67</v>
      </c>
    </row>
    <row r="5" spans="1:22" x14ac:dyDescent="0.3">
      <c r="A5" s="4"/>
      <c r="B5" t="s">
        <v>253</v>
      </c>
      <c r="C5" s="25">
        <f>SUM(Metrology!E2:E8)+Metrology!E2+Metrology!E4+Metrology!E3+Metrology!E7+Metrology!E8</f>
        <v>1272</v>
      </c>
      <c r="D5" s="37">
        <v>10</v>
      </c>
      <c r="E5" s="25">
        <f t="shared" si="0"/>
        <v>127.2</v>
      </c>
      <c r="G5" s="9" t="s">
        <v>288</v>
      </c>
      <c r="H5" s="40">
        <f>C49</f>
        <v>0.75</v>
      </c>
      <c r="I5" t="s">
        <v>269</v>
      </c>
      <c r="J5" t="s">
        <v>271</v>
      </c>
      <c r="L5" s="24">
        <f>'CNC mill'!B24</f>
        <v>2500</v>
      </c>
      <c r="M5">
        <v>10</v>
      </c>
      <c r="N5" s="24">
        <f t="shared" si="1"/>
        <v>250</v>
      </c>
      <c r="P5" s="14" t="s">
        <v>34</v>
      </c>
      <c r="Q5" t="s">
        <v>35</v>
      </c>
    </row>
    <row r="6" spans="1:22" x14ac:dyDescent="0.3">
      <c r="A6" s="4"/>
      <c r="B6" t="s">
        <v>43</v>
      </c>
      <c r="C6" s="24">
        <f>Metrology!E23</f>
        <v>48334.81</v>
      </c>
      <c r="D6" s="37">
        <v>10</v>
      </c>
      <c r="E6" s="25">
        <f t="shared" si="0"/>
        <v>4833.4809999999998</v>
      </c>
      <c r="G6" s="9" t="s">
        <v>289</v>
      </c>
      <c r="H6" s="9">
        <v>15</v>
      </c>
      <c r="I6" t="s">
        <v>27</v>
      </c>
      <c r="J6" t="s">
        <v>271</v>
      </c>
      <c r="K6" t="s">
        <v>280</v>
      </c>
      <c r="L6" s="24">
        <f>0.05*L3</f>
        <v>5401</v>
      </c>
      <c r="M6">
        <v>1</v>
      </c>
      <c r="N6" s="24">
        <f t="shared" si="1"/>
        <v>5401</v>
      </c>
      <c r="P6" s="14"/>
      <c r="Q6" t="s">
        <v>36</v>
      </c>
    </row>
    <row r="7" spans="1:22" x14ac:dyDescent="0.3">
      <c r="A7" s="4"/>
      <c r="B7" t="s">
        <v>256</v>
      </c>
      <c r="C7" s="25">
        <f>SUM(Metrology!E10:E12)</f>
        <v>3209.6000000000004</v>
      </c>
      <c r="D7" s="37">
        <v>10</v>
      </c>
      <c r="E7" s="25">
        <f t="shared" si="0"/>
        <v>320.96000000000004</v>
      </c>
      <c r="G7" s="9" t="s">
        <v>313</v>
      </c>
      <c r="H7" s="45">
        <f>1/10000</f>
        <v>1E-4</v>
      </c>
      <c r="I7" t="s">
        <v>24</v>
      </c>
      <c r="J7" t="s">
        <v>272</v>
      </c>
      <c r="K7" t="s">
        <v>342</v>
      </c>
      <c r="L7" s="33">
        <f>H4*0.8*C53</f>
        <v>1.4031359999999997</v>
      </c>
      <c r="P7" s="14"/>
    </row>
    <row r="8" spans="1:22" x14ac:dyDescent="0.3">
      <c r="A8" s="4"/>
      <c r="B8" t="s">
        <v>257</v>
      </c>
      <c r="C8" s="25">
        <f>2*Metrology!E21</f>
        <v>492.90039304557206</v>
      </c>
      <c r="D8" s="37">
        <v>10</v>
      </c>
      <c r="E8" s="25">
        <f t="shared" si="0"/>
        <v>49.290039304557205</v>
      </c>
      <c r="G8" s="9" t="s">
        <v>314</v>
      </c>
      <c r="H8" s="45">
        <f>H7*0.4</f>
        <v>4.0000000000000003E-5</v>
      </c>
      <c r="I8" t="s">
        <v>273</v>
      </c>
      <c r="J8" t="s">
        <v>272</v>
      </c>
      <c r="K8" t="s">
        <v>278</v>
      </c>
      <c r="P8" s="14"/>
    </row>
    <row r="9" spans="1:22" x14ac:dyDescent="0.3">
      <c r="A9" s="4"/>
      <c r="B9" t="s">
        <v>299</v>
      </c>
      <c r="C9" s="24">
        <f>Metrology!E25</f>
        <v>5390</v>
      </c>
      <c r="D9" s="37">
        <v>10</v>
      </c>
      <c r="E9" s="25">
        <f t="shared" si="0"/>
        <v>539</v>
      </c>
      <c r="G9" s="9" t="s">
        <v>315</v>
      </c>
      <c r="H9" s="9">
        <v>15</v>
      </c>
      <c r="I9" t="s">
        <v>275</v>
      </c>
      <c r="J9" t="s">
        <v>272</v>
      </c>
      <c r="K9" t="s">
        <v>349</v>
      </c>
      <c r="L9" s="2">
        <v>20</v>
      </c>
      <c r="P9" s="14"/>
    </row>
    <row r="10" spans="1:22" x14ac:dyDescent="0.3">
      <c r="A10" s="5" t="s">
        <v>44</v>
      </c>
      <c r="B10" s="31" t="s">
        <v>45</v>
      </c>
      <c r="E10" s="25"/>
      <c r="G10" s="9" t="s">
        <v>316</v>
      </c>
      <c r="H10" s="48">
        <f>SUM(N3:N6)</f>
        <v>16773</v>
      </c>
      <c r="I10" t="s">
        <v>274</v>
      </c>
      <c r="J10" t="s">
        <v>272</v>
      </c>
      <c r="K10" t="s">
        <v>279</v>
      </c>
      <c r="P10" s="14"/>
      <c r="Q10" t="s">
        <v>33</v>
      </c>
    </row>
    <row r="11" spans="1:22" x14ac:dyDescent="0.3">
      <c r="A11" s="5"/>
      <c r="B11" s="43" t="s">
        <v>345</v>
      </c>
      <c r="C11" s="24">
        <f>Energies!B6</f>
        <v>2843.9040000000005</v>
      </c>
      <c r="D11">
        <v>1</v>
      </c>
      <c r="E11" s="25">
        <f t="shared" si="0"/>
        <v>2843.9040000000005</v>
      </c>
      <c r="G11" s="9" t="s">
        <v>317</v>
      </c>
      <c r="H11" s="48">
        <f>H10/(H5*C47*C48)+C59</f>
        <v>26.510226878703875</v>
      </c>
      <c r="P11" s="15" t="s">
        <v>69</v>
      </c>
      <c r="Q11" t="s">
        <v>70</v>
      </c>
    </row>
    <row r="12" spans="1:22" x14ac:dyDescent="0.3">
      <c r="A12" s="5"/>
      <c r="B12" s="43" t="s">
        <v>346</v>
      </c>
      <c r="C12" s="2">
        <f>16*C47*C48*C53</f>
        <v>1999.4687999999999</v>
      </c>
      <c r="D12">
        <v>1</v>
      </c>
      <c r="E12" s="25">
        <f t="shared" si="0"/>
        <v>1999.4687999999999</v>
      </c>
      <c r="G12" s="44" t="s">
        <v>350</v>
      </c>
      <c r="H12" s="48">
        <f>H11+L10+L9+L7</f>
        <v>47.913362878703872</v>
      </c>
      <c r="P12" s="18"/>
      <c r="Q12" t="s">
        <v>33</v>
      </c>
    </row>
    <row r="13" spans="1:22" x14ac:dyDescent="0.3">
      <c r="A13" s="5"/>
      <c r="B13" s="43"/>
      <c r="D13">
        <v>1</v>
      </c>
      <c r="E13" s="25">
        <f t="shared" si="0"/>
        <v>0</v>
      </c>
      <c r="G13" s="44"/>
      <c r="H13" s="44"/>
    </row>
    <row r="14" spans="1:22" x14ac:dyDescent="0.3">
      <c r="A14" s="5"/>
      <c r="B14" s="42" t="s">
        <v>46</v>
      </c>
      <c r="D14">
        <v>1</v>
      </c>
      <c r="E14" s="25">
        <f t="shared" si="0"/>
        <v>0</v>
      </c>
      <c r="G14" s="44" t="s">
        <v>351</v>
      </c>
      <c r="H14" s="45">
        <f>(Manpower!H5+H12)*H7/60</f>
        <v>1.0217807764662842E-4</v>
      </c>
      <c r="I14" s="1"/>
    </row>
    <row r="15" spans="1:22" x14ac:dyDescent="0.3">
      <c r="A15" s="5"/>
      <c r="B15" s="43" t="s">
        <v>47</v>
      </c>
      <c r="D15">
        <v>1</v>
      </c>
      <c r="E15" s="25">
        <f t="shared" si="0"/>
        <v>0</v>
      </c>
      <c r="G15" s="44" t="s">
        <v>355</v>
      </c>
      <c r="H15" s="49">
        <f>(Manpower!H5)*H8/60</f>
        <v>8.9289891395154577E-6</v>
      </c>
    </row>
    <row r="16" spans="1:22" x14ac:dyDescent="0.3">
      <c r="A16" s="5"/>
      <c r="B16" s="31" t="s">
        <v>48</v>
      </c>
      <c r="E16" s="25"/>
      <c r="G16" s="44" t="s">
        <v>353</v>
      </c>
      <c r="H16" s="49">
        <f>(Manpower!H6)*H8/60</f>
        <v>1.6628654970760235E-5</v>
      </c>
    </row>
    <row r="17" spans="1:14" x14ac:dyDescent="0.3">
      <c r="A17" s="5"/>
      <c r="B17" t="s">
        <v>49</v>
      </c>
      <c r="D17">
        <v>1</v>
      </c>
      <c r="E17" s="25">
        <f t="shared" si="0"/>
        <v>0</v>
      </c>
      <c r="G17" s="44" t="s">
        <v>354</v>
      </c>
      <c r="H17" s="49">
        <f>(Manpower!H7)*H8/60</f>
        <v>2.9174185463659156E-5</v>
      </c>
    </row>
    <row r="18" spans="1:14" x14ac:dyDescent="0.3">
      <c r="A18" s="5"/>
      <c r="B18" t="s">
        <v>64</v>
      </c>
      <c r="D18">
        <v>10</v>
      </c>
      <c r="E18" s="25">
        <f t="shared" si="0"/>
        <v>0</v>
      </c>
      <c r="G18" s="44" t="s">
        <v>352</v>
      </c>
      <c r="H18" s="48">
        <f>(Manpower!H5+H11)*H9/60</f>
        <v>9.9759276469942666</v>
      </c>
    </row>
    <row r="19" spans="1:14" x14ac:dyDescent="0.3">
      <c r="A19" s="6" t="s">
        <v>338</v>
      </c>
      <c r="B19" t="s">
        <v>189</v>
      </c>
      <c r="C19" s="24">
        <f>C46</f>
        <v>39809</v>
      </c>
      <c r="D19" s="37">
        <v>1</v>
      </c>
      <c r="E19" s="25">
        <f t="shared" si="0"/>
        <v>39809</v>
      </c>
      <c r="G19" s="10" t="s">
        <v>20</v>
      </c>
      <c r="H19" s="10"/>
      <c r="I19" t="s">
        <v>21</v>
      </c>
      <c r="J19" t="s">
        <v>271</v>
      </c>
      <c r="M19">
        <v>10</v>
      </c>
    </row>
    <row r="20" spans="1:14" x14ac:dyDescent="0.3">
      <c r="A20" s="6"/>
      <c r="B20" t="s">
        <v>326</v>
      </c>
      <c r="C20" s="24">
        <f>C45*0.4</f>
        <v>27937.200000000001</v>
      </c>
      <c r="D20" s="37">
        <v>1</v>
      </c>
      <c r="E20" s="25">
        <f t="shared" si="0"/>
        <v>27937.200000000001</v>
      </c>
      <c r="G20" s="10"/>
      <c r="H20" s="10"/>
      <c r="I20" t="s">
        <v>22</v>
      </c>
    </row>
    <row r="21" spans="1:14" x14ac:dyDescent="0.3">
      <c r="A21" s="6"/>
      <c r="B21" t="s">
        <v>339</v>
      </c>
      <c r="C21" s="24">
        <f>Manpower!G8</f>
        <v>24683.68</v>
      </c>
      <c r="D21" s="37">
        <v>1</v>
      </c>
      <c r="E21" s="25">
        <f t="shared" si="0"/>
        <v>24683.68</v>
      </c>
      <c r="G21" s="10"/>
      <c r="H21" s="46"/>
      <c r="I21" t="s">
        <v>19</v>
      </c>
    </row>
    <row r="22" spans="1:14" x14ac:dyDescent="0.3">
      <c r="A22" s="6"/>
      <c r="B22" t="s">
        <v>340</v>
      </c>
      <c r="C22" s="24">
        <f>Manpower!B30</f>
        <v>13716.36</v>
      </c>
      <c r="D22" s="37">
        <v>1</v>
      </c>
      <c r="E22" s="25">
        <f t="shared" si="0"/>
        <v>13716.36</v>
      </c>
      <c r="G22" s="10"/>
      <c r="H22" s="10"/>
      <c r="I22" t="s">
        <v>23</v>
      </c>
    </row>
    <row r="23" spans="1:14" x14ac:dyDescent="0.3">
      <c r="A23" s="7" t="s">
        <v>50</v>
      </c>
      <c r="B23" t="s">
        <v>51</v>
      </c>
      <c r="C23" s="24">
        <f>IT!D11+IT!D12+IT!D13+4*IT!D15+IT!D16+3*IT!D17+IT!D18</f>
        <v>4796.88</v>
      </c>
      <c r="D23" s="37">
        <v>5</v>
      </c>
      <c r="E23" s="25">
        <f t="shared" si="0"/>
        <v>959.37599999999998</v>
      </c>
      <c r="G23" s="10"/>
      <c r="H23" s="47"/>
      <c r="I23" t="s">
        <v>24</v>
      </c>
    </row>
    <row r="24" spans="1:14" x14ac:dyDescent="0.3">
      <c r="A24" s="7"/>
      <c r="B24" t="s">
        <v>263</v>
      </c>
      <c r="C24" s="24">
        <f>IT!D5</f>
        <v>192.96</v>
      </c>
      <c r="D24" s="37">
        <v>5</v>
      </c>
      <c r="E24" s="25">
        <f t="shared" si="0"/>
        <v>38.591999999999999</v>
      </c>
      <c r="G24" s="10"/>
      <c r="H24" s="47"/>
      <c r="I24" t="s">
        <v>27</v>
      </c>
    </row>
    <row r="25" spans="1:14" x14ac:dyDescent="0.3">
      <c r="A25" s="7"/>
      <c r="B25" t="s">
        <v>264</v>
      </c>
      <c r="C25" s="24">
        <f>2*IT!D6+IT!D7+2*IT!D8+IT!D9</f>
        <v>277.54199999999997</v>
      </c>
      <c r="D25" s="37">
        <v>1</v>
      </c>
      <c r="E25" s="25">
        <f t="shared" si="0"/>
        <v>277.54199999999997</v>
      </c>
      <c r="G25" s="10"/>
      <c r="H25" s="10"/>
      <c r="I25" t="s">
        <v>61</v>
      </c>
    </row>
    <row r="26" spans="1:14" x14ac:dyDescent="0.3">
      <c r="A26" s="7"/>
      <c r="B26" t="s">
        <v>237</v>
      </c>
      <c r="C26" s="24">
        <f>IT!D3*12*3</f>
        <v>316.8</v>
      </c>
      <c r="D26" s="37">
        <v>1</v>
      </c>
      <c r="E26" s="25">
        <f t="shared" si="0"/>
        <v>316.8</v>
      </c>
      <c r="G26" s="11" t="s">
        <v>25</v>
      </c>
      <c r="H26" s="11"/>
      <c r="I26" t="s">
        <v>26</v>
      </c>
    </row>
    <row r="27" spans="1:14" x14ac:dyDescent="0.3">
      <c r="A27" s="7"/>
      <c r="B27" t="s">
        <v>238</v>
      </c>
      <c r="C27" s="24">
        <f>IT!D2*2</f>
        <v>796.80000000000007</v>
      </c>
      <c r="D27" s="37">
        <v>1</v>
      </c>
      <c r="E27" s="25">
        <f t="shared" si="0"/>
        <v>796.80000000000007</v>
      </c>
      <c r="G27" s="11"/>
      <c r="H27" s="11"/>
      <c r="I27" t="s">
        <v>23</v>
      </c>
    </row>
    <row r="28" spans="1:14" x14ac:dyDescent="0.3">
      <c r="A28" s="7"/>
      <c r="B28" t="s">
        <v>52</v>
      </c>
      <c r="C28" s="24">
        <f>12*IT!D20</f>
        <v>1224</v>
      </c>
      <c r="D28" s="37">
        <v>1</v>
      </c>
      <c r="E28" s="25">
        <f t="shared" si="0"/>
        <v>1224</v>
      </c>
      <c r="G28" s="11"/>
      <c r="H28" s="11"/>
      <c r="I28" t="s">
        <v>28</v>
      </c>
    </row>
    <row r="29" spans="1:14" x14ac:dyDescent="0.3">
      <c r="A29" s="7"/>
      <c r="B29" t="s">
        <v>243</v>
      </c>
      <c r="D29" s="37">
        <v>3</v>
      </c>
      <c r="E29" s="25">
        <f t="shared" si="0"/>
        <v>0</v>
      </c>
      <c r="G29" s="11"/>
      <c r="H29" s="11"/>
      <c r="I29" t="s">
        <v>27</v>
      </c>
    </row>
    <row r="30" spans="1:14" x14ac:dyDescent="0.3">
      <c r="A30" s="4" t="s">
        <v>53</v>
      </c>
      <c r="B30" s="31" t="s">
        <v>54</v>
      </c>
      <c r="D30" s="37">
        <v>1</v>
      </c>
      <c r="E30" s="25">
        <f t="shared" si="0"/>
        <v>0</v>
      </c>
      <c r="G30" s="11"/>
      <c r="H30" s="11"/>
      <c r="I30" t="s">
        <v>62</v>
      </c>
    </row>
    <row r="31" spans="1:14" x14ac:dyDescent="0.3">
      <c r="A31" s="4"/>
      <c r="B31" s="42" t="s">
        <v>55</v>
      </c>
      <c r="D31" s="37">
        <v>1</v>
      </c>
      <c r="E31" s="25">
        <f t="shared" si="0"/>
        <v>0</v>
      </c>
      <c r="G31" s="9" t="s">
        <v>29</v>
      </c>
      <c r="H31" s="9"/>
      <c r="I31" t="s">
        <v>303</v>
      </c>
      <c r="J31" t="s">
        <v>271</v>
      </c>
      <c r="L31" s="24">
        <f>'TIG Welder'!F2+'TIG Welder'!F3</f>
        <v>5308.6</v>
      </c>
      <c r="M31">
        <v>10</v>
      </c>
      <c r="N31" s="24">
        <f>L31/M31</f>
        <v>530.86</v>
      </c>
    </row>
    <row r="32" spans="1:14" x14ac:dyDescent="0.3">
      <c r="A32" s="4"/>
      <c r="D32" s="37">
        <v>1</v>
      </c>
      <c r="E32" s="25">
        <f t="shared" si="0"/>
        <v>0</v>
      </c>
      <c r="G32" s="9"/>
      <c r="H32" s="9"/>
      <c r="I32" t="s">
        <v>57</v>
      </c>
      <c r="J32" t="s">
        <v>271</v>
      </c>
      <c r="L32" s="24">
        <f>'TIG Welder'!F4</f>
        <v>3859.6</v>
      </c>
      <c r="M32">
        <v>10</v>
      </c>
      <c r="N32" s="24">
        <f t="shared" ref="N32:N36" si="2">L32/M32</f>
        <v>385.96</v>
      </c>
    </row>
    <row r="33" spans="1:14" x14ac:dyDescent="0.3">
      <c r="A33" s="4"/>
      <c r="B33" t="s">
        <v>56</v>
      </c>
      <c r="D33" s="37">
        <v>1</v>
      </c>
      <c r="E33" s="25">
        <f t="shared" si="0"/>
        <v>0</v>
      </c>
      <c r="G33" s="9"/>
      <c r="H33" s="9"/>
      <c r="I33" t="s">
        <v>308</v>
      </c>
      <c r="J33" t="s">
        <v>271</v>
      </c>
      <c r="L33" s="24">
        <f>'TIG Welder'!F6</f>
        <v>146</v>
      </c>
      <c r="M33">
        <v>5</v>
      </c>
      <c r="N33" s="24">
        <f t="shared" si="2"/>
        <v>29.2</v>
      </c>
    </row>
    <row r="34" spans="1:14" x14ac:dyDescent="0.3">
      <c r="A34" s="4"/>
      <c r="B34" s="17" t="s">
        <v>68</v>
      </c>
      <c r="D34" s="37">
        <v>10</v>
      </c>
      <c r="E34" s="25">
        <f t="shared" si="0"/>
        <v>0</v>
      </c>
      <c r="G34" s="9"/>
      <c r="H34" s="9"/>
      <c r="I34" t="s">
        <v>37</v>
      </c>
      <c r="J34" t="s">
        <v>271</v>
      </c>
      <c r="L34" s="24">
        <f>'TIG Welder'!F6+'TIG Welder'!F7</f>
        <v>196</v>
      </c>
      <c r="M34">
        <v>2</v>
      </c>
      <c r="N34" s="24">
        <f t="shared" si="2"/>
        <v>98</v>
      </c>
    </row>
    <row r="35" spans="1:14" x14ac:dyDescent="0.3">
      <c r="A35" s="5" t="s">
        <v>58</v>
      </c>
      <c r="B35" t="s">
        <v>59</v>
      </c>
      <c r="C35" s="24">
        <f>'Tooling and small machinery'!F3</f>
        <v>12388.902659254276</v>
      </c>
      <c r="D35">
        <v>10</v>
      </c>
      <c r="E35" s="25">
        <f t="shared" si="0"/>
        <v>1238.8902659254277</v>
      </c>
      <c r="G35" s="9"/>
      <c r="H35" s="9"/>
      <c r="I35" t="s">
        <v>293</v>
      </c>
      <c r="J35" t="s">
        <v>271</v>
      </c>
      <c r="L35" s="24">
        <f>'TIG Welder'!F5</f>
        <v>8579</v>
      </c>
      <c r="M35">
        <v>10</v>
      </c>
      <c r="N35" s="24">
        <f t="shared" si="2"/>
        <v>857.9</v>
      </c>
    </row>
    <row r="36" spans="1:14" x14ac:dyDescent="0.3">
      <c r="A36" s="5"/>
      <c r="B36" t="s">
        <v>287</v>
      </c>
      <c r="C36" s="24">
        <f>'Tooling and small machinery'!F6*2+'Tooling and small machinery'!F7*2</f>
        <v>5424.9679999999998</v>
      </c>
      <c r="D36">
        <v>10</v>
      </c>
      <c r="E36" s="25">
        <f t="shared" si="0"/>
        <v>542.49680000000001</v>
      </c>
      <c r="G36" s="9"/>
      <c r="H36" s="9"/>
      <c r="I36" t="s">
        <v>27</v>
      </c>
      <c r="J36" t="s">
        <v>271</v>
      </c>
      <c r="K36" t="s">
        <v>307</v>
      </c>
      <c r="L36" s="24">
        <f>0.03*(L31+L32)</f>
        <v>275.04599999999999</v>
      </c>
      <c r="M36">
        <v>1</v>
      </c>
      <c r="N36" s="24">
        <f t="shared" si="2"/>
        <v>275.04599999999999</v>
      </c>
    </row>
    <row r="37" spans="1:14" x14ac:dyDescent="0.3">
      <c r="A37" s="5"/>
      <c r="B37" t="s">
        <v>63</v>
      </c>
      <c r="D37">
        <v>10</v>
      </c>
      <c r="E37" s="25">
        <f t="shared" si="0"/>
        <v>0</v>
      </c>
      <c r="G37" s="9"/>
      <c r="H37" s="9"/>
      <c r="I37" t="s">
        <v>24</v>
      </c>
      <c r="J37" t="s">
        <v>272</v>
      </c>
      <c r="K37" t="s">
        <v>277</v>
      </c>
    </row>
    <row r="38" spans="1:14" x14ac:dyDescent="0.3">
      <c r="A38" s="6" t="s">
        <v>71</v>
      </c>
      <c r="B38" t="s">
        <v>312</v>
      </c>
      <c r="D38">
        <v>1</v>
      </c>
      <c r="E38" s="25">
        <f t="shared" si="0"/>
        <v>0</v>
      </c>
      <c r="G38" s="20"/>
      <c r="H38" s="20"/>
      <c r="I38" t="s">
        <v>38</v>
      </c>
      <c r="J38" t="s">
        <v>272</v>
      </c>
      <c r="K38" t="s">
        <v>294</v>
      </c>
    </row>
    <row r="39" spans="1:14" x14ac:dyDescent="0.3">
      <c r="G39" s="21"/>
      <c r="H39" s="21"/>
      <c r="I39" t="s">
        <v>295</v>
      </c>
      <c r="J39" t="s">
        <v>272</v>
      </c>
      <c r="K39" t="s">
        <v>279</v>
      </c>
    </row>
    <row r="41" spans="1:14" x14ac:dyDescent="0.3">
      <c r="A41" s="54" t="s">
        <v>72</v>
      </c>
      <c r="B41" s="54"/>
      <c r="C41" s="54"/>
      <c r="D41" s="36"/>
      <c r="E41" s="36"/>
    </row>
    <row r="42" spans="1:14" x14ac:dyDescent="0.3">
      <c r="A42" s="19" t="s">
        <v>39</v>
      </c>
      <c r="B42" s="19" t="s">
        <v>17</v>
      </c>
      <c r="C42" s="19" t="s">
        <v>73</v>
      </c>
      <c r="D42" s="19" t="s">
        <v>290</v>
      </c>
      <c r="E42" s="19"/>
    </row>
    <row r="43" spans="1:14" x14ac:dyDescent="0.3">
      <c r="A43" t="s">
        <v>74</v>
      </c>
      <c r="B43" t="s">
        <v>33</v>
      </c>
      <c r="C43" s="24">
        <f>Manpower!C5</f>
        <v>21376</v>
      </c>
      <c r="D43" s="24"/>
      <c r="E43" s="24"/>
    </row>
    <row r="44" spans="1:14" x14ac:dyDescent="0.3">
      <c r="B44" t="s">
        <v>75</v>
      </c>
      <c r="C44" s="24">
        <f>Manpower!C6</f>
        <v>39809</v>
      </c>
      <c r="D44" s="24"/>
      <c r="E44" s="24"/>
    </row>
    <row r="45" spans="1:14" x14ac:dyDescent="0.3">
      <c r="B45" t="s">
        <v>76</v>
      </c>
      <c r="C45" s="24">
        <f>Manpower!C7</f>
        <v>69843</v>
      </c>
      <c r="D45" s="24"/>
      <c r="E45" s="24"/>
    </row>
    <row r="46" spans="1:14" x14ac:dyDescent="0.3">
      <c r="B46" t="s">
        <v>77</v>
      </c>
      <c r="C46" s="24">
        <f>Manpower!C6</f>
        <v>39809</v>
      </c>
      <c r="D46" s="24"/>
      <c r="E46" s="24"/>
    </row>
    <row r="47" spans="1:14" x14ac:dyDescent="0.3">
      <c r="A47" t="s">
        <v>78</v>
      </c>
      <c r="B47" t="s">
        <v>79</v>
      </c>
      <c r="C47">
        <v>35</v>
      </c>
    </row>
    <row r="48" spans="1:14" x14ac:dyDescent="0.3">
      <c r="B48" t="s">
        <v>80</v>
      </c>
      <c r="C48" s="29">
        <f>Manpower!B16</f>
        <v>45.6</v>
      </c>
      <c r="D48" s="29"/>
      <c r="E48" s="29"/>
    </row>
    <row r="49" spans="1:5" x14ac:dyDescent="0.3">
      <c r="B49" t="s">
        <v>81</v>
      </c>
      <c r="C49" s="28">
        <v>0.75</v>
      </c>
      <c r="D49" s="28" t="s">
        <v>334</v>
      </c>
      <c r="E49" s="28"/>
    </row>
    <row r="50" spans="1:5" x14ac:dyDescent="0.3">
      <c r="B50" t="s">
        <v>318</v>
      </c>
      <c r="C50" s="28">
        <v>0.9</v>
      </c>
      <c r="D50" s="28" t="s">
        <v>335</v>
      </c>
      <c r="E50" s="28"/>
    </row>
    <row r="51" spans="1:5" x14ac:dyDescent="0.3">
      <c r="B51" t="s">
        <v>310</v>
      </c>
      <c r="C51" s="41">
        <f>C48*C47*C49*C57</f>
        <v>7182</v>
      </c>
      <c r="D51" s="28"/>
      <c r="E51" s="28"/>
    </row>
    <row r="52" spans="1:5" x14ac:dyDescent="0.3">
      <c r="A52" t="s">
        <v>82</v>
      </c>
      <c r="B52" t="s">
        <v>205</v>
      </c>
      <c r="C52" s="24">
        <f>Energies!B6</f>
        <v>2843.9040000000005</v>
      </c>
      <c r="D52" s="24"/>
      <c r="E52" s="24"/>
    </row>
    <row r="53" spans="1:5" x14ac:dyDescent="0.3">
      <c r="B53" t="s">
        <v>206</v>
      </c>
      <c r="C53" s="33">
        <f>Energies!B7</f>
        <v>7.8299999999999995E-2</v>
      </c>
      <c r="D53" s="37"/>
    </row>
    <row r="54" spans="1:5" x14ac:dyDescent="0.3">
      <c r="B54" t="s">
        <v>83</v>
      </c>
    </row>
    <row r="55" spans="1:5" x14ac:dyDescent="0.3">
      <c r="B55" t="s">
        <v>235</v>
      </c>
      <c r="C55" s="37">
        <v>1.12964</v>
      </c>
    </row>
    <row r="56" spans="1:5" x14ac:dyDescent="0.3">
      <c r="B56" t="s">
        <v>236</v>
      </c>
      <c r="C56" s="28">
        <v>0.2</v>
      </c>
      <c r="D56" s="28"/>
      <c r="E56" s="28"/>
    </row>
    <row r="57" spans="1:5" x14ac:dyDescent="0.3">
      <c r="B57" t="s">
        <v>309</v>
      </c>
      <c r="C57">
        <v>6</v>
      </c>
      <c r="D57" t="s">
        <v>311</v>
      </c>
    </row>
    <row r="58" spans="1:5" x14ac:dyDescent="0.3">
      <c r="B58" t="s">
        <v>356</v>
      </c>
      <c r="C58" s="25">
        <f>SUM(E3:E38)</f>
        <v>122669.88090523001</v>
      </c>
    </row>
    <row r="59" spans="1:5" x14ac:dyDescent="0.3">
      <c r="B59" t="s">
        <v>357</v>
      </c>
      <c r="C59" s="25">
        <f>C58/SUM(Manpower!B26:I26)</f>
        <v>12.497695550383073</v>
      </c>
    </row>
  </sheetData>
  <mergeCells count="6">
    <mergeCell ref="G1:L1"/>
    <mergeCell ref="P1:R1"/>
    <mergeCell ref="A1:C1"/>
    <mergeCell ref="T1:V1"/>
    <mergeCell ref="A41:C41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baseColWidth="10" defaultRowHeight="14.4" x14ac:dyDescent="0.3"/>
  <cols>
    <col min="1" max="1" width="49.88671875" bestFit="1" customWidth="1"/>
  </cols>
  <sheetData>
    <row r="1" spans="1:2" x14ac:dyDescent="0.3">
      <c r="A1" t="s">
        <v>24</v>
      </c>
      <c r="B1" s="22" t="s">
        <v>203</v>
      </c>
    </row>
    <row r="2" spans="1:2" x14ac:dyDescent="0.3">
      <c r="B2" t="s">
        <v>347</v>
      </c>
    </row>
    <row r="3" spans="1:2" x14ac:dyDescent="0.3">
      <c r="B3" t="s">
        <v>348</v>
      </c>
    </row>
    <row r="4" spans="1:2" x14ac:dyDescent="0.3">
      <c r="A4" t="s">
        <v>343</v>
      </c>
      <c r="B4">
        <v>38.64</v>
      </c>
    </row>
    <row r="5" spans="1:2" x14ac:dyDescent="0.3">
      <c r="A5" t="s">
        <v>344</v>
      </c>
      <c r="B5">
        <f>24*0.8*3+16</f>
        <v>73.600000000000009</v>
      </c>
    </row>
    <row r="6" spans="1:2" x14ac:dyDescent="0.3">
      <c r="A6" t="s">
        <v>343</v>
      </c>
      <c r="B6" s="2">
        <f>B5*B4</f>
        <v>2843.9040000000005</v>
      </c>
    </row>
    <row r="7" spans="1:2" x14ac:dyDescent="0.3">
      <c r="A7" t="s">
        <v>204</v>
      </c>
      <c r="B7" s="30">
        <v>7.8299999999999995E-2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6" sqref="B26"/>
    </sheetView>
  </sheetViews>
  <sheetFormatPr baseColWidth="10" defaultRowHeight="14.4" x14ac:dyDescent="0.3"/>
  <cols>
    <col min="1" max="1" width="28.33203125" bestFit="1" customWidth="1"/>
    <col min="5" max="5" width="11.88671875" bestFit="1" customWidth="1"/>
  </cols>
  <sheetData>
    <row r="1" spans="1:6" x14ac:dyDescent="0.3">
      <c r="A1" t="s">
        <v>31</v>
      </c>
      <c r="B1" t="s">
        <v>247</v>
      </c>
      <c r="C1" t="s">
        <v>248</v>
      </c>
      <c r="D1" t="s">
        <v>249</v>
      </c>
      <c r="E1" t="s">
        <v>250</v>
      </c>
      <c r="F1" t="s">
        <v>260</v>
      </c>
    </row>
    <row r="2" spans="1:6" x14ac:dyDescent="0.3">
      <c r="A2" t="s">
        <v>163</v>
      </c>
      <c r="B2" t="s">
        <v>159</v>
      </c>
      <c r="D2" s="27">
        <v>149</v>
      </c>
      <c r="E2" s="25">
        <f>D2*(1-General!$C$56)</f>
        <v>119.2</v>
      </c>
      <c r="F2" s="22" t="s">
        <v>158</v>
      </c>
    </row>
    <row r="3" spans="1:6" x14ac:dyDescent="0.3">
      <c r="A3" t="s">
        <v>161</v>
      </c>
      <c r="B3">
        <v>0.01</v>
      </c>
      <c r="D3" s="27">
        <v>129</v>
      </c>
      <c r="E3" s="25">
        <f>D3*(1-General!$C$56)</f>
        <v>103.2</v>
      </c>
      <c r="F3" t="s">
        <v>160</v>
      </c>
    </row>
    <row r="4" spans="1:6" x14ac:dyDescent="0.3">
      <c r="A4" t="s">
        <v>42</v>
      </c>
      <c r="B4">
        <v>0.01</v>
      </c>
      <c r="D4" s="27">
        <v>60</v>
      </c>
      <c r="E4" s="25">
        <f>D4*(1-General!$C$56)</f>
        <v>48</v>
      </c>
      <c r="F4" t="s">
        <v>162</v>
      </c>
    </row>
    <row r="5" spans="1:6" x14ac:dyDescent="0.3">
      <c r="E5" s="25"/>
    </row>
    <row r="6" spans="1:6" x14ac:dyDescent="0.3">
      <c r="A6" t="s">
        <v>165</v>
      </c>
      <c r="D6" s="27">
        <v>392</v>
      </c>
      <c r="E6" s="25">
        <f>D6*(1-General!$C$56)</f>
        <v>313.60000000000002</v>
      </c>
      <c r="F6" t="s">
        <v>164</v>
      </c>
    </row>
    <row r="7" spans="1:6" x14ac:dyDescent="0.3">
      <c r="A7" t="s">
        <v>169</v>
      </c>
      <c r="D7" s="27">
        <v>167</v>
      </c>
      <c r="E7" s="25">
        <f>D7*(1-General!$C$56)</f>
        <v>133.6</v>
      </c>
      <c r="F7" t="s">
        <v>166</v>
      </c>
    </row>
    <row r="8" spans="1:6" x14ac:dyDescent="0.3">
      <c r="A8" t="s">
        <v>168</v>
      </c>
      <c r="D8" s="27">
        <v>94</v>
      </c>
      <c r="E8" s="25">
        <f>D8*(1-General!$C$56)</f>
        <v>75.2</v>
      </c>
      <c r="F8" t="s">
        <v>167</v>
      </c>
    </row>
    <row r="9" spans="1:6" x14ac:dyDescent="0.3">
      <c r="E9" s="25"/>
    </row>
    <row r="10" spans="1:6" x14ac:dyDescent="0.3">
      <c r="A10" t="s">
        <v>170</v>
      </c>
      <c r="D10" s="27">
        <v>282</v>
      </c>
      <c r="E10" s="25">
        <f>D10*(1-General!$C$56)</f>
        <v>225.60000000000002</v>
      </c>
      <c r="F10" t="s">
        <v>171</v>
      </c>
    </row>
    <row r="11" spans="1:6" x14ac:dyDescent="0.3">
      <c r="A11" t="s">
        <v>173</v>
      </c>
      <c r="D11" s="27">
        <v>408</v>
      </c>
      <c r="E11" s="25">
        <f>D11*(1-General!$C$56)</f>
        <v>326.40000000000003</v>
      </c>
    </row>
    <row r="12" spans="1:6" x14ac:dyDescent="0.3">
      <c r="A12" t="s">
        <v>174</v>
      </c>
      <c r="D12" s="27">
        <v>3322</v>
      </c>
      <c r="E12" s="25">
        <f>D12*(1-General!$C$56)</f>
        <v>2657.6000000000004</v>
      </c>
      <c r="F12" t="s">
        <v>172</v>
      </c>
    </row>
    <row r="13" spans="1:6" x14ac:dyDescent="0.3">
      <c r="E13" s="25"/>
    </row>
    <row r="14" spans="1:6" x14ac:dyDescent="0.3">
      <c r="A14" t="s">
        <v>175</v>
      </c>
      <c r="B14" t="s">
        <v>176</v>
      </c>
      <c r="D14" s="27">
        <v>1390</v>
      </c>
      <c r="E14" s="25">
        <f>D14*(1-General!$C$56)</f>
        <v>1112</v>
      </c>
      <c r="F14" t="s">
        <v>177</v>
      </c>
    </row>
    <row r="15" spans="1:6" x14ac:dyDescent="0.3">
      <c r="B15" t="s">
        <v>179</v>
      </c>
      <c r="D15" s="27">
        <v>1202</v>
      </c>
      <c r="E15" s="25">
        <f>D15*(1-General!$C$56)</f>
        <v>961.6</v>
      </c>
      <c r="F15" t="s">
        <v>178</v>
      </c>
    </row>
    <row r="16" spans="1:6" x14ac:dyDescent="0.3">
      <c r="B16" t="s">
        <v>181</v>
      </c>
      <c r="D16" s="27">
        <v>146</v>
      </c>
      <c r="E16" s="25">
        <f>D16*(1-General!$C$56)</f>
        <v>116.80000000000001</v>
      </c>
      <c r="F16" t="s">
        <v>180</v>
      </c>
    </row>
    <row r="17" spans="1:6" x14ac:dyDescent="0.3">
      <c r="B17" t="s">
        <v>183</v>
      </c>
      <c r="D17" s="27">
        <v>162</v>
      </c>
      <c r="E17" s="25">
        <f>D17*(1-General!$C$56)</f>
        <v>129.6</v>
      </c>
      <c r="F17" t="s">
        <v>182</v>
      </c>
    </row>
    <row r="18" spans="1:6" x14ac:dyDescent="0.3">
      <c r="A18" t="s">
        <v>41</v>
      </c>
      <c r="B18" t="s">
        <v>185</v>
      </c>
      <c r="D18" s="27">
        <v>1623</v>
      </c>
      <c r="E18" s="25">
        <f>D18*(1-General!$C$56)</f>
        <v>1298.4000000000001</v>
      </c>
      <c r="F18" s="22" t="s">
        <v>184</v>
      </c>
    </row>
    <row r="19" spans="1:6" x14ac:dyDescent="0.3">
      <c r="B19" s="26" t="s">
        <v>251</v>
      </c>
      <c r="D19" s="27">
        <v>675</v>
      </c>
      <c r="E19" s="25">
        <f>D19*(1-General!$C$56)</f>
        <v>540</v>
      </c>
      <c r="F19" t="s">
        <v>252</v>
      </c>
    </row>
    <row r="20" spans="1:6" x14ac:dyDescent="0.3">
      <c r="B20" s="26"/>
      <c r="E20" s="25"/>
    </row>
    <row r="21" spans="1:6" x14ac:dyDescent="0.3">
      <c r="A21" t="s">
        <v>186</v>
      </c>
      <c r="B21" t="s">
        <v>188</v>
      </c>
      <c r="C21" s="32">
        <v>348</v>
      </c>
      <c r="D21" s="33">
        <f>Metrology!C21/(General!C55)</f>
        <v>308.06274565348252</v>
      </c>
      <c r="E21" s="25">
        <f>D21*(1-General!$C$56)</f>
        <v>246.45019652278603</v>
      </c>
      <c r="F21" s="22" t="s">
        <v>187</v>
      </c>
    </row>
    <row r="23" spans="1:6" x14ac:dyDescent="0.3">
      <c r="A23" t="s">
        <v>297</v>
      </c>
      <c r="B23" t="s">
        <v>298</v>
      </c>
      <c r="E23" s="2">
        <v>48334.81</v>
      </c>
      <c r="F23" t="s">
        <v>296</v>
      </c>
    </row>
    <row r="25" spans="1:6" x14ac:dyDescent="0.3">
      <c r="A25" t="s">
        <v>301</v>
      </c>
      <c r="B25" t="s">
        <v>302</v>
      </c>
      <c r="E25" s="2">
        <v>5390</v>
      </c>
      <c r="F25" t="s">
        <v>300</v>
      </c>
    </row>
  </sheetData>
  <hyperlinks>
    <hyperlink ref="F2" r:id="rId1"/>
    <hyperlink ref="F21" r:id="rId2"/>
    <hyperlink ref="F1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32" sqref="E32"/>
    </sheetView>
  </sheetViews>
  <sheetFormatPr baseColWidth="10" defaultRowHeight="14.4" x14ac:dyDescent="0.3"/>
  <cols>
    <col min="1" max="1" width="30" bestFit="1" customWidth="1"/>
    <col min="6" max="6" width="11.88671875" bestFit="1" customWidth="1"/>
  </cols>
  <sheetData>
    <row r="1" spans="1:7" x14ac:dyDescent="0.3">
      <c r="A1" t="s">
        <v>31</v>
      </c>
      <c r="B1" t="s">
        <v>283</v>
      </c>
      <c r="C1" t="s">
        <v>282</v>
      </c>
      <c r="D1" t="s">
        <v>281</v>
      </c>
      <c r="E1" t="s">
        <v>249</v>
      </c>
      <c r="F1" t="s">
        <v>250</v>
      </c>
      <c r="G1" t="s">
        <v>260</v>
      </c>
    </row>
    <row r="2" spans="1:7" x14ac:dyDescent="0.3">
      <c r="A2" t="s">
        <v>115</v>
      </c>
      <c r="D2" s="32">
        <v>1295</v>
      </c>
      <c r="F2" s="2">
        <f>D2/General!C55</f>
        <v>1146.3829184518961</v>
      </c>
      <c r="G2" s="22" t="s">
        <v>116</v>
      </c>
    </row>
    <row r="3" spans="1:7" x14ac:dyDescent="0.3">
      <c r="A3" t="s">
        <v>119</v>
      </c>
      <c r="D3" s="32">
        <v>13995</v>
      </c>
      <c r="F3" s="2">
        <f>D3/General!C55</f>
        <v>12388.902659254276</v>
      </c>
      <c r="G3" t="s">
        <v>117</v>
      </c>
    </row>
    <row r="4" spans="1:7" x14ac:dyDescent="0.3">
      <c r="A4" t="s">
        <v>133</v>
      </c>
      <c r="D4" s="32">
        <v>395</v>
      </c>
      <c r="F4" s="2">
        <f>D4/General!C55</f>
        <v>349.66892107220002</v>
      </c>
      <c r="G4" s="22" t="s">
        <v>132</v>
      </c>
    </row>
    <row r="5" spans="1:7" x14ac:dyDescent="0.3">
      <c r="F5" s="2"/>
    </row>
    <row r="6" spans="1:7" x14ac:dyDescent="0.3">
      <c r="A6" t="s">
        <v>284</v>
      </c>
      <c r="B6" t="s">
        <v>285</v>
      </c>
      <c r="C6" s="22"/>
      <c r="F6" s="2">
        <v>1079.0999999999999</v>
      </c>
      <c r="G6" s="22" t="s">
        <v>137</v>
      </c>
    </row>
    <row r="7" spans="1:7" x14ac:dyDescent="0.3">
      <c r="A7" t="s">
        <v>284</v>
      </c>
      <c r="B7" t="s">
        <v>286</v>
      </c>
      <c r="C7" s="22"/>
      <c r="E7" s="2">
        <v>2041.73</v>
      </c>
      <c r="F7" s="2">
        <f>E7*(1-General!C56)</f>
        <v>1633.384</v>
      </c>
      <c r="G7" s="22" t="s">
        <v>258</v>
      </c>
    </row>
    <row r="9" spans="1:7" x14ac:dyDescent="0.3">
      <c r="A9" t="s">
        <v>138</v>
      </c>
      <c r="B9" t="s">
        <v>139</v>
      </c>
      <c r="F9" s="2">
        <v>283.8</v>
      </c>
      <c r="G9" s="22" t="s">
        <v>140</v>
      </c>
    </row>
    <row r="10" spans="1:7" x14ac:dyDescent="0.3">
      <c r="B10" t="s">
        <v>141</v>
      </c>
      <c r="F10" s="2">
        <v>173.75</v>
      </c>
      <c r="G10" s="22" t="s">
        <v>142</v>
      </c>
    </row>
    <row r="11" spans="1:7" x14ac:dyDescent="0.3">
      <c r="B11" s="26" t="s">
        <v>144</v>
      </c>
      <c r="C11" s="26"/>
      <c r="F11" s="2">
        <v>153.08000000000001</v>
      </c>
      <c r="G11" s="22" t="s">
        <v>143</v>
      </c>
    </row>
  </sheetData>
  <hyperlinks>
    <hyperlink ref="G6" r:id="rId1"/>
    <hyperlink ref="G7" r:id="rId2"/>
    <hyperlink ref="G2" r:id="rId3"/>
    <hyperlink ref="G4" r:id="rId4"/>
    <hyperlink ref="G9" r:id="rId5"/>
    <hyperlink ref="G10" r:id="rId6"/>
    <hyperlink ref="G11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B26" sqref="B26:I26"/>
    </sheetView>
  </sheetViews>
  <sheetFormatPr baseColWidth="10" defaultRowHeight="14.4" x14ac:dyDescent="0.3"/>
  <cols>
    <col min="1" max="1" width="43.6640625" bestFit="1" customWidth="1"/>
    <col min="2" max="2" width="11.88671875" bestFit="1" customWidth="1"/>
    <col min="3" max="3" width="21.5546875" bestFit="1" customWidth="1"/>
    <col min="4" max="4" width="12.44140625" bestFit="1" customWidth="1"/>
    <col min="5" max="5" width="19" bestFit="1" customWidth="1"/>
    <col min="6" max="6" width="25.88671875" bestFit="1" customWidth="1"/>
    <col min="7" max="7" width="27.88671875" bestFit="1" customWidth="1"/>
    <col min="8" max="8" width="19.44140625" bestFit="1" customWidth="1"/>
    <col min="9" max="9" width="10.109375" bestFit="1" customWidth="1"/>
    <col min="10" max="10" width="12.5546875" bestFit="1" customWidth="1"/>
    <col min="11" max="11" width="9" bestFit="1" customWidth="1"/>
    <col min="13" max="13" width="18" bestFit="1" customWidth="1"/>
    <col min="14" max="14" width="19.44140625" bestFit="1" customWidth="1"/>
    <col min="16" max="16" width="12.5546875" bestFit="1" customWidth="1"/>
  </cols>
  <sheetData>
    <row r="1" spans="1:8" x14ac:dyDescent="0.3">
      <c r="A1" t="s">
        <v>190</v>
      </c>
      <c r="B1" s="22" t="s">
        <v>147</v>
      </c>
    </row>
    <row r="2" spans="1:8" x14ac:dyDescent="0.3">
      <c r="A2" t="s">
        <v>191</v>
      </c>
      <c r="B2" s="22" t="s">
        <v>148</v>
      </c>
    </row>
    <row r="4" spans="1:8" x14ac:dyDescent="0.3">
      <c r="B4" t="s">
        <v>193</v>
      </c>
      <c r="C4" t="s">
        <v>194</v>
      </c>
      <c r="D4" t="s">
        <v>337</v>
      </c>
      <c r="F4" t="s">
        <v>333</v>
      </c>
      <c r="G4" t="s">
        <v>330</v>
      </c>
      <c r="H4" t="s">
        <v>331</v>
      </c>
    </row>
    <row r="5" spans="1:8" x14ac:dyDescent="0.3">
      <c r="A5" t="s">
        <v>192</v>
      </c>
      <c r="B5" s="2">
        <v>1592</v>
      </c>
      <c r="C5" s="2">
        <v>21376</v>
      </c>
      <c r="D5" s="2">
        <f>C5*0.9</f>
        <v>19238.400000000001</v>
      </c>
      <c r="F5">
        <v>4</v>
      </c>
      <c r="G5" s="24">
        <f>C5*0.1*F5</f>
        <v>8550.4</v>
      </c>
      <c r="H5" s="24">
        <f>C5*0.9/$B$28</f>
        <v>13.393483709273186</v>
      </c>
    </row>
    <row r="6" spans="1:8" x14ac:dyDescent="0.3">
      <c r="A6" t="s">
        <v>291</v>
      </c>
      <c r="B6" s="2">
        <v>2438</v>
      </c>
      <c r="C6" s="2">
        <v>39809</v>
      </c>
      <c r="D6" s="2">
        <f t="shared" ref="D6:D7" si="0">C6*0.9</f>
        <v>35828.1</v>
      </c>
      <c r="F6">
        <v>3</v>
      </c>
      <c r="G6" s="24">
        <f>C6*0.1*F6</f>
        <v>11942.7</v>
      </c>
      <c r="H6" s="24">
        <f>C6*0.9/$B$28</f>
        <v>24.942982456140353</v>
      </c>
    </row>
    <row r="7" spans="1:8" x14ac:dyDescent="0.3">
      <c r="A7" t="s">
        <v>292</v>
      </c>
      <c r="B7" s="2">
        <v>4104</v>
      </c>
      <c r="C7" s="2">
        <v>69843</v>
      </c>
      <c r="D7" s="2">
        <f t="shared" si="0"/>
        <v>62858.700000000004</v>
      </c>
      <c r="F7">
        <v>0.6</v>
      </c>
      <c r="G7" s="24">
        <f>C7*0.1*F7</f>
        <v>4190.58</v>
      </c>
      <c r="H7" s="24">
        <f>C7*0.9/$B$28</f>
        <v>43.761278195488728</v>
      </c>
    </row>
    <row r="8" spans="1:8" x14ac:dyDescent="0.3">
      <c r="E8" t="s">
        <v>319</v>
      </c>
      <c r="F8">
        <f>SUM(F7+F6+F5)</f>
        <v>7.6</v>
      </c>
      <c r="G8" s="2">
        <f>SUM(G7+G6+G5)</f>
        <v>24683.68</v>
      </c>
    </row>
    <row r="10" spans="1:8" x14ac:dyDescent="0.3">
      <c r="A10" t="s">
        <v>196</v>
      </c>
      <c r="B10" s="22" t="s">
        <v>195</v>
      </c>
    </row>
    <row r="11" spans="1:8" x14ac:dyDescent="0.3">
      <c r="A11" t="s">
        <v>197</v>
      </c>
      <c r="B11">
        <v>365</v>
      </c>
    </row>
    <row r="12" spans="1:8" x14ac:dyDescent="0.3">
      <c r="A12" t="s">
        <v>198</v>
      </c>
      <c r="B12">
        <v>104</v>
      </c>
    </row>
    <row r="13" spans="1:8" x14ac:dyDescent="0.3">
      <c r="A13" t="s">
        <v>199</v>
      </c>
      <c r="B13">
        <v>8</v>
      </c>
    </row>
    <row r="14" spans="1:8" x14ac:dyDescent="0.3">
      <c r="A14" t="s">
        <v>200</v>
      </c>
      <c r="B14">
        <v>25</v>
      </c>
    </row>
    <row r="15" spans="1:8" x14ac:dyDescent="0.3">
      <c r="A15" t="s">
        <v>201</v>
      </c>
      <c r="B15">
        <f>B11-B12-B13-B14</f>
        <v>228</v>
      </c>
    </row>
    <row r="16" spans="1:8" x14ac:dyDescent="0.3">
      <c r="A16" t="s">
        <v>202</v>
      </c>
      <c r="B16" s="29">
        <f>B15/5</f>
        <v>45.6</v>
      </c>
    </row>
    <row r="21" spans="1:11" x14ac:dyDescent="0.3">
      <c r="B21" t="s">
        <v>320</v>
      </c>
      <c r="C21" t="s">
        <v>321</v>
      </c>
      <c r="D21" t="s">
        <v>25</v>
      </c>
      <c r="E21" t="s">
        <v>322</v>
      </c>
      <c r="F21" t="s">
        <v>323</v>
      </c>
      <c r="G21" t="s">
        <v>324</v>
      </c>
      <c r="H21" t="s">
        <v>325</v>
      </c>
      <c r="I21" t="s">
        <v>40</v>
      </c>
      <c r="J21" t="s">
        <v>27</v>
      </c>
      <c r="K21" t="s">
        <v>327</v>
      </c>
    </row>
    <row r="22" spans="1:11" x14ac:dyDescent="0.3">
      <c r="A22" t="s">
        <v>192</v>
      </c>
      <c r="B22">
        <v>0.85</v>
      </c>
      <c r="C22">
        <v>0.85</v>
      </c>
      <c r="D22">
        <v>0.85</v>
      </c>
      <c r="E22">
        <v>0.85</v>
      </c>
      <c r="H22">
        <v>0.2</v>
      </c>
      <c r="I22">
        <v>0.2</v>
      </c>
      <c r="J22">
        <v>0.2</v>
      </c>
      <c r="K22">
        <f>SUM(B22:J22)</f>
        <v>4</v>
      </c>
    </row>
    <row r="23" spans="1:11" x14ac:dyDescent="0.3">
      <c r="A23" t="s">
        <v>291</v>
      </c>
      <c r="F23">
        <v>0.9</v>
      </c>
      <c r="G23">
        <v>0.9</v>
      </c>
      <c r="H23">
        <v>0.4</v>
      </c>
      <c r="I23">
        <v>0.7</v>
      </c>
      <c r="J23">
        <v>0.1</v>
      </c>
      <c r="K23">
        <f t="shared" ref="K23:K25" si="1">SUM(B23:J23)</f>
        <v>3.0000000000000004</v>
      </c>
    </row>
    <row r="24" spans="1:11" x14ac:dyDescent="0.3">
      <c r="A24" t="s">
        <v>292</v>
      </c>
      <c r="H24">
        <v>0.3</v>
      </c>
      <c r="I24">
        <v>0.2</v>
      </c>
      <c r="J24">
        <v>0.1</v>
      </c>
      <c r="K24">
        <f t="shared" si="1"/>
        <v>0.6</v>
      </c>
    </row>
    <row r="25" spans="1:11" x14ac:dyDescent="0.3">
      <c r="A25" t="s">
        <v>328</v>
      </c>
      <c r="B25">
        <f t="shared" ref="B25:J25" si="2">$B$28*SUM(B22:B24)</f>
        <v>1220.9399999999998</v>
      </c>
      <c r="C25">
        <f t="shared" si="2"/>
        <v>1220.9399999999998</v>
      </c>
      <c r="D25">
        <f t="shared" si="2"/>
        <v>1220.9399999999998</v>
      </c>
      <c r="E25">
        <f t="shared" si="2"/>
        <v>1220.9399999999998</v>
      </c>
      <c r="F25">
        <f t="shared" si="2"/>
        <v>1292.76</v>
      </c>
      <c r="G25">
        <f t="shared" si="2"/>
        <v>1292.76</v>
      </c>
      <c r="H25">
        <f t="shared" si="2"/>
        <v>1292.76</v>
      </c>
      <c r="I25">
        <f t="shared" si="2"/>
        <v>1580.0399999999997</v>
      </c>
      <c r="J25">
        <f t="shared" si="2"/>
        <v>574.55999999999995</v>
      </c>
      <c r="K25">
        <f t="shared" si="1"/>
        <v>10916.639999999998</v>
      </c>
    </row>
    <row r="26" spans="1:11" x14ac:dyDescent="0.3">
      <c r="A26" t="s">
        <v>329</v>
      </c>
      <c r="B26">
        <f>General!$C$49*General!$C$48*General!$C$47</f>
        <v>1197</v>
      </c>
      <c r="C26">
        <f>General!$C$49*General!$C$48*General!$C$47</f>
        <v>1197</v>
      </c>
      <c r="D26">
        <f>General!$C$49*General!$C$48*General!$C$47</f>
        <v>1197</v>
      </c>
      <c r="E26">
        <f>General!$C$49*General!$C$48*General!$C$47</f>
        <v>1197</v>
      </c>
      <c r="F26">
        <f>General!$C$49*General!$C$48*General!$C$47</f>
        <v>1197</v>
      </c>
      <c r="G26">
        <f>General!$C$49*General!$C$48*General!$C$47</f>
        <v>1197</v>
      </c>
      <c r="H26">
        <f>0.4*B26*2+0.2*D26</f>
        <v>1197</v>
      </c>
      <c r="I26">
        <f>0.4*B26*3</f>
        <v>1436.4</v>
      </c>
      <c r="J26">
        <f>0.06*General!C47*General!C48*General!C57</f>
        <v>574.56000000000006</v>
      </c>
      <c r="K26">
        <f>SUM(B26:J26)</f>
        <v>10389.959999999999</v>
      </c>
    </row>
    <row r="28" spans="1:11" x14ac:dyDescent="0.3">
      <c r="A28" t="s">
        <v>332</v>
      </c>
      <c r="B28">
        <f>General!$C$50*General!$C$48*General!$C$47</f>
        <v>1436.3999999999999</v>
      </c>
    </row>
    <row r="30" spans="1:11" x14ac:dyDescent="0.3">
      <c r="A30" t="s">
        <v>336</v>
      </c>
      <c r="B30" s="24">
        <f>SUMPRODUCT(D5:D7*J22:J24)</f>
        <v>13716.36</v>
      </c>
    </row>
    <row r="31" spans="1:11" x14ac:dyDescent="0.3">
      <c r="B31" s="24"/>
    </row>
    <row r="32" spans="1:11" x14ac:dyDescent="0.3">
      <c r="B32" s="24"/>
    </row>
  </sheetData>
  <hyperlinks>
    <hyperlink ref="B1" r:id="rId1"/>
    <hyperlink ref="B2" r:id="rId2"/>
    <hyperlink ref="B10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baseColWidth="10" defaultRowHeight="14.4" x14ac:dyDescent="0.3"/>
  <cols>
    <col min="1" max="1" width="56" bestFit="1" customWidth="1"/>
    <col min="2" max="2" width="19" customWidth="1"/>
  </cols>
  <sheetData>
    <row r="1" spans="1:7" x14ac:dyDescent="0.3">
      <c r="A1" t="s">
        <v>31</v>
      </c>
      <c r="B1" t="s">
        <v>283</v>
      </c>
      <c r="C1" t="s">
        <v>282</v>
      </c>
      <c r="D1" t="s">
        <v>281</v>
      </c>
      <c r="E1" t="s">
        <v>249</v>
      </c>
      <c r="F1" t="s">
        <v>250</v>
      </c>
      <c r="G1" t="s">
        <v>260</v>
      </c>
    </row>
    <row r="2" spans="1:7" x14ac:dyDescent="0.3">
      <c r="A2" t="s">
        <v>145</v>
      </c>
      <c r="F2" s="2">
        <v>4386</v>
      </c>
      <c r="G2" t="s">
        <v>146</v>
      </c>
    </row>
    <row r="3" spans="1:7" x14ac:dyDescent="0.3">
      <c r="A3" t="s">
        <v>304</v>
      </c>
      <c r="F3" s="2">
        <v>922.6</v>
      </c>
      <c r="G3" t="s">
        <v>305</v>
      </c>
    </row>
    <row r="4" spans="1:7" x14ac:dyDescent="0.3">
      <c r="A4" t="s">
        <v>57</v>
      </c>
      <c r="F4" s="2">
        <v>3859.6</v>
      </c>
      <c r="G4" t="s">
        <v>306</v>
      </c>
    </row>
    <row r="5" spans="1:7" x14ac:dyDescent="0.3">
      <c r="A5" t="s">
        <v>228</v>
      </c>
      <c r="F5" s="2">
        <v>8579</v>
      </c>
      <c r="G5" t="s">
        <v>229</v>
      </c>
    </row>
    <row r="6" spans="1:7" x14ac:dyDescent="0.3">
      <c r="A6" t="s">
        <v>150</v>
      </c>
      <c r="F6" s="2">
        <v>146</v>
      </c>
      <c r="G6" t="s">
        <v>149</v>
      </c>
    </row>
    <row r="7" spans="1:7" x14ac:dyDescent="0.3">
      <c r="A7" t="s">
        <v>152</v>
      </c>
      <c r="F7" s="2">
        <v>50</v>
      </c>
      <c r="G7" t="s">
        <v>151</v>
      </c>
    </row>
    <row r="8" spans="1:7" x14ac:dyDescent="0.3">
      <c r="F8" s="2"/>
    </row>
    <row r="9" spans="1:7" x14ac:dyDescent="0.3">
      <c r="A9" t="s">
        <v>154</v>
      </c>
      <c r="F9" s="2"/>
      <c r="G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/>
  </sheetViews>
  <sheetFormatPr baseColWidth="10" defaultRowHeight="14.4" x14ac:dyDescent="0.3"/>
  <cols>
    <col min="1" max="1" width="14.6640625" bestFit="1" customWidth="1"/>
    <col min="2" max="2" width="12.5546875" bestFit="1" customWidth="1"/>
    <col min="3" max="3" width="14.33203125" bestFit="1" customWidth="1"/>
    <col min="5" max="5" width="23.88671875" bestFit="1" customWidth="1"/>
    <col min="13" max="13" width="13.5546875" customWidth="1"/>
    <col min="14" max="14" width="15.21875" customWidth="1"/>
    <col min="15" max="15" width="12.5546875" customWidth="1"/>
    <col min="17" max="17" width="21.33203125" customWidth="1"/>
  </cols>
  <sheetData>
    <row r="1" spans="1:17" x14ac:dyDescent="0.3">
      <c r="A1" s="22" t="s">
        <v>5</v>
      </c>
    </row>
    <row r="2" spans="1:17" x14ac:dyDescent="0.3">
      <c r="A2" t="s">
        <v>0</v>
      </c>
      <c r="G2" t="s">
        <v>9</v>
      </c>
      <c r="M2" t="s">
        <v>6</v>
      </c>
    </row>
    <row r="3" spans="1:17" x14ac:dyDescent="0.3">
      <c r="A3" t="s">
        <v>4</v>
      </c>
      <c r="B3" t="s">
        <v>1</v>
      </c>
      <c r="C3" t="s">
        <v>2</v>
      </c>
      <c r="D3" t="s">
        <v>7</v>
      </c>
      <c r="E3" t="s">
        <v>3</v>
      </c>
      <c r="G3" t="s">
        <v>10</v>
      </c>
      <c r="H3" t="s">
        <v>11</v>
      </c>
      <c r="I3" t="s">
        <v>7</v>
      </c>
      <c r="J3" t="s">
        <v>3</v>
      </c>
      <c r="M3" t="s">
        <v>4</v>
      </c>
      <c r="N3" t="s">
        <v>1</v>
      </c>
      <c r="O3" t="s">
        <v>2</v>
      </c>
      <c r="P3" t="s">
        <v>7</v>
      </c>
      <c r="Q3" t="s">
        <v>3</v>
      </c>
    </row>
    <row r="4" spans="1:17" x14ac:dyDescent="0.3">
      <c r="A4">
        <v>32</v>
      </c>
      <c r="B4">
        <v>32</v>
      </c>
      <c r="C4">
        <v>550</v>
      </c>
      <c r="D4" s="2">
        <v>23.26</v>
      </c>
      <c r="E4" s="1">
        <f>D4/(A4*B4*C4)</f>
        <v>4.1299715909090912E-5</v>
      </c>
      <c r="G4">
        <v>10</v>
      </c>
      <c r="H4">
        <v>500</v>
      </c>
      <c r="I4" s="2">
        <v>5.14</v>
      </c>
      <c r="J4" s="1">
        <f>I4/(PI()*G4^2*H4)</f>
        <v>3.2722256299693677E-5</v>
      </c>
      <c r="M4">
        <v>40</v>
      </c>
      <c r="N4">
        <v>40</v>
      </c>
      <c r="O4">
        <v>80</v>
      </c>
      <c r="P4" s="2">
        <v>5.2</v>
      </c>
      <c r="Q4" s="1">
        <f>P4/(M4*N4*O4)</f>
        <v>4.0624999999999998E-5</v>
      </c>
    </row>
    <row r="5" spans="1:17" x14ac:dyDescent="0.3">
      <c r="A5">
        <v>32</v>
      </c>
      <c r="B5">
        <v>50</v>
      </c>
      <c r="C5">
        <v>360</v>
      </c>
      <c r="D5" s="2">
        <v>20.56</v>
      </c>
      <c r="E5" s="1">
        <f t="shared" ref="E5:E11" si="0">D5/(A5*B5*C5)</f>
        <v>3.5694444444444444E-5</v>
      </c>
      <c r="G5">
        <v>20</v>
      </c>
      <c r="H5">
        <v>990</v>
      </c>
      <c r="I5" s="2">
        <v>17.13</v>
      </c>
      <c r="J5" s="1">
        <f t="shared" ref="J5:J11" si="1">I5/(PI()*G5^2*H5)</f>
        <v>1.3769314015980641E-5</v>
      </c>
      <c r="M5">
        <v>40</v>
      </c>
      <c r="N5">
        <v>40</v>
      </c>
      <c r="O5">
        <v>160</v>
      </c>
      <c r="P5" s="2">
        <v>9.18</v>
      </c>
      <c r="Q5" s="1">
        <f t="shared" ref="Q5:Q10" si="2">P5/(M5*N5*O5)</f>
        <v>3.5859374999999996E-5</v>
      </c>
    </row>
    <row r="6" spans="1:17" x14ac:dyDescent="0.3">
      <c r="A6">
        <v>32</v>
      </c>
      <c r="B6">
        <v>50</v>
      </c>
      <c r="C6">
        <v>550</v>
      </c>
      <c r="D6" s="2">
        <v>31.82</v>
      </c>
      <c r="E6" s="1">
        <f t="shared" si="0"/>
        <v>3.6159090909090908E-5</v>
      </c>
      <c r="G6">
        <v>25</v>
      </c>
      <c r="H6">
        <v>990</v>
      </c>
      <c r="I6" s="2">
        <v>26.99</v>
      </c>
      <c r="J6" s="1">
        <f t="shared" si="1"/>
        <v>1.388474154036446E-5</v>
      </c>
      <c r="M6">
        <v>40</v>
      </c>
      <c r="N6">
        <v>40</v>
      </c>
      <c r="O6">
        <v>500</v>
      </c>
      <c r="P6" s="2">
        <v>25.09</v>
      </c>
      <c r="Q6" s="1">
        <f t="shared" si="2"/>
        <v>3.1362499999999997E-5</v>
      </c>
    </row>
    <row r="7" spans="1:17" x14ac:dyDescent="0.3">
      <c r="A7">
        <v>32</v>
      </c>
      <c r="B7">
        <v>60</v>
      </c>
      <c r="C7">
        <v>265</v>
      </c>
      <c r="D7" s="2">
        <v>15.91</v>
      </c>
      <c r="E7" s="1">
        <f t="shared" si="0"/>
        <v>3.1269654088050312E-5</v>
      </c>
      <c r="G7">
        <v>30</v>
      </c>
      <c r="H7">
        <v>990</v>
      </c>
      <c r="I7" s="2">
        <v>34.28</v>
      </c>
      <c r="J7" s="1">
        <f t="shared" si="1"/>
        <v>1.2246535239484113E-5</v>
      </c>
      <c r="M7">
        <v>50</v>
      </c>
      <c r="N7">
        <v>50</v>
      </c>
      <c r="O7">
        <v>500</v>
      </c>
      <c r="P7" s="2">
        <v>41.62</v>
      </c>
      <c r="Q7" s="1">
        <f t="shared" si="2"/>
        <v>3.3296000000000001E-5</v>
      </c>
    </row>
    <row r="8" spans="1:17" x14ac:dyDescent="0.3">
      <c r="A8">
        <v>40</v>
      </c>
      <c r="B8">
        <v>120</v>
      </c>
      <c r="C8">
        <v>120</v>
      </c>
      <c r="D8" s="2">
        <v>21.85</v>
      </c>
      <c r="E8" s="1">
        <f t="shared" si="0"/>
        <v>3.7934027777777779E-5</v>
      </c>
      <c r="G8">
        <v>40</v>
      </c>
      <c r="H8">
        <v>160</v>
      </c>
      <c r="I8" s="2">
        <v>10.92</v>
      </c>
      <c r="J8" s="1">
        <f t="shared" si="1"/>
        <v>1.357790608252732E-5</v>
      </c>
      <c r="M8">
        <v>50</v>
      </c>
      <c r="N8">
        <v>50</v>
      </c>
      <c r="O8">
        <v>100</v>
      </c>
      <c r="P8" s="2">
        <v>9.18</v>
      </c>
      <c r="Q8" s="1">
        <f t="shared" si="2"/>
        <v>3.6720000000000001E-5</v>
      </c>
    </row>
    <row r="9" spans="1:17" x14ac:dyDescent="0.3">
      <c r="A9">
        <v>50</v>
      </c>
      <c r="B9">
        <v>100</v>
      </c>
      <c r="C9">
        <v>100</v>
      </c>
      <c r="D9" s="2">
        <v>17.989999999999998</v>
      </c>
      <c r="E9" s="1">
        <f t="shared" si="0"/>
        <v>3.5979999999999998E-5</v>
      </c>
      <c r="G9">
        <v>40</v>
      </c>
      <c r="H9">
        <v>500</v>
      </c>
      <c r="I9" s="2">
        <v>25.7</v>
      </c>
      <c r="J9" s="1">
        <f t="shared" si="1"/>
        <v>1.0225705093654274E-5</v>
      </c>
      <c r="M9">
        <v>60</v>
      </c>
      <c r="N9">
        <v>60</v>
      </c>
      <c r="O9">
        <v>500</v>
      </c>
      <c r="P9" s="2">
        <v>57.83</v>
      </c>
      <c r="Q9" s="1">
        <f t="shared" si="2"/>
        <v>3.2127777777777776E-5</v>
      </c>
    </row>
    <row r="10" spans="1:17" x14ac:dyDescent="0.3">
      <c r="A10">
        <v>50</v>
      </c>
      <c r="B10">
        <v>100</v>
      </c>
      <c r="C10">
        <v>300</v>
      </c>
      <c r="D10" s="2">
        <v>53.98</v>
      </c>
      <c r="E10" s="1">
        <f t="shared" si="0"/>
        <v>3.5986666666666665E-5</v>
      </c>
      <c r="G10">
        <v>40</v>
      </c>
      <c r="H10">
        <v>800</v>
      </c>
      <c r="I10" s="2">
        <v>43.7</v>
      </c>
      <c r="J10" s="1">
        <f t="shared" si="1"/>
        <v>1.0867298457993479E-5</v>
      </c>
      <c r="M10">
        <v>60</v>
      </c>
      <c r="N10">
        <v>60</v>
      </c>
      <c r="O10">
        <v>995</v>
      </c>
      <c r="P10" s="2">
        <v>119.95</v>
      </c>
      <c r="Q10" s="1">
        <f t="shared" si="2"/>
        <v>3.348687883863763E-5</v>
      </c>
    </row>
    <row r="11" spans="1:17" x14ac:dyDescent="0.3">
      <c r="A11">
        <v>50</v>
      </c>
      <c r="B11">
        <v>100</v>
      </c>
      <c r="C11">
        <v>500</v>
      </c>
      <c r="D11" s="2">
        <v>83.54</v>
      </c>
      <c r="E11" s="1">
        <f t="shared" si="0"/>
        <v>3.3416E-5</v>
      </c>
      <c r="G11">
        <v>50</v>
      </c>
      <c r="H11">
        <v>150</v>
      </c>
      <c r="I11" s="2">
        <v>14.69</v>
      </c>
      <c r="J11" s="1">
        <f t="shared" si="1"/>
        <v>1.2469259274773026E-5</v>
      </c>
      <c r="P11" t="s">
        <v>8</v>
      </c>
      <c r="Q11" s="1">
        <f>AVERAGE(Q4:Q10)</f>
        <v>3.478250451663077E-5</v>
      </c>
    </row>
    <row r="12" spans="1:17" x14ac:dyDescent="0.3">
      <c r="D12" t="s">
        <v>8</v>
      </c>
      <c r="E12" s="1">
        <f>AVERAGE(E4:E11)</f>
        <v>3.5967449974390129E-5</v>
      </c>
      <c r="I12" t="s">
        <v>8</v>
      </c>
      <c r="J12" s="1">
        <f>AVERAGE(J4:J11)</f>
        <v>1.4970377000558874E-5</v>
      </c>
    </row>
    <row r="14" spans="1:17" x14ac:dyDescent="0.3">
      <c r="A14" t="s">
        <v>360</v>
      </c>
      <c r="B14" t="s">
        <v>358</v>
      </c>
      <c r="M14" t="s">
        <v>6</v>
      </c>
      <c r="N14" t="s">
        <v>358</v>
      </c>
    </row>
    <row r="15" spans="1:17" x14ac:dyDescent="0.3">
      <c r="B15" t="s">
        <v>359</v>
      </c>
      <c r="C15" t="s">
        <v>2</v>
      </c>
      <c r="D15" t="s">
        <v>109</v>
      </c>
      <c r="E15" t="s">
        <v>3</v>
      </c>
      <c r="N15" t="s">
        <v>359</v>
      </c>
      <c r="O15" t="s">
        <v>2</v>
      </c>
      <c r="P15" t="s">
        <v>109</v>
      </c>
      <c r="Q15" t="s">
        <v>3</v>
      </c>
    </row>
    <row r="16" spans="1:17" x14ac:dyDescent="0.3">
      <c r="B16">
        <v>10</v>
      </c>
      <c r="C16">
        <v>500</v>
      </c>
      <c r="D16" s="2">
        <v>5.14</v>
      </c>
      <c r="E16" s="56">
        <f>D16/(PI()*(B16/2)^2*C16)</f>
        <v>1.3088902519877471E-4</v>
      </c>
      <c r="N16">
        <v>5</v>
      </c>
      <c r="O16">
        <v>500</v>
      </c>
      <c r="P16" s="2">
        <v>1.61</v>
      </c>
      <c r="Q16" s="56">
        <f>P16/(PI()*(N16/2)^2*O16)</f>
        <v>1.6399325336188895E-4</v>
      </c>
    </row>
    <row r="17" spans="1:17" x14ac:dyDescent="0.3">
      <c r="B17">
        <v>20</v>
      </c>
      <c r="C17">
        <v>500</v>
      </c>
      <c r="D17" s="2">
        <v>8.35</v>
      </c>
      <c r="E17" s="56">
        <f>D17/(PI()*(B17/2)^2*C17)</f>
        <v>5.3157750992693033E-5</v>
      </c>
      <c r="N17">
        <v>10</v>
      </c>
      <c r="O17">
        <v>500</v>
      </c>
      <c r="P17" s="2">
        <v>4.5</v>
      </c>
      <c r="Q17" s="56">
        <f>P17/(PI()*(N17/2)^2*O17)</f>
        <v>1.1459155902616463E-4</v>
      </c>
    </row>
    <row r="18" spans="1:17" x14ac:dyDescent="0.3">
      <c r="B18">
        <v>20</v>
      </c>
      <c r="C18">
        <v>990</v>
      </c>
      <c r="D18" s="2">
        <v>17.13</v>
      </c>
      <c r="E18" s="56">
        <f>D18/(PI()*(B18/2)^2*C18)</f>
        <v>5.5077256063922563E-5</v>
      </c>
      <c r="N18">
        <v>15</v>
      </c>
      <c r="O18">
        <v>500</v>
      </c>
      <c r="P18" s="2">
        <v>4.8</v>
      </c>
      <c r="Q18" s="56">
        <f t="shared" ref="Q18:Q21" si="3">P18/(PI()*(N18/2)^2*O18)</f>
        <v>5.432488724203361E-5</v>
      </c>
    </row>
    <row r="19" spans="1:17" x14ac:dyDescent="0.3">
      <c r="B19">
        <v>25</v>
      </c>
      <c r="C19">
        <v>500</v>
      </c>
      <c r="D19" s="2">
        <v>13.11</v>
      </c>
      <c r="E19" s="56">
        <f>D19/(PI()*(B19/2)^2*C19)</f>
        <v>5.3414945380729545E-5</v>
      </c>
      <c r="N19">
        <v>18</v>
      </c>
      <c r="O19">
        <v>500</v>
      </c>
      <c r="P19" s="2">
        <v>6.36</v>
      </c>
      <c r="Q19" s="56">
        <f t="shared" si="3"/>
        <v>4.9986441385898987E-5</v>
      </c>
    </row>
    <row r="20" spans="1:17" x14ac:dyDescent="0.3">
      <c r="B20">
        <v>25</v>
      </c>
      <c r="C20">
        <v>990</v>
      </c>
      <c r="D20" s="2">
        <v>26.99</v>
      </c>
      <c r="E20" s="56">
        <f>D20/(PI()*(B20/2)^2*C20)</f>
        <v>5.5538966161457841E-5</v>
      </c>
      <c r="N20">
        <v>22</v>
      </c>
      <c r="O20">
        <v>500</v>
      </c>
      <c r="P20" s="2">
        <v>8.4</v>
      </c>
      <c r="Q20" s="56">
        <f t="shared" si="3"/>
        <v>4.4195091635435405E-5</v>
      </c>
    </row>
    <row r="21" spans="1:17" x14ac:dyDescent="0.3">
      <c r="B21">
        <v>30</v>
      </c>
      <c r="C21">
        <v>500</v>
      </c>
      <c r="D21" s="2">
        <v>16.059999999999999</v>
      </c>
      <c r="E21" s="56">
        <f>D21/(PI()*(B21/2)^2*C21)</f>
        <v>4.5440504640992695E-5</v>
      </c>
      <c r="P21" t="s">
        <v>8</v>
      </c>
      <c r="Q21" s="56">
        <f>AVERAGE(Q16:Q20)</f>
        <v>8.541824653028432E-5</v>
      </c>
    </row>
    <row r="22" spans="1:17" x14ac:dyDescent="0.3">
      <c r="B22">
        <v>35</v>
      </c>
      <c r="C22">
        <v>500</v>
      </c>
      <c r="D22" s="2">
        <v>16.059999999999999</v>
      </c>
      <c r="E22" s="56">
        <f>D22/(PI()*(B22/2)^2*C22)</f>
        <v>3.338486055256606E-5</v>
      </c>
      <c r="P22" s="2"/>
    </row>
    <row r="23" spans="1:17" x14ac:dyDescent="0.3">
      <c r="D23" t="s">
        <v>8</v>
      </c>
      <c r="E23" s="56">
        <f>AVERAGE(E16:E22)</f>
        <v>6.0986186998733781E-5</v>
      </c>
    </row>
    <row r="26" spans="1:17" x14ac:dyDescent="0.3">
      <c r="A26" t="s">
        <v>361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21" sqref="E21"/>
    </sheetView>
  </sheetViews>
  <sheetFormatPr baseColWidth="10" defaultRowHeight="14.4" x14ac:dyDescent="0.3"/>
  <cols>
    <col min="1" max="1" width="46.33203125" bestFit="1" customWidth="1"/>
    <col min="2" max="2" width="17.44140625" bestFit="1" customWidth="1"/>
    <col min="3" max="3" width="23.6640625" bestFit="1" customWidth="1"/>
    <col min="4" max="4" width="23.6640625" customWidth="1"/>
  </cols>
  <sheetData>
    <row r="1" spans="1:5" x14ac:dyDescent="0.3">
      <c r="B1" t="s">
        <v>232</v>
      </c>
      <c r="C1" t="s">
        <v>231</v>
      </c>
      <c r="D1" t="s">
        <v>230</v>
      </c>
    </row>
    <row r="2" spans="1:5" x14ac:dyDescent="0.3">
      <c r="A2" t="s">
        <v>134</v>
      </c>
      <c r="B2" t="s">
        <v>233</v>
      </c>
      <c r="C2" s="2">
        <v>498</v>
      </c>
      <c r="D2" s="2">
        <f>C2*(1-General!$C$56)</f>
        <v>398.40000000000003</v>
      </c>
      <c r="E2" t="s">
        <v>135</v>
      </c>
    </row>
    <row r="3" spans="1:5" x14ac:dyDescent="0.3">
      <c r="A3" t="s">
        <v>136</v>
      </c>
      <c r="B3" t="s">
        <v>234</v>
      </c>
      <c r="C3" s="2"/>
      <c r="D3" s="2">
        <v>8.8000000000000007</v>
      </c>
      <c r="E3" t="s">
        <v>227</v>
      </c>
    </row>
    <row r="4" spans="1:5" x14ac:dyDescent="0.3">
      <c r="C4" s="2"/>
      <c r="D4" s="2"/>
    </row>
    <row r="5" spans="1:5" x14ac:dyDescent="0.3">
      <c r="A5" t="s">
        <v>207</v>
      </c>
      <c r="C5" s="2">
        <v>241.2</v>
      </c>
      <c r="D5" s="2">
        <f>C5*(1-General!$C$56)</f>
        <v>192.96</v>
      </c>
      <c r="E5" t="s">
        <v>208</v>
      </c>
    </row>
    <row r="6" spans="1:5" x14ac:dyDescent="0.3">
      <c r="A6" t="s">
        <v>213</v>
      </c>
      <c r="C6" s="2">
        <v>50</v>
      </c>
      <c r="D6" s="2">
        <f>C6*(1-General!$C$56)</f>
        <v>40</v>
      </c>
      <c r="E6" t="s">
        <v>214</v>
      </c>
    </row>
    <row r="7" spans="1:5" x14ac:dyDescent="0.3">
      <c r="A7" t="s">
        <v>216</v>
      </c>
      <c r="C7" s="2">
        <v>137.99</v>
      </c>
      <c r="D7" s="2">
        <f>C7*(1-General!$C$56)</f>
        <v>110.39200000000001</v>
      </c>
      <c r="E7" t="s">
        <v>215</v>
      </c>
    </row>
    <row r="8" spans="1:5" x14ac:dyDescent="0.3">
      <c r="A8" t="s">
        <v>239</v>
      </c>
      <c r="C8" s="2"/>
      <c r="D8" s="2">
        <v>23.6</v>
      </c>
      <c r="E8" t="s">
        <v>240</v>
      </c>
    </row>
    <row r="9" spans="1:5" x14ac:dyDescent="0.3">
      <c r="A9" t="s">
        <v>241</v>
      </c>
      <c r="C9" s="2"/>
      <c r="D9" s="2">
        <v>39.950000000000003</v>
      </c>
      <c r="E9" t="s">
        <v>242</v>
      </c>
    </row>
    <row r="10" spans="1:5" x14ac:dyDescent="0.3">
      <c r="C10" s="2"/>
      <c r="D10" s="2"/>
    </row>
    <row r="11" spans="1:5" x14ac:dyDescent="0.3">
      <c r="A11" t="s">
        <v>217</v>
      </c>
      <c r="C11" s="2">
        <v>2097.6</v>
      </c>
      <c r="D11" s="2">
        <f>C11*(1-General!$C$56)</f>
        <v>1678.08</v>
      </c>
      <c r="E11" t="s">
        <v>218</v>
      </c>
    </row>
    <row r="12" spans="1:5" x14ac:dyDescent="0.3">
      <c r="A12" t="s">
        <v>210</v>
      </c>
      <c r="C12" s="2">
        <v>2150.1</v>
      </c>
      <c r="D12" s="2">
        <f>C12*(1-General!$C$56)</f>
        <v>1720.08</v>
      </c>
      <c r="E12" t="s">
        <v>209</v>
      </c>
    </row>
    <row r="13" spans="1:5" x14ac:dyDescent="0.3">
      <c r="A13" t="s">
        <v>225</v>
      </c>
      <c r="C13" s="2">
        <v>620.4</v>
      </c>
      <c r="D13" s="2">
        <f>C13*(1-General!$C$56)</f>
        <v>496.32</v>
      </c>
      <c r="E13" t="s">
        <v>226</v>
      </c>
    </row>
    <row r="14" spans="1:5" x14ac:dyDescent="0.3">
      <c r="C14" s="2"/>
      <c r="D14" s="2"/>
    </row>
    <row r="15" spans="1:5" x14ac:dyDescent="0.3">
      <c r="A15" t="s">
        <v>212</v>
      </c>
      <c r="C15" s="2">
        <v>183.6</v>
      </c>
      <c r="D15" s="2">
        <f>C15*(1-General!$C$56)</f>
        <v>146.88</v>
      </c>
      <c r="E15" t="s">
        <v>211</v>
      </c>
    </row>
    <row r="16" spans="1:5" x14ac:dyDescent="0.3">
      <c r="A16" t="s">
        <v>220</v>
      </c>
      <c r="C16" s="2">
        <v>54</v>
      </c>
      <c r="D16" s="2">
        <f>C16*(1-General!$C$56)</f>
        <v>43.2</v>
      </c>
      <c r="E16" t="s">
        <v>219</v>
      </c>
    </row>
    <row r="17" spans="1:5" x14ac:dyDescent="0.3">
      <c r="A17" t="s">
        <v>221</v>
      </c>
      <c r="C17" s="2">
        <v>40.799999999999997</v>
      </c>
      <c r="D17" s="2">
        <f>C17*(1-General!$C$56)</f>
        <v>32.64</v>
      </c>
      <c r="E17" t="s">
        <v>222</v>
      </c>
    </row>
    <row r="18" spans="1:5" x14ac:dyDescent="0.3">
      <c r="A18" t="s">
        <v>223</v>
      </c>
      <c r="C18" s="2">
        <v>217.2</v>
      </c>
      <c r="D18" s="2">
        <f>C18*(1-General!$C$56)</f>
        <v>173.76</v>
      </c>
      <c r="E18" t="s">
        <v>224</v>
      </c>
    </row>
    <row r="20" spans="1:5" x14ac:dyDescent="0.3">
      <c r="A20" t="s">
        <v>245</v>
      </c>
      <c r="B20" t="s">
        <v>244</v>
      </c>
      <c r="D20" s="2">
        <v>102</v>
      </c>
      <c r="E20" t="s">
        <v>246</v>
      </c>
    </row>
    <row r="33" spans="2:2" x14ac:dyDescent="0.3">
      <c r="B33">
        <f>5600*0.4</f>
        <v>2240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6" sqref="F36"/>
    </sheetView>
  </sheetViews>
  <sheetFormatPr baseColWidth="10" defaultRowHeight="14.4" x14ac:dyDescent="0.3"/>
  <cols>
    <col min="1" max="1" width="51.5546875" bestFit="1" customWidth="1"/>
    <col min="2" max="2" width="12.88671875" bestFit="1" customWidth="1"/>
  </cols>
  <sheetData>
    <row r="1" spans="1:3" x14ac:dyDescent="0.3">
      <c r="A1" s="22" t="s">
        <v>12</v>
      </c>
    </row>
    <row r="2" spans="1:3" x14ac:dyDescent="0.3">
      <c r="A2" t="s">
        <v>84</v>
      </c>
      <c r="B2" s="2">
        <f>97625+10395</f>
        <v>108020</v>
      </c>
      <c r="C2" s="22" t="s">
        <v>86</v>
      </c>
    </row>
    <row r="3" spans="1:3" x14ac:dyDescent="0.3">
      <c r="A3" t="s">
        <v>85</v>
      </c>
    </row>
    <row r="4" spans="1:3" x14ac:dyDescent="0.3">
      <c r="A4" t="s">
        <v>87</v>
      </c>
      <c r="B4" t="s">
        <v>88</v>
      </c>
      <c r="C4">
        <v>1016</v>
      </c>
    </row>
    <row r="5" spans="1:3" x14ac:dyDescent="0.3">
      <c r="B5" t="s">
        <v>89</v>
      </c>
      <c r="C5">
        <v>660</v>
      </c>
    </row>
    <row r="6" spans="1:3" x14ac:dyDescent="0.3">
      <c r="B6" t="s">
        <v>90</v>
      </c>
      <c r="C6">
        <v>635</v>
      </c>
    </row>
    <row r="7" spans="1:3" x14ac:dyDescent="0.3">
      <c r="A7" t="s">
        <v>91</v>
      </c>
    </row>
    <row r="8" spans="1:3" x14ac:dyDescent="0.3">
      <c r="A8" t="s">
        <v>92</v>
      </c>
    </row>
    <row r="9" spans="1:3" x14ac:dyDescent="0.3">
      <c r="A9" t="s">
        <v>93</v>
      </c>
    </row>
    <row r="10" spans="1:3" x14ac:dyDescent="0.3">
      <c r="A10" t="s">
        <v>94</v>
      </c>
      <c r="B10" t="s">
        <v>88</v>
      </c>
      <c r="C10">
        <v>1372</v>
      </c>
    </row>
    <row r="11" spans="1:3" x14ac:dyDescent="0.3">
      <c r="B11" t="s">
        <v>89</v>
      </c>
      <c r="C11">
        <v>610</v>
      </c>
    </row>
    <row r="12" spans="1:3" x14ac:dyDescent="0.3">
      <c r="A12" t="s">
        <v>95</v>
      </c>
      <c r="B12" t="s">
        <v>96</v>
      </c>
    </row>
    <row r="13" spans="1:3" x14ac:dyDescent="0.3">
      <c r="A13" t="s">
        <v>97</v>
      </c>
      <c r="B13" t="s">
        <v>98</v>
      </c>
    </row>
    <row r="14" spans="1:3" x14ac:dyDescent="0.3">
      <c r="A14" t="s">
        <v>99</v>
      </c>
      <c r="B14" t="s">
        <v>100</v>
      </c>
    </row>
    <row r="15" spans="1:3" x14ac:dyDescent="0.3">
      <c r="A15" t="s">
        <v>101</v>
      </c>
      <c r="B15" t="s">
        <v>102</v>
      </c>
    </row>
    <row r="16" spans="1:3" x14ac:dyDescent="0.3">
      <c r="A16" t="s">
        <v>103</v>
      </c>
      <c r="B16" t="s">
        <v>104</v>
      </c>
    </row>
    <row r="17" spans="1:6" x14ac:dyDescent="0.3">
      <c r="A17" t="s">
        <v>28</v>
      </c>
      <c r="B17" t="s">
        <v>105</v>
      </c>
    </row>
    <row r="19" spans="1:6" x14ac:dyDescent="0.3">
      <c r="A19" t="s">
        <v>155</v>
      </c>
      <c r="B19" t="s">
        <v>156</v>
      </c>
      <c r="C19" t="s">
        <v>157</v>
      </c>
    </row>
    <row r="21" spans="1:6" x14ac:dyDescent="0.3">
      <c r="B21" t="s">
        <v>250</v>
      </c>
      <c r="C21" t="s">
        <v>259</v>
      </c>
      <c r="D21" t="s">
        <v>260</v>
      </c>
    </row>
    <row r="22" spans="1:6" x14ac:dyDescent="0.3">
      <c r="A22" t="s">
        <v>84</v>
      </c>
      <c r="B22" s="2">
        <f>97625+10395</f>
        <v>108020</v>
      </c>
      <c r="C22">
        <v>1</v>
      </c>
      <c r="D22" t="s">
        <v>261</v>
      </c>
    </row>
    <row r="23" spans="1:6" x14ac:dyDescent="0.3">
      <c r="A23" t="s">
        <v>155</v>
      </c>
      <c r="B23" s="2">
        <v>80</v>
      </c>
      <c r="C23">
        <v>40</v>
      </c>
      <c r="D23" t="s">
        <v>156</v>
      </c>
    </row>
    <row r="24" spans="1:6" x14ac:dyDescent="0.3">
      <c r="A24" t="s">
        <v>118</v>
      </c>
      <c r="B24" s="2">
        <v>2500</v>
      </c>
      <c r="C24">
        <v>1</v>
      </c>
      <c r="D24" s="22" t="s">
        <v>114</v>
      </c>
    </row>
    <row r="27" spans="1:6" x14ac:dyDescent="0.3">
      <c r="A27" t="s">
        <v>106</v>
      </c>
      <c r="B27" t="s">
        <v>113</v>
      </c>
    </row>
    <row r="28" spans="1:6" x14ac:dyDescent="0.3">
      <c r="B28" t="s">
        <v>108</v>
      </c>
      <c r="C28" t="s">
        <v>110</v>
      </c>
      <c r="D28" t="s">
        <v>109</v>
      </c>
      <c r="E28" t="s">
        <v>111</v>
      </c>
    </row>
    <row r="29" spans="1:6" x14ac:dyDescent="0.3">
      <c r="A29" t="s">
        <v>107</v>
      </c>
      <c r="B29" s="23">
        <v>0.04</v>
      </c>
      <c r="C29">
        <v>5</v>
      </c>
      <c r="D29" s="2">
        <v>79.52</v>
      </c>
      <c r="E29">
        <f>208*B29</f>
        <v>8.32</v>
      </c>
      <c r="F29" s="24">
        <f>$E$29*D29/C29</f>
        <v>132.32128</v>
      </c>
    </row>
    <row r="30" spans="1:6" x14ac:dyDescent="0.3">
      <c r="A30" t="s">
        <v>112</v>
      </c>
      <c r="C30">
        <v>20</v>
      </c>
      <c r="D30" s="2">
        <v>236.84</v>
      </c>
      <c r="F30" s="24">
        <f>$E$29*D30/C30</f>
        <v>98.525440000000003</v>
      </c>
    </row>
    <row r="31" spans="1:6" x14ac:dyDescent="0.3">
      <c r="C31">
        <v>200</v>
      </c>
      <c r="D31" s="2">
        <v>2116</v>
      </c>
      <c r="F31" s="24">
        <f>$E$29*D31/C31</f>
        <v>88.025599999999997</v>
      </c>
    </row>
  </sheetData>
  <hyperlinks>
    <hyperlink ref="A1" r:id="rId1"/>
    <hyperlink ref="C2" r:id="rId2"/>
    <hyperlink ref="D2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7" sqref="C7"/>
    </sheetView>
  </sheetViews>
  <sheetFormatPr baseColWidth="10" defaultRowHeight="14.4" x14ac:dyDescent="0.3"/>
  <cols>
    <col min="2" max="2" width="13.109375" bestFit="1" customWidth="1"/>
  </cols>
  <sheetData>
    <row r="1" spans="1:11" x14ac:dyDescent="0.3">
      <c r="A1" s="22" t="s">
        <v>13</v>
      </c>
    </row>
    <row r="3" spans="1:11" x14ac:dyDescent="0.3">
      <c r="A3" t="s">
        <v>127</v>
      </c>
    </row>
    <row r="4" spans="1:11" x14ac:dyDescent="0.3">
      <c r="A4" t="s">
        <v>120</v>
      </c>
      <c r="B4" t="s">
        <v>121</v>
      </c>
      <c r="C4" t="s">
        <v>129</v>
      </c>
      <c r="D4" t="s">
        <v>128</v>
      </c>
      <c r="E4" t="s">
        <v>130</v>
      </c>
      <c r="F4" t="s">
        <v>125</v>
      </c>
      <c r="K4" t="s">
        <v>131</v>
      </c>
    </row>
    <row r="6" spans="1:11" x14ac:dyDescent="0.3">
      <c r="A6" t="s">
        <v>126</v>
      </c>
    </row>
    <row r="7" spans="1:11" x14ac:dyDescent="0.3">
      <c r="A7" t="s">
        <v>120</v>
      </c>
      <c r="B7" t="s">
        <v>123</v>
      </c>
      <c r="D7" t="s">
        <v>122</v>
      </c>
      <c r="F7" t="s">
        <v>124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baseColWidth="10" defaultRowHeight="14.4" x14ac:dyDescent="0.3"/>
  <sheetData>
    <row r="1" spans="1:1" x14ac:dyDescent="0.3">
      <c r="A1" s="22" t="s">
        <v>12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Energies</vt:lpstr>
      <vt:lpstr>Metrology</vt:lpstr>
      <vt:lpstr>Tooling and small machinery</vt:lpstr>
      <vt:lpstr>Manpower</vt:lpstr>
      <vt:lpstr>TIG Welder</vt:lpstr>
      <vt:lpstr>Material</vt:lpstr>
      <vt:lpstr>IT</vt:lpstr>
      <vt:lpstr>CNC mill</vt:lpstr>
      <vt:lpstr>Laser cutter</vt:lpstr>
      <vt:lpstr>CNC lathes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Aurélien</cp:lastModifiedBy>
  <dcterms:created xsi:type="dcterms:W3CDTF">2019-04-04T18:24:41Z</dcterms:created>
  <dcterms:modified xsi:type="dcterms:W3CDTF">2019-06-03T17:36:30Z</dcterms:modified>
</cp:coreProperties>
</file>