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FFC83E55-639E-4BAA-94A9-74851D0A1BA0}" xr6:coauthVersionLast="43" xr6:coauthVersionMax="43" xr10:uidLastSave="{00000000-0000-0000-0000-000000000000}"/>
  <bookViews>
    <workbookView xWindow="-6690" yWindow="2655" windowWidth="14130" windowHeight="12150" tabRatio="667" xr2:uid="{00000000-000D-0000-FFFF-FFFF0000000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Material" sheetId="2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12" i="6"/>
  <c r="Q33" i="6" s="1"/>
  <c r="E69" i="2" l="1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V22" i="2" s="1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Q22" i="2" l="1"/>
  <c r="E16" i="2"/>
  <c r="Q11" i="2"/>
  <c r="E28" i="2"/>
  <c r="W7" i="2"/>
  <c r="K37" i="2"/>
  <c r="R39" i="2"/>
  <c r="J12" i="2"/>
  <c r="E40" i="2"/>
  <c r="D62" i="2"/>
  <c r="H38" i="6" l="1"/>
  <c r="F36" i="8"/>
  <c r="H28" i="6" s="1"/>
  <c r="J28" i="6" s="1"/>
  <c r="M41" i="6" l="1"/>
  <c r="J14" i="5"/>
  <c r="M75" i="6" s="1"/>
  <c r="M29" i="6" l="1"/>
  <c r="G8" i="11"/>
  <c r="G7" i="11"/>
  <c r="G6" i="11"/>
  <c r="G5" i="11"/>
  <c r="K25" i="11"/>
  <c r="D7" i="11"/>
  <c r="Q38" i="6"/>
  <c r="S38" i="6" s="1"/>
  <c r="Q37" i="6"/>
  <c r="S37" i="6" s="1"/>
  <c r="B32" i="10"/>
  <c r="M30" i="6" s="1"/>
  <c r="G9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0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F5" i="8"/>
  <c r="J32" i="6"/>
  <c r="J31" i="6"/>
  <c r="B5" i="13" l="1"/>
  <c r="H36" i="6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3" i="6"/>
  <c r="R59" i="6"/>
  <c r="H34" i="6" l="1"/>
  <c r="H25" i="6"/>
  <c r="H23" i="6"/>
  <c r="M5" i="6" l="1"/>
  <c r="B6" i="13" l="1"/>
  <c r="D6" i="11"/>
  <c r="D8" i="11"/>
  <c r="D5" i="11"/>
  <c r="B32" i="11" s="1"/>
  <c r="F9" i="11"/>
  <c r="K24" i="11"/>
  <c r="K26" i="11"/>
  <c r="K23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F3" i="8"/>
  <c r="J34" i="6"/>
  <c r="F11" i="8"/>
  <c r="F4" i="8"/>
  <c r="F2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2" i="6" s="1"/>
  <c r="H26" i="6"/>
  <c r="J26" i="6" s="1"/>
  <c r="J15" i="6"/>
  <c r="H29" i="6"/>
  <c r="F31" i="3"/>
  <c r="Q32" i="6"/>
  <c r="S32" i="6" s="1"/>
  <c r="R85" i="6" s="1"/>
  <c r="Q6" i="6"/>
  <c r="S6" i="6" s="1"/>
  <c r="S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H8" i="6" s="1"/>
  <c r="J8" i="6" s="1"/>
  <c r="H22" i="6"/>
  <c r="J22" i="6" s="1"/>
  <c r="D2" i="9"/>
  <c r="H21" i="6" s="1"/>
  <c r="J21" i="6" s="1"/>
  <c r="D6" i="9"/>
  <c r="D7" i="9"/>
  <c r="D11" i="9"/>
  <c r="D12" i="9"/>
  <c r="D13" i="9"/>
  <c r="D15" i="9"/>
  <c r="D16" i="9"/>
  <c r="D17" i="9"/>
  <c r="D18" i="9"/>
  <c r="D5" i="9"/>
  <c r="H18" i="6" s="1"/>
  <c r="J18" i="6" s="1"/>
  <c r="H20" i="6"/>
  <c r="J20" i="6" s="1"/>
  <c r="B16" i="11"/>
  <c r="B17" i="11" s="1"/>
  <c r="C8" i="6" s="1"/>
  <c r="H13" i="6"/>
  <c r="J13" i="6" s="1"/>
  <c r="D28" i="11" l="1"/>
  <c r="D29" i="11" s="1"/>
  <c r="H17" i="6"/>
  <c r="J17" i="6" s="1"/>
  <c r="J28" i="11"/>
  <c r="B28" i="11"/>
  <c r="B30" i="11"/>
  <c r="F28" i="11"/>
  <c r="Q21" i="6"/>
  <c r="Q41" i="6"/>
  <c r="G28" i="11"/>
  <c r="Q9" i="6"/>
  <c r="S9" i="6" s="1"/>
  <c r="R45" i="6" s="1"/>
  <c r="H37" i="6"/>
  <c r="J37" i="6" s="1"/>
  <c r="J29" i="6"/>
  <c r="H30" i="6"/>
  <c r="J30" i="6" s="1"/>
  <c r="Q15" i="6"/>
  <c r="Q7" i="6"/>
  <c r="H11" i="6"/>
  <c r="J11" i="6" s="1"/>
  <c r="H14" i="6"/>
  <c r="J14" i="6" s="1"/>
  <c r="C28" i="11"/>
  <c r="E28" i="11"/>
  <c r="H19" i="6"/>
  <c r="J19" i="6" s="1"/>
  <c r="H5" i="6"/>
  <c r="J5" i="6" s="1"/>
  <c r="H7" i="6"/>
  <c r="J7" i="6" s="1"/>
  <c r="H4" i="6"/>
  <c r="J4" i="6" s="1"/>
  <c r="H3" i="6"/>
  <c r="J3" i="6" s="1"/>
  <c r="I28" i="11" l="1"/>
  <c r="H28" i="11"/>
  <c r="J41" i="6"/>
  <c r="H5" i="11"/>
  <c r="H7" i="11"/>
  <c r="J45" i="6" s="1"/>
  <c r="H6" i="11"/>
  <c r="H8" i="11"/>
  <c r="I27" i="11"/>
  <c r="D27" i="11"/>
  <c r="F27" i="11"/>
  <c r="J27" i="11"/>
  <c r="G27" i="11"/>
  <c r="C27" i="11"/>
  <c r="B27" i="11"/>
  <c r="E27" i="11"/>
  <c r="H27" i="11"/>
  <c r="J42" i="6" l="1"/>
  <c r="K28" i="11"/>
  <c r="J44" i="6"/>
  <c r="J43" i="6"/>
  <c r="B33" i="10"/>
  <c r="B34" i="10" s="1"/>
  <c r="J46" i="6"/>
  <c r="K27" i="11"/>
  <c r="R86" i="6" l="1"/>
  <c r="R87" i="6" s="1"/>
  <c r="R89" i="6" s="1"/>
  <c r="R74" i="6"/>
  <c r="R84" i="6" s="1"/>
  <c r="R93" i="6"/>
  <c r="R97" i="6" s="1"/>
  <c r="R83" i="6"/>
  <c r="R82" i="6"/>
  <c r="R81" i="6"/>
  <c r="R80" i="6"/>
  <c r="R55" i="6"/>
  <c r="R53" i="6"/>
  <c r="R56" i="6"/>
  <c r="R52" i="6"/>
  <c r="R67" i="6"/>
  <c r="R70" i="6"/>
  <c r="R66" i="6"/>
  <c r="R69" i="6"/>
  <c r="R54" i="6"/>
  <c r="R71" i="6"/>
  <c r="R68" i="6"/>
  <c r="R57" i="6"/>
  <c r="R75" i="6"/>
  <c r="R77" i="6" s="1"/>
  <c r="R78" i="6" s="1"/>
  <c r="R46" i="6"/>
  <c r="R58" i="6" s="1"/>
  <c r="R60" i="6"/>
  <c r="R94" i="6" l="1"/>
  <c r="R96" i="6" s="1"/>
  <c r="R90" i="6"/>
  <c r="R47" i="6"/>
  <c r="R49" i="6" s="1"/>
  <c r="R50" i="6" s="1"/>
  <c r="R61" i="6"/>
  <c r="R63" i="6" s="1"/>
  <c r="R64" i="6" s="1"/>
  <c r="R72" i="6"/>
</calcChain>
</file>

<file path=xl/sharedStrings.xml><?xml version="1.0" encoding="utf-8"?>
<sst xmlns="http://schemas.openxmlformats.org/spreadsheetml/2006/main" count="830" uniqueCount="545">
  <si>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</si>
  <si>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</si>
  <si>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</si>
  <si>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</si>
  <si>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</si>
  <si>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</si>
  <si>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</si>
  <si>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</si>
  <si>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</si>
  <si>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</si>
  <si>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</si>
  <si>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</si>
  <si>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</si>
  <si>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</si>
  <si>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</si>
  <si>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</si>
  <si>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</si>
  <si>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</si>
  <si>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</si>
  <si>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</si>
  <si>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</si>
  <si>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</si>
  <si>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</si>
  <si>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</si>
  <si>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</si>
  <si>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</si>
  <si>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</si>
  <si>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</si>
  <si>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</si>
  <si>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</si>
  <si>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</si>
  <si>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</si>
  <si>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</si>
  <si>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</si>
  <si>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</si>
  <si>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</si>
  <si>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</si>
  <si>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</si>
  <si>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</si>
  <si>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</si>
  <si>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</si>
  <si>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</si>
  <si>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</si>
  <si>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</si>
  <si>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</si>
  <si>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Torque Wrench</t>
  </si>
  <si>
    <t>Workstations</t>
  </si>
  <si>
    <t>Material cost</t>
  </si>
  <si>
    <t>Fasteners</t>
  </si>
  <si>
    <t>Stock</t>
  </si>
  <si>
    <t>Sanding</t>
  </si>
  <si>
    <t>Sand Paper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</si>
  <si>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</si>
  <si>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</si>
  <si>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</si>
  <si>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</si>
  <si>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</si>
  <si>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</si>
  <si>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</si>
  <si>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</si>
  <si>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</si>
  <si>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</si>
  <si>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</si>
  <si>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</si>
  <si>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</si>
  <si>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</si>
  <si>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</si>
  <si>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</si>
  <si>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</si>
  <si>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</si>
  <si>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</si>
  <si>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</si>
  <si>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</si>
  <si>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</si>
  <si>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</si>
  <si>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</si>
  <si>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</si>
  <si>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</si>
  <si>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</si>
  <si>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</si>
  <si>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</si>
  <si>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</si>
  <si>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</si>
  <si>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</si>
  <si>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</si>
  <si>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</si>
  <si>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</si>
  <si>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</si>
  <si>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</si>
  <si>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</si>
  <si>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</si>
  <si>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</si>
  <si>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</si>
  <si>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</si>
  <si>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</si>
  <si>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</si>
  <si>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</si>
  <si>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</si>
  <si>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</si>
  <si>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https://www.baileigh.com/cnc-laser-table-fl-510hd-500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</si>
  <si>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</si>
  <si>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</si>
  <si>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</si>
  <si>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</si>
  <si>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</si>
  <si>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</si>
  <si>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</si>
  <si>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</si>
  <si>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</si>
  <si>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</si>
  <si>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</si>
  <si>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</si>
  <si>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</si>
  <si>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</si>
  <si>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</si>
  <si>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</si>
  <si>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</si>
  <si>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</si>
  <si>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</si>
  <si>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</si>
  <si>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</si>
  <si>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</si>
  <si>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</si>
  <si>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</si>
  <si>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</si>
  <si>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</si>
  <si>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</si>
  <si>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</si>
  <si>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</si>
  <si>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</si>
  <si>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</si>
  <si>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</si>
  <si>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</si>
  <si>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</si>
  <si>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</si>
  <si>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</si>
  <si>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</si>
  <si>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</si>
  <si>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</si>
  <si>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</si>
  <si>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</si>
  <si>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</si>
  <si>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</si>
  <si>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</si>
  <si>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</si>
  <si>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</si>
  <si>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</si>
  <si>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</si>
  <si>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</si>
  <si>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</si>
  <si>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</si>
  <si>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</si>
  <si>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</si>
  <si>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</si>
  <si>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</si>
  <si>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</si>
  <si>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</si>
  <si>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</si>
  <si>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</si>
  <si>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</si>
  <si>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</si>
  <si>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</si>
  <si>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</si>
  <si>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</si>
  <si>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</si>
  <si>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</si>
  <si>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</si>
  <si>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</si>
  <si>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</si>
  <si>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</si>
  <si>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</si>
  <si>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</si>
  <si>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>Price /kWh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</si>
  <si>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</si>
  <si>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</si>
  <si>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</si>
  <si>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</si>
  <si>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</si>
  <si>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</si>
  <si>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</si>
  <si>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</si>
  <si>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</si>
  <si>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</si>
  <si>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</si>
  <si>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</si>
  <si>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</si>
  <si>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</si>
  <si>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</si>
  <si>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</si>
  <si>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</si>
  <si>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</si>
  <si>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</si>
  <si>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</si>
  <si>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</si>
  <si>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</si>
  <si>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</si>
  <si>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</si>
  <si>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</si>
  <si>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</si>
  <si>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</si>
  <si>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</si>
  <si>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</si>
  <si>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</si>
  <si>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</si>
  <si>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</si>
  <si>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</si>
  <si>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</si>
  <si>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</si>
  <si>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</si>
  <si>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</si>
  <si>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</si>
  <si>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</si>
  <si>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</si>
  <si>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</si>
  <si>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</si>
  <si>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</si>
  <si>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</si>
  <si>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</si>
  <si>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</si>
  <si>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</si>
  <si>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</si>
  <si>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</si>
  <si>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</si>
  <si>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</si>
  <si>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</si>
  <si>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</si>
  <si>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</si>
  <si>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</si>
  <si>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</si>
  <si>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</si>
  <si>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</si>
  <si>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</si>
  <si>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</si>
  <si>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</si>
  <si>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</si>
  <si>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</si>
  <si>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</si>
  <si>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</si>
  <si>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</si>
  <si>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</si>
  <si>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</si>
  <si>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</si>
  <si>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</si>
  <si>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</si>
  <si>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</si>
  <si>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</si>
  <si>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</si>
  <si>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</si>
  <si>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</si>
  <si>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</si>
  <si>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</si>
  <si>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</si>
  <si>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</si>
  <si>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</si>
  <si>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https://www.orexad.com/fr/projecteur-de-profil-pj-h30/p-G1213001821</t>
  </si>
  <si>
    <t>Profil projector</t>
  </si>
  <si>
    <t>510x342 mm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</si>
  <si>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</si>
  <si>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</si>
  <si>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</si>
  <si>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</si>
  <si>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</si>
  <si>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</si>
  <si>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</si>
  <si>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</si>
  <si>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</si>
  <si>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</si>
  <si>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</si>
  <si>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</si>
  <si>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</si>
  <si>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</si>
  <si>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</si>
  <si>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</si>
  <si>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</si>
  <si>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</si>
  <si>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Sum (hrs)</t>
  </si>
  <si>
    <t>Required  (hrs)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</si>
  <si>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</si>
  <si>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</si>
  <si>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</si>
  <si>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</si>
  <si>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</si>
  <si>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Yearly for the company (90%)</t>
  </si>
  <si>
    <t>Manwork</t>
  </si>
  <si>
    <t>Maintenance manwork</t>
  </si>
  <si>
    <t>Power consumption (kW)</t>
  </si>
  <si>
    <t>Cost/hour</t>
  </si>
  <si>
    <t>Subscription €/kVA</t>
  </si>
  <si>
    <t xml:space="preserve">Power needed 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</si>
  <si>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</si>
  <si>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</si>
  <si>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</si>
  <si>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</si>
  <si>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</si>
  <si>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</si>
  <si>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</si>
  <si>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</si>
  <si>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</si>
  <si>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</si>
  <si>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</si>
  <si>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</si>
  <si>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</si>
  <si>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</si>
  <si>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</si>
  <si>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</si>
  <si>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</si>
  <si>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</si>
  <si>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</si>
  <si>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</si>
  <si>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</si>
  <si>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</si>
  <si>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</si>
  <si>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 xml:space="preserve">Angle worktable </t>
  </si>
  <si>
    <t>Drawer</t>
  </si>
  <si>
    <t>Armoire sans porte</t>
  </si>
  <si>
    <t xml:space="preserve">Armoire avec porte </t>
  </si>
  <si>
    <t>Direction worktable</t>
  </si>
  <si>
    <t>https://www.francebureau.com/media/catalogue-mobilier/bureau-direction-etretat.pdf</t>
  </si>
  <si>
    <t>Meeting table</t>
  </si>
  <si>
    <t>https://www.francebureau.com/media/catalogue-mobilier/table-reunion-modulable-arc-reunion.pdf</t>
  </si>
  <si>
    <t>Chair</t>
  </si>
  <si>
    <t>https://www.francebureau.com/alto-16.html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</si>
  <si>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</si>
  <si>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</si>
  <si>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</si>
  <si>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</si>
  <si>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</si>
  <si>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</si>
  <si>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</si>
  <si>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</si>
  <si>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</si>
  <si>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</si>
  <si>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</si>
  <si>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</si>
  <si>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</si>
  <si>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</si>
  <si>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</si>
  <si>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</si>
  <si>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</si>
  <si>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</si>
  <si>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</si>
  <si>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</si>
  <si>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</si>
  <si>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</si>
  <si>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</si>
  <si>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</si>
  <si>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</si>
  <si>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</si>
  <si>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</si>
  <si>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</si>
  <si>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</si>
  <si>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</si>
  <si>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</si>
  <si>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</si>
  <si>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</si>
  <si>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</si>
  <si>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</si>
  <si>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</si>
  <si>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</si>
  <si>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</si>
  <si>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</si>
  <si>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</si>
  <si>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</si>
  <si>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</si>
  <si>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</si>
  <si>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</si>
  <si>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</si>
  <si>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</si>
  <si>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</si>
  <si>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</si>
  <si>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</si>
  <si>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</si>
  <si>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</si>
  <si>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</si>
  <si>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</si>
  <si>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</si>
  <si>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</si>
  <si>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</si>
  <si>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</si>
  <si>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</si>
  <si>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</si>
  <si>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</si>
  <si>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</si>
  <si>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</si>
  <si>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</si>
  <si>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</si>
  <si>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</si>
  <si>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</si>
  <si>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</si>
  <si>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</si>
  <si>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</si>
  <si>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</si>
  <si>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</si>
  <si>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</si>
  <si>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</si>
  <si>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</si>
  <si>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</si>
  <si>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</si>
  <si>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</si>
  <si>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</si>
  <si>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</si>
  <si>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</si>
  <si>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</si>
  <si>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</si>
  <si>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</si>
  <si>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</si>
  <si>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</si>
  <si>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</si>
  <si>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</si>
  <si>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</si>
  <si>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</si>
  <si>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</si>
  <si>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</si>
  <si>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</si>
  <si>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</si>
  <si>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</si>
  <si>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</si>
  <si>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</si>
  <si>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</si>
  <si>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</si>
  <si>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</si>
  <si>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</si>
  <si>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</si>
  <si>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</si>
  <si>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</si>
  <si>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</si>
  <si>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</si>
  <si>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</si>
  <si>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</si>
  <si>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</si>
  <si>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</si>
  <si>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</si>
  <si>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</si>
  <si>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</si>
  <si>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</si>
  <si>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Eau/m^3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</si>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</sst>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61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5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15" borderId="0" xfId="0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11" borderId="10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0" borderId="10" xfId="0" applyFill="1" applyBorder="1"/>
    <xf numFmtId="0" fontId="0" fillId="10" borderId="0" xfId="0" applyFill="1" applyBorder="1"/>
    <xf numFmtId="0" fontId="0" fillId="10" borderId="4" xfId="0" applyFill="1" applyBorder="1"/>
    <xf numFmtId="0" fontId="0" fillId="10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2" borderId="4" xfId="0" applyFill="1" applyBorder="1"/>
    <xf numFmtId="0" fontId="0" fillId="12" borderId="5" xfId="0" applyFill="1" applyBorder="1"/>
    <xf numFmtId="9" fontId="0" fillId="20" borderId="0" xfId="3" applyFont="1" applyFill="1"/>
    <xf numFmtId="0" fontId="2" fillId="12" borderId="10" xfId="0" applyFont="1" applyFill="1" applyBorder="1" applyAlignment="1">
      <alignment vertical="center"/>
    </xf>
    <xf numFmtId="9" fontId="2" fillId="12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11" borderId="10" xfId="0" applyFont="1" applyFill="1" applyBorder="1" applyAlignment="1">
      <alignment vertical="center"/>
    </xf>
    <xf numFmtId="9" fontId="2" fillId="11" borderId="0" xfId="0" applyNumberFormat="1" applyFont="1" applyFill="1" applyBorder="1" applyAlignment="1">
      <alignment vertical="center"/>
    </xf>
    <xf numFmtId="0" fontId="2" fillId="12" borderId="10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6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9" fontId="0" fillId="0" borderId="12" xfId="3" applyFont="1" applyBorder="1"/>
    <xf numFmtId="167" fontId="0" fillId="0" borderId="12" xfId="0" applyNumberFormat="1" applyBorder="1"/>
    <xf numFmtId="0" fontId="0" fillId="0" borderId="12" xfId="0" applyNumberFormat="1" applyBorder="1"/>
    <xf numFmtId="0" fontId="2" fillId="16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8" borderId="1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0" borderId="16" xfId="0" applyNumberFormat="1" applyBorder="1"/>
    <xf numFmtId="0" fontId="0" fillId="18" borderId="4" xfId="0" applyFill="1" applyBorder="1"/>
    <xf numFmtId="0" fontId="0" fillId="0" borderId="18" xfId="0" applyBorder="1"/>
    <xf numFmtId="0" fontId="2" fillId="19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9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2" fillId="11" borderId="11" xfId="3" applyFont="1" applyFill="1" applyBorder="1" applyAlignment="1">
      <alignment horizontal="center" vertical="center"/>
    </xf>
    <xf numFmtId="11" fontId="2" fillId="11" borderId="11" xfId="0" applyNumberFormat="1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9" fontId="2" fillId="12" borderId="11" xfId="3" applyFont="1" applyFill="1" applyBorder="1" applyAlignment="1">
      <alignment horizontal="center" vertical="center"/>
    </xf>
    <xf numFmtId="11" fontId="2" fillId="12" borderId="11" xfId="0" applyNumberFormat="1" applyFont="1" applyFill="1" applyBorder="1" applyAlignment="1">
      <alignment horizontal="center" vertical="center"/>
    </xf>
    <xf numFmtId="0" fontId="2" fillId="12" borderId="11" xfId="0" applyNumberFormat="1" applyFont="1" applyFill="1" applyBorder="1" applyAlignment="1">
      <alignment horizontal="center" vertical="center"/>
    </xf>
    <xf numFmtId="11" fontId="2" fillId="10" borderId="11" xfId="4" applyNumberFormat="1" applyFont="1" applyFill="1" applyBorder="1" applyAlignment="1">
      <alignment horizontal="center" vertical="center"/>
    </xf>
    <xf numFmtId="0" fontId="3" fillId="10" borderId="10" xfId="0" applyFont="1" applyFill="1" applyBorder="1"/>
    <xf numFmtId="0" fontId="3" fillId="10" borderId="11" xfId="0" applyFont="1" applyFill="1" applyBorder="1"/>
    <xf numFmtId="0" fontId="2" fillId="11" borderId="4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0" fillId="0" borderId="16" xfId="0" applyBorder="1"/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10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0" fontId="2" fillId="10" borderId="1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7" fillId="12" borderId="1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0" borderId="19" xfId="0" applyFont="1" applyBorder="1"/>
    <xf numFmtId="0" fontId="8" fillId="0" borderId="14" xfId="0" applyFont="1" applyBorder="1"/>
    <xf numFmtId="44" fontId="8" fillId="0" borderId="14" xfId="0" applyNumberFormat="1" applyFont="1" applyBorder="1"/>
    <xf numFmtId="44" fontId="8" fillId="0" borderId="15" xfId="0" applyNumberFormat="1" applyFont="1" applyBorder="1"/>
    <xf numFmtId="0" fontId="7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8" fillId="0" borderId="22" xfId="0" applyFont="1" applyBorder="1"/>
    <xf numFmtId="0" fontId="8" fillId="0" borderId="12" xfId="0" applyFont="1" applyBorder="1"/>
    <xf numFmtId="44" fontId="8" fillId="0" borderId="12" xfId="0" applyNumberFormat="1" applyFont="1" applyBorder="1"/>
    <xf numFmtId="44" fontId="8" fillId="0" borderId="16" xfId="0" applyNumberFormat="1" applyFont="1" applyBorder="1"/>
    <xf numFmtId="9" fontId="7" fillId="12" borderId="11" xfId="3" applyFont="1" applyFill="1" applyBorder="1" applyAlignment="1">
      <alignment horizontal="center" vertical="center"/>
    </xf>
    <xf numFmtId="167" fontId="8" fillId="0" borderId="12" xfId="0" applyNumberFormat="1" applyFont="1" applyBorder="1"/>
    <xf numFmtId="0" fontId="8" fillId="0" borderId="16" xfId="0" applyFont="1" applyBorder="1"/>
    <xf numFmtId="11" fontId="7" fillId="12" borderId="11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12" borderId="11" xfId="0" applyNumberFormat="1" applyFont="1" applyFill="1" applyBorder="1" applyAlignment="1">
      <alignment horizontal="center" vertical="center"/>
    </xf>
    <xf numFmtId="9" fontId="7" fillId="0" borderId="12" xfId="3" applyFont="1" applyFill="1" applyBorder="1" applyAlignment="1">
      <alignment horizontal="center" vertical="center"/>
    </xf>
    <xf numFmtId="9" fontId="7" fillId="0" borderId="16" xfId="3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8" fillId="0" borderId="21" xfId="0" applyFont="1" applyBorder="1"/>
    <xf numFmtId="0" fontId="8" fillId="0" borderId="17" xfId="0" applyFont="1" applyBorder="1"/>
    <xf numFmtId="0" fontId="8" fillId="0" borderId="18" xfId="0" applyFont="1" applyBorder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5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urplex.com/fr/vente/c/tours-paralleles-4340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au-direct.fr/gestion/prix.html" TargetMode="External"/><Relationship Id="rId1" Type="http://schemas.openxmlformats.org/officeDocument/2006/relationships/hyperlink" Target="https://www.kelwatt.fr/guide/prix-electricite-entrepri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ileigh.com/semi-auto-band-saw-bs-330sa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10" Type="http://schemas.openxmlformats.org/officeDocument/2006/relationships/hyperlink" Target="https://www.orexad.com/fr/etabli-standard/p-G1359000830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etabli-standard/p-G1359000849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tabSelected="1" topLeftCell="K60" zoomScale="59" zoomScaleNormal="59" workbookViewId="0">
      <selection activeCell="P101" sqref="P101"/>
    </sheetView>
  </sheetViews>
  <sheetFormatPr baseColWidth="10" defaultRowHeight="15" x14ac:dyDescent="0.25"/>
  <cols>
    <col min="2" max="2" width="33" customWidth="1"/>
    <col min="3" max="3" width="12.85546875" bestFit="1" customWidth="1"/>
    <col min="4" max="4" width="66.28515625" bestFit="1" customWidth="1"/>
    <col min="5" max="5" width="4.85546875" customWidth="1"/>
    <col min="6" max="6" width="14.85546875" bestFit="1" customWidth="1"/>
    <col min="7" max="7" width="86.28515625" bestFit="1" customWidth="1"/>
    <col min="8" max="8" width="12.8554687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49.140625" customWidth="1"/>
    <col min="13" max="13" width="14.28515625" customWidth="1"/>
    <col min="14" max="14" width="29.85546875" customWidth="1"/>
    <col min="15" max="15" width="11.42578125" customWidth="1"/>
    <col min="16" max="16" width="32.28515625" customWidth="1"/>
    <col min="17" max="17" width="21.140625" bestFit="1" customWidth="1"/>
    <col min="18" max="18" width="17.28515625" customWidth="1"/>
    <col min="19" max="19" width="20.85546875" customWidth="1"/>
    <col min="20" max="20" width="4.7109375" customWidth="1"/>
    <col min="21" max="21" width="21" bestFit="1" customWidth="1"/>
    <col min="22" max="22" width="14.5703125" bestFit="1" customWidth="1"/>
    <col min="24" max="24" width="4.85546875" customWidth="1"/>
  </cols>
  <sheetData>
    <row r="1" spans="1:27" x14ac:dyDescent="0.25">
      <c r="A1" s="181" t="s">
        <v>52</v>
      </c>
      <c r="B1" s="182"/>
      <c r="C1" s="182"/>
      <c r="D1" s="58"/>
      <c r="F1" s="175" t="s">
        <v>14</v>
      </c>
      <c r="G1" s="176"/>
      <c r="H1" s="176"/>
      <c r="I1" s="176"/>
      <c r="J1" s="177"/>
      <c r="L1" s="178" t="s">
        <v>231</v>
      </c>
      <c r="M1" s="179"/>
      <c r="N1" s="179"/>
      <c r="O1" s="179"/>
      <c r="P1" s="179"/>
      <c r="Q1" s="179"/>
      <c r="R1" s="179"/>
      <c r="S1" s="180"/>
      <c r="U1" s="217" t="s">
        <v>25</v>
      </c>
      <c r="V1" s="217"/>
      <c r="W1" s="217"/>
      <c r="Y1" s="210" t="s">
        <v>47</v>
      </c>
      <c r="Z1" s="210"/>
      <c r="AA1" s="210"/>
    </row>
    <row r="2" spans="1:27" ht="30.75" thickBot="1" x14ac:dyDescent="0.3">
      <c r="A2" s="67" t="s">
        <v>33</v>
      </c>
      <c r="B2" s="62" t="s">
        <v>16</v>
      </c>
      <c r="C2" s="62" t="s">
        <v>53</v>
      </c>
      <c r="D2" s="63" t="s">
        <v>249</v>
      </c>
      <c r="F2" s="102" t="s">
        <v>33</v>
      </c>
      <c r="G2" s="103" t="s">
        <v>26</v>
      </c>
      <c r="H2" s="103" t="s">
        <v>17</v>
      </c>
      <c r="I2" s="104" t="s">
        <v>402</v>
      </c>
      <c r="J2" s="105" t="s">
        <v>229</v>
      </c>
      <c r="L2" s="128" t="s">
        <v>15</v>
      </c>
      <c r="M2" s="129"/>
      <c r="N2" s="129" t="s">
        <v>16</v>
      </c>
      <c r="O2" s="129" t="s">
        <v>234</v>
      </c>
      <c r="P2" s="129" t="s">
        <v>239</v>
      </c>
      <c r="Q2" s="129" t="s">
        <v>17</v>
      </c>
      <c r="R2" s="130" t="s">
        <v>402</v>
      </c>
      <c r="S2" s="131" t="s">
        <v>229</v>
      </c>
      <c r="U2" s="3" t="s">
        <v>15</v>
      </c>
      <c r="V2" s="3" t="s">
        <v>26</v>
      </c>
      <c r="W2" s="3" t="s">
        <v>17</v>
      </c>
      <c r="Y2" s="7" t="s">
        <v>15</v>
      </c>
      <c r="Z2" s="7" t="s">
        <v>16</v>
      </c>
      <c r="AA2" s="7" t="s">
        <v>17</v>
      </c>
    </row>
    <row r="3" spans="1:27" x14ac:dyDescent="0.25">
      <c r="A3" s="59" t="s">
        <v>54</v>
      </c>
      <c r="B3" s="68" t="s">
        <v>28</v>
      </c>
      <c r="C3" s="69">
        <f>'Manpower &amp; time'!C5</f>
        <v>21376</v>
      </c>
      <c r="D3" s="196" t="s">
        <v>537</v>
      </c>
      <c r="F3" s="116" t="s">
        <v>34</v>
      </c>
      <c r="G3" s="110" t="s">
        <v>221</v>
      </c>
      <c r="H3" s="106">
        <f>SUM(Metrology!E14:E17)</f>
        <v>2320</v>
      </c>
      <c r="I3" s="85">
        <v>10</v>
      </c>
      <c r="J3" s="97">
        <f>H3/I3</f>
        <v>232</v>
      </c>
      <c r="L3" s="183" t="s">
        <v>504</v>
      </c>
      <c r="M3" s="211"/>
      <c r="N3" s="110" t="s">
        <v>230</v>
      </c>
      <c r="O3" s="68" t="s">
        <v>235</v>
      </c>
      <c r="P3" s="68"/>
      <c r="Q3" s="69">
        <f>'CNC mill'!B22</f>
        <v>108020</v>
      </c>
      <c r="R3" s="68">
        <v>10</v>
      </c>
      <c r="S3" s="70">
        <f>Q3/R3</f>
        <v>10802</v>
      </c>
      <c r="U3" s="4" t="s">
        <v>27</v>
      </c>
      <c r="V3" t="s">
        <v>28</v>
      </c>
      <c r="Z3" t="s">
        <v>48</v>
      </c>
    </row>
    <row r="4" spans="1:27" x14ac:dyDescent="0.25">
      <c r="A4" s="60"/>
      <c r="B4" s="36" t="s">
        <v>55</v>
      </c>
      <c r="C4" s="39">
        <f>'Manpower &amp; time'!C6</f>
        <v>39809</v>
      </c>
      <c r="D4" s="197"/>
      <c r="F4" s="117"/>
      <c r="G4" s="111" t="s">
        <v>220</v>
      </c>
      <c r="H4" s="93">
        <f>SUM(Metrology!E18:E19)</f>
        <v>1838.4</v>
      </c>
      <c r="I4" s="66">
        <v>10</v>
      </c>
      <c r="J4" s="107">
        <f t="shared" ref="J4:J35" si="0">H4/I4</f>
        <v>183.84</v>
      </c>
      <c r="L4" s="54" t="s">
        <v>285</v>
      </c>
      <c r="M4" s="134">
        <v>22.4</v>
      </c>
      <c r="N4" s="111" t="s">
        <v>232</v>
      </c>
      <c r="O4" s="36" t="s">
        <v>235</v>
      </c>
      <c r="P4" s="36"/>
      <c r="Q4" s="39">
        <f>'CNC mill'!B23*'CNC mill'!C23</f>
        <v>4000</v>
      </c>
      <c r="R4" s="36">
        <v>5</v>
      </c>
      <c r="S4" s="71">
        <f t="shared" ref="S4:S6" si="1">Q4/R4</f>
        <v>800</v>
      </c>
      <c r="U4" s="4"/>
      <c r="V4" t="s">
        <v>28</v>
      </c>
      <c r="Z4" t="s">
        <v>49</v>
      </c>
    </row>
    <row r="5" spans="1:27" x14ac:dyDescent="0.25">
      <c r="A5" s="60"/>
      <c r="B5" s="36" t="s">
        <v>56</v>
      </c>
      <c r="C5" s="39">
        <f>'Manpower &amp; time'!C8</f>
        <v>69843</v>
      </c>
      <c r="D5" s="197"/>
      <c r="F5" s="117"/>
      <c r="G5" s="111" t="s">
        <v>219</v>
      </c>
      <c r="H5" s="93">
        <f>SUM(Metrology!E2:E8)+Metrology!E2+Metrology!E4+Metrology!E3+Metrology!E7+Metrology!E8</f>
        <v>1272</v>
      </c>
      <c r="I5" s="66">
        <v>10</v>
      </c>
      <c r="J5" s="107">
        <f t="shared" si="0"/>
        <v>127.2</v>
      </c>
      <c r="L5" s="54" t="s">
        <v>247</v>
      </c>
      <c r="M5" s="135">
        <f>C9</f>
        <v>0.8</v>
      </c>
      <c r="N5" s="111" t="s">
        <v>233</v>
      </c>
      <c r="O5" s="36" t="s">
        <v>235</v>
      </c>
      <c r="P5" s="36"/>
      <c r="Q5" s="39">
        <f>'CNC mill'!B24</f>
        <v>2500</v>
      </c>
      <c r="R5" s="36">
        <v>5</v>
      </c>
      <c r="S5" s="71">
        <f t="shared" si="1"/>
        <v>500</v>
      </c>
      <c r="U5" s="5" t="s">
        <v>29</v>
      </c>
      <c r="V5" t="s">
        <v>30</v>
      </c>
    </row>
    <row r="6" spans="1:27" ht="15.75" thickBot="1" x14ac:dyDescent="0.3">
      <c r="A6" s="61"/>
      <c r="B6" s="72" t="s">
        <v>57</v>
      </c>
      <c r="C6" s="73">
        <f>'Manpower &amp; time'!C6</f>
        <v>39809</v>
      </c>
      <c r="D6" s="198"/>
      <c r="F6" s="117"/>
      <c r="G6" s="111" t="s">
        <v>37</v>
      </c>
      <c r="H6" s="39">
        <f>Metrology!E23</f>
        <v>48334.81</v>
      </c>
      <c r="I6" s="66">
        <v>10</v>
      </c>
      <c r="J6" s="107">
        <f t="shared" si="0"/>
        <v>4833.4809999999998</v>
      </c>
      <c r="L6" s="54" t="s">
        <v>248</v>
      </c>
      <c r="M6" s="134">
        <v>5</v>
      </c>
      <c r="N6" s="111" t="s">
        <v>22</v>
      </c>
      <c r="O6" s="36" t="s">
        <v>235</v>
      </c>
      <c r="P6" s="36" t="s">
        <v>240</v>
      </c>
      <c r="Q6" s="39">
        <f>0.05*Q3</f>
        <v>5401</v>
      </c>
      <c r="R6" s="36">
        <v>1</v>
      </c>
      <c r="S6" s="71">
        <f t="shared" si="1"/>
        <v>5401</v>
      </c>
      <c r="U6" s="5"/>
      <c r="V6" t="s">
        <v>31</v>
      </c>
    </row>
    <row r="7" spans="1:27" x14ac:dyDescent="0.25">
      <c r="A7" s="59" t="s">
        <v>58</v>
      </c>
      <c r="B7" s="68" t="s">
        <v>59</v>
      </c>
      <c r="C7" s="68">
        <v>35</v>
      </c>
      <c r="D7" s="74"/>
      <c r="F7" s="117"/>
      <c r="G7" s="111" t="s">
        <v>222</v>
      </c>
      <c r="H7" s="93">
        <f>SUM(Metrology!E10:E12)</f>
        <v>3209.6000000000004</v>
      </c>
      <c r="I7" s="66">
        <v>10</v>
      </c>
      <c r="J7" s="107">
        <f t="shared" si="0"/>
        <v>320.96000000000004</v>
      </c>
      <c r="L7" s="54" t="s">
        <v>505</v>
      </c>
      <c r="M7" s="136">
        <f>1/10000</f>
        <v>1E-4</v>
      </c>
      <c r="N7" s="111" t="s">
        <v>19</v>
      </c>
      <c r="O7" s="36" t="s">
        <v>236</v>
      </c>
      <c r="P7" s="36" t="s">
        <v>286</v>
      </c>
      <c r="Q7" s="65">
        <f>M4*0.8*C12</f>
        <v>1.4031359999999997</v>
      </c>
      <c r="R7" s="36"/>
      <c r="S7" s="151"/>
      <c r="U7" s="5"/>
    </row>
    <row r="8" spans="1:27" x14ac:dyDescent="0.25">
      <c r="A8" s="60"/>
      <c r="B8" s="36" t="s">
        <v>60</v>
      </c>
      <c r="C8" s="41">
        <f>'Manpower &amp; time'!B17</f>
        <v>45.6</v>
      </c>
      <c r="D8" s="75"/>
      <c r="F8" s="117"/>
      <c r="G8" s="111" t="s">
        <v>223</v>
      </c>
      <c r="H8" s="93">
        <f>2*Metrology!E21</f>
        <v>492.90039304557206</v>
      </c>
      <c r="I8" s="66">
        <v>10</v>
      </c>
      <c r="J8" s="107">
        <f t="shared" si="0"/>
        <v>49.290039304557205</v>
      </c>
      <c r="L8" s="54" t="s">
        <v>544</v>
      </c>
      <c r="M8" s="136">
        <f>M7*0.5</f>
        <v>5.0000000000000002E-5</v>
      </c>
      <c r="N8" s="111" t="s">
        <v>238</v>
      </c>
      <c r="O8" s="36" t="s">
        <v>236</v>
      </c>
      <c r="P8" s="36" t="s">
        <v>293</v>
      </c>
      <c r="Q8" s="37">
        <v>20</v>
      </c>
      <c r="R8" s="36"/>
      <c r="S8" s="151"/>
      <c r="U8" s="5"/>
    </row>
    <row r="9" spans="1:27" ht="30.75" thickBot="1" x14ac:dyDescent="0.3">
      <c r="A9" s="60"/>
      <c r="B9" s="36" t="s">
        <v>61</v>
      </c>
      <c r="C9" s="64">
        <v>0.8</v>
      </c>
      <c r="D9" s="76" t="s">
        <v>279</v>
      </c>
      <c r="F9" s="118"/>
      <c r="G9" s="112" t="s">
        <v>515</v>
      </c>
      <c r="H9" s="73">
        <f>Metrology!E25</f>
        <v>5390</v>
      </c>
      <c r="I9" s="108">
        <v>10</v>
      </c>
      <c r="J9" s="98">
        <f t="shared" si="0"/>
        <v>539</v>
      </c>
      <c r="L9" s="54" t="s">
        <v>404</v>
      </c>
      <c r="M9" s="136">
        <f>M7*0.4</f>
        <v>4.0000000000000003E-5</v>
      </c>
      <c r="N9" s="111" t="s">
        <v>237</v>
      </c>
      <c r="O9" s="36" t="s">
        <v>236</v>
      </c>
      <c r="P9" s="36" t="s">
        <v>333</v>
      </c>
      <c r="Q9" s="39">
        <f>1*'CNC mill'!F31</f>
        <v>88.025599999999997</v>
      </c>
      <c r="R9" s="36">
        <v>1</v>
      </c>
      <c r="S9" s="71">
        <f t="shared" ref="S9" si="2">Q9/R9</f>
        <v>88.025599999999997</v>
      </c>
      <c r="U9" s="5"/>
    </row>
    <row r="10" spans="1:27" ht="15.75" thickBot="1" x14ac:dyDescent="0.3">
      <c r="A10" s="61"/>
      <c r="B10" s="72" t="s">
        <v>267</v>
      </c>
      <c r="C10" s="77">
        <v>0.95</v>
      </c>
      <c r="D10" s="220" t="s">
        <v>280</v>
      </c>
      <c r="F10" s="119" t="s">
        <v>38</v>
      </c>
      <c r="G10" s="113" t="s">
        <v>289</v>
      </c>
      <c r="H10" s="69">
        <f>Energies!B6</f>
        <v>2874.8160000000003</v>
      </c>
      <c r="I10" s="68">
        <v>1</v>
      </c>
      <c r="J10" s="97">
        <f t="shared" si="0"/>
        <v>2874.8160000000003</v>
      </c>
      <c r="L10" s="152" t="s">
        <v>266</v>
      </c>
      <c r="M10" s="153">
        <v>20</v>
      </c>
      <c r="N10" s="112"/>
      <c r="O10" s="72"/>
      <c r="P10" s="72"/>
      <c r="Q10" s="72"/>
      <c r="R10" s="72"/>
      <c r="S10" s="83"/>
      <c r="U10" s="5"/>
      <c r="V10" t="s">
        <v>28</v>
      </c>
    </row>
    <row r="11" spans="1:27" x14ac:dyDescent="0.25">
      <c r="A11" s="79" t="s">
        <v>335</v>
      </c>
      <c r="B11" s="68" t="s">
        <v>173</v>
      </c>
      <c r="C11" s="69">
        <f>Energies!B6</f>
        <v>2874.8160000000003</v>
      </c>
      <c r="D11" s="70"/>
      <c r="F11" s="120"/>
      <c r="G11" s="221" t="s">
        <v>290</v>
      </c>
      <c r="H11" s="37">
        <f>16*C7*C8*C12</f>
        <v>1999.4687999999999</v>
      </c>
      <c r="I11" s="36">
        <v>1</v>
      </c>
      <c r="J11" s="107">
        <f t="shared" si="0"/>
        <v>1999.4687999999999</v>
      </c>
      <c r="L11" s="169" t="s">
        <v>18</v>
      </c>
      <c r="M11" s="192"/>
      <c r="N11" s="110" t="s">
        <v>345</v>
      </c>
      <c r="O11" s="68" t="s">
        <v>235</v>
      </c>
      <c r="P11" s="68"/>
      <c r="Q11" s="154">
        <f>'CNC lathe'!B2</f>
        <v>133720</v>
      </c>
      <c r="R11" s="68">
        <v>10</v>
      </c>
      <c r="S11" s="70">
        <f>Q11/R11</f>
        <v>13372</v>
      </c>
      <c r="U11" s="6" t="s">
        <v>50</v>
      </c>
      <c r="V11" t="s">
        <v>51</v>
      </c>
    </row>
    <row r="12" spans="1:27" ht="15.75" thickBot="1" x14ac:dyDescent="0.3">
      <c r="A12" s="80"/>
      <c r="B12" s="36" t="s">
        <v>174</v>
      </c>
      <c r="C12" s="65">
        <f>Energies!B7</f>
        <v>7.8299999999999995E-2</v>
      </c>
      <c r="D12" s="81"/>
      <c r="F12" s="120"/>
      <c r="G12" s="114" t="s">
        <v>436</v>
      </c>
      <c r="H12" s="37">
        <f>Energies!C10*60</f>
        <v>132.96</v>
      </c>
      <c r="I12" s="36">
        <v>1</v>
      </c>
      <c r="J12" s="107">
        <f t="shared" si="0"/>
        <v>132.96</v>
      </c>
      <c r="L12" s="52" t="s">
        <v>285</v>
      </c>
      <c r="M12" s="139">
        <v>29.8</v>
      </c>
      <c r="N12" s="111" t="s">
        <v>334</v>
      </c>
      <c r="O12" s="36" t="s">
        <v>235</v>
      </c>
      <c r="P12" s="36"/>
      <c r="Q12" s="39">
        <f>12*'CNC lathe'!B6+6*'CNC lathe'!B7</f>
        <v>19200</v>
      </c>
      <c r="R12" s="36">
        <v>10</v>
      </c>
      <c r="S12" s="71">
        <f>Q12/R12</f>
        <v>1920</v>
      </c>
      <c r="U12" s="8"/>
      <c r="V12" t="s">
        <v>28</v>
      </c>
    </row>
    <row r="13" spans="1:27" ht="18" thickBot="1" x14ac:dyDescent="0.3">
      <c r="A13" s="82"/>
      <c r="B13" s="72" t="s">
        <v>539</v>
      </c>
      <c r="C13" s="73">
        <f>Energies!C10</f>
        <v>2.2160000000000002</v>
      </c>
      <c r="D13" s="83"/>
      <c r="F13" s="122" t="s">
        <v>283</v>
      </c>
      <c r="G13" s="110" t="s">
        <v>157</v>
      </c>
      <c r="H13" s="69">
        <f>C6</f>
        <v>39809</v>
      </c>
      <c r="I13" s="85">
        <v>1</v>
      </c>
      <c r="J13" s="97">
        <f t="shared" si="0"/>
        <v>39809</v>
      </c>
      <c r="L13" s="52" t="s">
        <v>247</v>
      </c>
      <c r="M13" s="140">
        <f>C9</f>
        <v>0.8</v>
      </c>
      <c r="N13" s="111" t="s">
        <v>347</v>
      </c>
      <c r="O13" s="36" t="s">
        <v>235</v>
      </c>
      <c r="P13" s="36"/>
      <c r="Q13" s="39">
        <f>'CNC lathe'!B8*30</f>
        <v>4800</v>
      </c>
      <c r="R13" s="36">
        <v>5</v>
      </c>
      <c r="S13" s="71">
        <f t="shared" ref="S13:S14" si="3">Q13/R13</f>
        <v>960</v>
      </c>
    </row>
    <row r="14" spans="1:27" x14ac:dyDescent="0.25">
      <c r="A14" s="84" t="s">
        <v>336</v>
      </c>
      <c r="B14" s="68" t="s">
        <v>498</v>
      </c>
      <c r="C14" s="85">
        <v>1.12964</v>
      </c>
      <c r="D14" s="74"/>
      <c r="F14" s="123"/>
      <c r="G14" s="111" t="s">
        <v>273</v>
      </c>
      <c r="H14" s="39">
        <f>C5*0.4</f>
        <v>27937.200000000001</v>
      </c>
      <c r="I14" s="66">
        <v>1</v>
      </c>
      <c r="J14" s="107">
        <f t="shared" si="0"/>
        <v>27937.200000000001</v>
      </c>
      <c r="L14" s="52" t="s">
        <v>248</v>
      </c>
      <c r="M14" s="139">
        <v>5</v>
      </c>
      <c r="N14" s="111" t="s">
        <v>22</v>
      </c>
      <c r="O14" s="36" t="s">
        <v>235</v>
      </c>
      <c r="P14" s="36" t="s">
        <v>240</v>
      </c>
      <c r="Q14" s="37">
        <f>0.05*Q11</f>
        <v>6686</v>
      </c>
      <c r="R14" s="36">
        <v>1</v>
      </c>
      <c r="S14" s="71">
        <f t="shared" si="3"/>
        <v>6686</v>
      </c>
    </row>
    <row r="15" spans="1:27" ht="15.75" thickBot="1" x14ac:dyDescent="0.3">
      <c r="A15" s="86"/>
      <c r="B15" s="72" t="s">
        <v>203</v>
      </c>
      <c r="C15" s="77">
        <v>0.2</v>
      </c>
      <c r="D15" s="78"/>
      <c r="F15" s="123"/>
      <c r="G15" s="111" t="s">
        <v>516</v>
      </c>
      <c r="H15" s="39">
        <f>'Manpower &amp; time'!G9</f>
        <v>11403.29</v>
      </c>
      <c r="I15" s="66">
        <v>1</v>
      </c>
      <c r="J15" s="107">
        <f t="shared" si="0"/>
        <v>11403.29</v>
      </c>
      <c r="L15" s="52" t="s">
        <v>505</v>
      </c>
      <c r="M15" s="141">
        <f>1/10000</f>
        <v>1E-4</v>
      </c>
      <c r="N15" s="111" t="s">
        <v>19</v>
      </c>
      <c r="O15" s="36" t="s">
        <v>236</v>
      </c>
      <c r="P15" s="36" t="s">
        <v>286</v>
      </c>
      <c r="Q15" s="65">
        <f>M12*0.8*C12</f>
        <v>1.8666720000000001</v>
      </c>
      <c r="R15" s="36"/>
      <c r="S15" s="151"/>
    </row>
    <row r="16" spans="1:27" ht="15.75" thickBot="1" x14ac:dyDescent="0.3">
      <c r="F16" s="124"/>
      <c r="G16" s="112" t="s">
        <v>284</v>
      </c>
      <c r="H16" s="73">
        <f>'Manpower &amp; time'!B32</f>
        <v>13108.788</v>
      </c>
      <c r="I16" s="108">
        <v>1</v>
      </c>
      <c r="J16" s="98">
        <f t="shared" si="0"/>
        <v>13108.788</v>
      </c>
      <c r="L16" s="52" t="s">
        <v>543</v>
      </c>
      <c r="M16" s="141">
        <f>M15*0.5</f>
        <v>5.0000000000000002E-5</v>
      </c>
      <c r="N16" s="111" t="s">
        <v>238</v>
      </c>
      <c r="O16" s="36" t="s">
        <v>236</v>
      </c>
      <c r="P16" s="36" t="s">
        <v>286</v>
      </c>
      <c r="Q16" s="37">
        <v>10</v>
      </c>
      <c r="R16" s="36"/>
      <c r="S16" s="151"/>
    </row>
    <row r="17" spans="6:19" x14ac:dyDescent="0.25">
      <c r="F17" s="125" t="s">
        <v>39</v>
      </c>
      <c r="G17" s="110" t="s">
        <v>40</v>
      </c>
      <c r="H17" s="69">
        <f>IT!D11+2*IT!D12+IT!D13+6*IT!D15+IT!D16+4*IT!D17+IT!D18</f>
        <v>6843.36</v>
      </c>
      <c r="I17" s="85">
        <v>3</v>
      </c>
      <c r="J17" s="97">
        <f t="shared" si="0"/>
        <v>2281.12</v>
      </c>
      <c r="L17" s="52" t="s">
        <v>404</v>
      </c>
      <c r="M17" s="141">
        <f>M15*0.4</f>
        <v>4.0000000000000003E-5</v>
      </c>
      <c r="N17" s="111" t="s">
        <v>237</v>
      </c>
      <c r="O17" s="36" t="s">
        <v>236</v>
      </c>
      <c r="P17" s="36" t="s">
        <v>333</v>
      </c>
      <c r="Q17" s="39">
        <f>'CNC lathe'!F14</f>
        <v>88.025599999999997</v>
      </c>
      <c r="R17" s="36">
        <v>1</v>
      </c>
      <c r="S17" s="71">
        <f>Q17/R17</f>
        <v>88.025599999999997</v>
      </c>
    </row>
    <row r="18" spans="6:19" ht="15.75" thickBot="1" x14ac:dyDescent="0.3">
      <c r="F18" s="126"/>
      <c r="G18" s="111" t="s">
        <v>228</v>
      </c>
      <c r="H18" s="39">
        <f>IT!D5</f>
        <v>192.96</v>
      </c>
      <c r="I18" s="66">
        <v>3</v>
      </c>
      <c r="J18" s="107">
        <f t="shared" si="0"/>
        <v>64.320000000000007</v>
      </c>
      <c r="L18" s="149" t="s">
        <v>266</v>
      </c>
      <c r="M18" s="150">
        <v>15</v>
      </c>
      <c r="N18" s="112"/>
      <c r="O18" s="72"/>
      <c r="P18" s="72"/>
      <c r="Q18" s="72"/>
      <c r="R18" s="72"/>
      <c r="S18" s="83"/>
    </row>
    <row r="19" spans="6:19" ht="30" x14ac:dyDescent="0.25">
      <c r="F19" s="126"/>
      <c r="G19" s="223" t="s">
        <v>540</v>
      </c>
      <c r="H19" s="39">
        <f>2*IT!D6+IT!D7+2*IT!D8+IT!D9</f>
        <v>277.54199999999997</v>
      </c>
      <c r="I19" s="66">
        <v>1</v>
      </c>
      <c r="J19" s="107">
        <f t="shared" si="0"/>
        <v>277.54199999999997</v>
      </c>
      <c r="L19" s="212" t="s">
        <v>20</v>
      </c>
      <c r="M19" s="213"/>
      <c r="N19" s="110" t="s">
        <v>21</v>
      </c>
      <c r="O19" s="68" t="s">
        <v>235</v>
      </c>
      <c r="P19" s="68"/>
      <c r="Q19" s="69">
        <f>'Laser cutter'!G4</f>
        <v>185010.26875818847</v>
      </c>
      <c r="R19" s="68">
        <v>10</v>
      </c>
      <c r="S19" s="70">
        <f>Q19/R19</f>
        <v>18501.026875818847</v>
      </c>
    </row>
    <row r="20" spans="6:19" x14ac:dyDescent="0.25">
      <c r="F20" s="126"/>
      <c r="G20" s="111" t="s">
        <v>204</v>
      </c>
      <c r="H20" s="39">
        <f>IT!D3*12*3</f>
        <v>316.8</v>
      </c>
      <c r="I20" s="66">
        <v>1</v>
      </c>
      <c r="J20" s="107">
        <f t="shared" si="0"/>
        <v>316.8</v>
      </c>
      <c r="L20" s="51" t="s">
        <v>285</v>
      </c>
      <c r="M20" s="142">
        <v>7.5</v>
      </c>
      <c r="N20" s="111" t="s">
        <v>22</v>
      </c>
      <c r="O20" s="36" t="s">
        <v>235</v>
      </c>
      <c r="P20" s="36" t="s">
        <v>240</v>
      </c>
      <c r="Q20" s="39">
        <f>0.05*Q19</f>
        <v>9250.5134379094234</v>
      </c>
      <c r="R20" s="36">
        <v>1</v>
      </c>
      <c r="S20" s="71">
        <f>Q20/R20</f>
        <v>9250.5134379094234</v>
      </c>
    </row>
    <row r="21" spans="6:19" x14ac:dyDescent="0.25">
      <c r="F21" s="126"/>
      <c r="G21" s="111" t="s">
        <v>205</v>
      </c>
      <c r="H21" s="39">
        <f>IT!D2*2</f>
        <v>796.80000000000007</v>
      </c>
      <c r="I21" s="66">
        <v>1</v>
      </c>
      <c r="J21" s="107">
        <f t="shared" si="0"/>
        <v>796.80000000000007</v>
      </c>
      <c r="L21" s="51" t="s">
        <v>247</v>
      </c>
      <c r="M21" s="143">
        <v>0.7</v>
      </c>
      <c r="N21" s="111" t="s">
        <v>23</v>
      </c>
      <c r="O21" s="36" t="s">
        <v>236</v>
      </c>
      <c r="P21" s="36" t="s">
        <v>286</v>
      </c>
      <c r="Q21" s="65">
        <f>M20*0.8*C12</f>
        <v>0.4698</v>
      </c>
      <c r="R21" s="36"/>
      <c r="S21" s="151"/>
    </row>
    <row r="22" spans="6:19" x14ac:dyDescent="0.25">
      <c r="F22" s="126"/>
      <c r="G22" s="111" t="s">
        <v>41</v>
      </c>
      <c r="H22" s="39">
        <f>12*IT!D20</f>
        <v>1224</v>
      </c>
      <c r="I22" s="66">
        <v>1</v>
      </c>
      <c r="J22" s="107">
        <f t="shared" si="0"/>
        <v>1224</v>
      </c>
      <c r="L22" s="51" t="s">
        <v>248</v>
      </c>
      <c r="M22" s="142">
        <v>5</v>
      </c>
      <c r="N22" s="111" t="s">
        <v>431</v>
      </c>
      <c r="O22" s="36" t="s">
        <v>236</v>
      </c>
      <c r="P22" s="36" t="s">
        <v>286</v>
      </c>
      <c r="Q22" s="39">
        <f>'Laser cutter'!G5/20</f>
        <v>5.0728</v>
      </c>
      <c r="R22" s="36"/>
      <c r="S22" s="151"/>
    </row>
    <row r="23" spans="6:19" ht="15.75" thickBot="1" x14ac:dyDescent="0.3">
      <c r="F23" s="127"/>
      <c r="G23" s="112" t="s">
        <v>403</v>
      </c>
      <c r="H23" s="73">
        <f>IT!D23+IT!D22</f>
        <v>381</v>
      </c>
      <c r="I23" s="108">
        <v>3</v>
      </c>
      <c r="J23" s="98">
        <f t="shared" si="0"/>
        <v>127</v>
      </c>
      <c r="L23" s="51" t="s">
        <v>506</v>
      </c>
      <c r="M23" s="144">
        <v>4.6000000000000001E-4</v>
      </c>
      <c r="N23" s="132"/>
      <c r="O23" s="94"/>
      <c r="P23" s="94"/>
      <c r="Q23" s="94"/>
      <c r="R23" s="94"/>
      <c r="S23" s="155"/>
    </row>
    <row r="24" spans="6:19" x14ac:dyDescent="0.25">
      <c r="F24" s="116" t="s">
        <v>397</v>
      </c>
      <c r="G24" s="110" t="s">
        <v>42</v>
      </c>
      <c r="H24" s="109">
        <v>200</v>
      </c>
      <c r="I24" s="85">
        <v>1</v>
      </c>
      <c r="J24" s="97">
        <f t="shared" si="0"/>
        <v>200</v>
      </c>
      <c r="L24" s="51" t="s">
        <v>529</v>
      </c>
      <c r="M24" s="145">
        <v>1.5</v>
      </c>
      <c r="N24" s="132"/>
      <c r="O24" s="95"/>
      <c r="P24" s="94"/>
      <c r="Q24" s="95"/>
      <c r="R24" s="94"/>
      <c r="S24" s="156"/>
    </row>
    <row r="25" spans="6:19" ht="15.75" thickBot="1" x14ac:dyDescent="0.3">
      <c r="F25" s="118"/>
      <c r="G25" s="112" t="s">
        <v>337</v>
      </c>
      <c r="H25" s="73">
        <f>Office!D2*2+Office!D3*2+Office!D4*2+Office!D5*2+Office!D6+Office!D7+Office!D8*10</f>
        <v>10550</v>
      </c>
      <c r="I25" s="72">
        <v>10</v>
      </c>
      <c r="J25" s="98">
        <f>H25/I25</f>
        <v>1055</v>
      </c>
      <c r="L25" s="51" t="s">
        <v>530</v>
      </c>
      <c r="M25" s="145">
        <v>1</v>
      </c>
      <c r="N25" s="133"/>
      <c r="O25" s="96"/>
      <c r="P25" s="96"/>
      <c r="Q25" s="96"/>
      <c r="R25" s="96"/>
      <c r="S25" s="157"/>
    </row>
    <row r="26" spans="6:19" ht="15.75" thickBot="1" x14ac:dyDescent="0.3">
      <c r="F26" s="119" t="s">
        <v>44</v>
      </c>
      <c r="G26" s="222" t="s">
        <v>417</v>
      </c>
      <c r="H26" s="69">
        <f>SUM(Manufacturing!F2:F7)+Manufacturing!F8*4</f>
        <v>19442.431854396091</v>
      </c>
      <c r="I26" s="68">
        <v>10</v>
      </c>
      <c r="J26" s="97">
        <f t="shared" si="0"/>
        <v>1944.2431854396091</v>
      </c>
      <c r="L26" s="158" t="s">
        <v>371</v>
      </c>
      <c r="M26" s="159">
        <v>8</v>
      </c>
      <c r="N26" s="112"/>
      <c r="O26" s="72"/>
      <c r="P26" s="72"/>
      <c r="Q26" s="72"/>
      <c r="R26" s="72"/>
      <c r="S26" s="83"/>
    </row>
    <row r="27" spans="6:19" x14ac:dyDescent="0.25">
      <c r="F27" s="120"/>
      <c r="G27" s="111" t="s">
        <v>405</v>
      </c>
      <c r="H27" s="39">
        <f>Manufacturing!F32</f>
        <v>3259</v>
      </c>
      <c r="I27" s="36">
        <v>10</v>
      </c>
      <c r="J27" s="107">
        <f t="shared" si="0"/>
        <v>325.89999999999998</v>
      </c>
      <c r="L27" s="56" t="s">
        <v>24</v>
      </c>
      <c r="M27" s="160"/>
      <c r="N27" s="110" t="s">
        <v>260</v>
      </c>
      <c r="O27" s="68" t="s">
        <v>235</v>
      </c>
      <c r="P27" s="68"/>
      <c r="Q27" s="69">
        <f>Welding!F2+Welding!F3</f>
        <v>5308.6</v>
      </c>
      <c r="R27" s="68">
        <v>10</v>
      </c>
      <c r="S27" s="70">
        <f>Q27/R27</f>
        <v>530.86</v>
      </c>
    </row>
    <row r="28" spans="6:19" x14ac:dyDescent="0.25">
      <c r="F28" s="120"/>
      <c r="G28" s="111" t="s">
        <v>512</v>
      </c>
      <c r="H28" s="39">
        <f>Manufacturing!F36</f>
        <v>1031.54</v>
      </c>
      <c r="I28" s="36">
        <v>10</v>
      </c>
      <c r="J28" s="107">
        <f t="shared" si="0"/>
        <v>103.154</v>
      </c>
      <c r="L28" s="54"/>
      <c r="M28" s="134"/>
      <c r="N28" s="111" t="s">
        <v>43</v>
      </c>
      <c r="O28" s="36" t="s">
        <v>235</v>
      </c>
      <c r="P28" s="36"/>
      <c r="Q28" s="39">
        <f>Welding!F4</f>
        <v>3859.6</v>
      </c>
      <c r="R28" s="36">
        <v>10</v>
      </c>
      <c r="S28" s="71">
        <f t="shared" ref="S28:S32" si="4">Q28/R28</f>
        <v>385.96</v>
      </c>
    </row>
    <row r="29" spans="6:19" x14ac:dyDescent="0.25">
      <c r="F29" s="120"/>
      <c r="G29" s="111" t="s">
        <v>326</v>
      </c>
      <c r="H29" s="39">
        <f>Manufacturing!F10*3+Manufacturing!F11*3</f>
        <v>8137.4519999999993</v>
      </c>
      <c r="I29" s="36">
        <v>10</v>
      </c>
      <c r="J29" s="107">
        <f t="shared" si="0"/>
        <v>813.74519999999995</v>
      </c>
      <c r="L29" s="54" t="s">
        <v>247</v>
      </c>
      <c r="M29" s="135">
        <f>C9</f>
        <v>0.8</v>
      </c>
      <c r="N29" s="111" t="s">
        <v>265</v>
      </c>
      <c r="O29" s="36" t="s">
        <v>235</v>
      </c>
      <c r="P29" s="36"/>
      <c r="Q29" s="39">
        <f>Welding!F6</f>
        <v>146</v>
      </c>
      <c r="R29" s="36">
        <v>5</v>
      </c>
      <c r="S29" s="71">
        <f t="shared" si="4"/>
        <v>29.2</v>
      </c>
    </row>
    <row r="30" spans="6:19" x14ac:dyDescent="0.25">
      <c r="F30" s="120"/>
      <c r="G30" s="223" t="s">
        <v>380</v>
      </c>
      <c r="H30" s="39">
        <f>0.5*H29</f>
        <v>4068.7259999999997</v>
      </c>
      <c r="I30" s="36">
        <v>10</v>
      </c>
      <c r="J30" s="107">
        <f t="shared" si="0"/>
        <v>406.87259999999998</v>
      </c>
      <c r="L30" s="54" t="s">
        <v>480</v>
      </c>
      <c r="M30" s="146">
        <f>Welding!B32</f>
        <v>140.43083213990764</v>
      </c>
      <c r="N30" s="111" t="s">
        <v>32</v>
      </c>
      <c r="O30" s="36" t="s">
        <v>235</v>
      </c>
      <c r="P30" s="36"/>
      <c r="Q30" s="39">
        <f>Welding!F6+Welding!F7</f>
        <v>196</v>
      </c>
      <c r="R30" s="36">
        <v>2</v>
      </c>
      <c r="S30" s="71">
        <f t="shared" si="4"/>
        <v>98</v>
      </c>
    </row>
    <row r="31" spans="6:19" x14ac:dyDescent="0.25">
      <c r="F31" s="120"/>
      <c r="G31" s="111" t="s">
        <v>381</v>
      </c>
      <c r="H31" s="39">
        <v>4000</v>
      </c>
      <c r="I31" s="36">
        <v>5</v>
      </c>
      <c r="J31" s="107">
        <f t="shared" si="0"/>
        <v>800</v>
      </c>
      <c r="L31" s="54"/>
      <c r="M31" s="134"/>
      <c r="N31" s="111" t="s">
        <v>252</v>
      </c>
      <c r="O31" s="36" t="s">
        <v>235</v>
      </c>
      <c r="P31" s="36"/>
      <c r="Q31" s="39">
        <f>Welding!F5</f>
        <v>8579</v>
      </c>
      <c r="R31" s="36">
        <v>10</v>
      </c>
      <c r="S31" s="71">
        <f t="shared" si="4"/>
        <v>857.9</v>
      </c>
    </row>
    <row r="32" spans="6:19" x14ac:dyDescent="0.25">
      <c r="F32" s="120"/>
      <c r="G32" s="111" t="s">
        <v>382</v>
      </c>
      <c r="H32" s="39">
        <v>3000</v>
      </c>
      <c r="I32" s="36">
        <v>1</v>
      </c>
      <c r="J32" s="107">
        <f t="shared" si="0"/>
        <v>3000</v>
      </c>
      <c r="L32" s="54"/>
      <c r="M32" s="134"/>
      <c r="N32" s="111" t="s">
        <v>22</v>
      </c>
      <c r="O32" s="36" t="s">
        <v>235</v>
      </c>
      <c r="P32" s="36" t="s">
        <v>264</v>
      </c>
      <c r="Q32" s="39">
        <f>0.03*(Q27+Q28)</f>
        <v>275.04599999999999</v>
      </c>
      <c r="R32" s="36">
        <v>1</v>
      </c>
      <c r="S32" s="71">
        <f t="shared" si="4"/>
        <v>275.04599999999999</v>
      </c>
    </row>
    <row r="33" spans="6:19" x14ac:dyDescent="0.25">
      <c r="F33" s="120"/>
      <c r="G33" s="111" t="s">
        <v>386</v>
      </c>
      <c r="H33" s="39">
        <f>Manufacturing!F23</f>
        <v>2302.5700000000002</v>
      </c>
      <c r="I33" s="36">
        <v>10</v>
      </c>
      <c r="J33" s="107">
        <f t="shared" si="0"/>
        <v>230.25700000000001</v>
      </c>
      <c r="L33" s="54"/>
      <c r="M33" s="134"/>
      <c r="N33" s="111" t="s">
        <v>19</v>
      </c>
      <c r="O33" s="36" t="s">
        <v>236</v>
      </c>
      <c r="P33" s="36" t="s">
        <v>538</v>
      </c>
      <c r="Q33" s="65">
        <f>(0.75+0.5)*C12</f>
        <v>9.787499999999999E-2</v>
      </c>
      <c r="R33" s="36"/>
      <c r="S33" s="151"/>
    </row>
    <row r="34" spans="6:19" x14ac:dyDescent="0.25">
      <c r="F34" s="120"/>
      <c r="G34" s="111" t="s">
        <v>46</v>
      </c>
      <c r="H34" s="39">
        <f>Manufacturing!F20*6+Manufacturing!F21*3</f>
        <v>7066.95</v>
      </c>
      <c r="I34" s="36">
        <v>10</v>
      </c>
      <c r="J34" s="107">
        <f t="shared" si="0"/>
        <v>706.69499999999994</v>
      </c>
      <c r="L34" s="137"/>
      <c r="M34" s="138"/>
      <c r="N34" s="111" t="s">
        <v>478</v>
      </c>
      <c r="O34" s="208" t="s">
        <v>236</v>
      </c>
      <c r="P34" s="209" t="s">
        <v>477</v>
      </c>
      <c r="Q34" s="39">
        <f>Welding!B29</f>
        <v>8.5247116655159064E-2</v>
      </c>
      <c r="R34" s="36"/>
      <c r="S34" s="151"/>
    </row>
    <row r="35" spans="6:19" x14ac:dyDescent="0.25">
      <c r="F35" s="120"/>
      <c r="G35" s="111" t="s">
        <v>398</v>
      </c>
      <c r="H35" s="39">
        <f>Manufacturing!F25*5+Manufacturing!F26+Manufacturing!F27+Manufacturing!F28+Manufacturing!F29*3+Manufacturing!F30*30</f>
        <v>7110.13</v>
      </c>
      <c r="I35" s="36">
        <v>10</v>
      </c>
      <c r="J35" s="107">
        <f t="shared" si="0"/>
        <v>711.01300000000003</v>
      </c>
      <c r="L35" s="147"/>
      <c r="M35" s="148"/>
      <c r="N35" s="111" t="s">
        <v>479</v>
      </c>
      <c r="O35" s="208"/>
      <c r="P35" s="209"/>
      <c r="Q35" s="39">
        <f>Welding!B23</f>
        <v>5.0185057685504804E-2</v>
      </c>
      <c r="R35" s="36"/>
      <c r="S35" s="151"/>
    </row>
    <row r="36" spans="6:19" ht="15.75" thickBot="1" x14ac:dyDescent="0.3">
      <c r="F36" s="120"/>
      <c r="G36" s="114" t="s">
        <v>378</v>
      </c>
      <c r="H36" s="39">
        <f>Manufacturing!F17</f>
        <v>12999</v>
      </c>
      <c r="I36" s="36">
        <v>10</v>
      </c>
      <c r="J36" s="107">
        <f>H36/I36</f>
        <v>1299.9000000000001</v>
      </c>
      <c r="L36" s="33"/>
      <c r="M36" s="161"/>
      <c r="N36" s="112" t="s">
        <v>253</v>
      </c>
      <c r="O36" s="72" t="s">
        <v>236</v>
      </c>
      <c r="P36" s="72" t="s">
        <v>477</v>
      </c>
      <c r="Q36" s="73">
        <f>Welding!B17</f>
        <v>14.354066985645932</v>
      </c>
      <c r="R36" s="72"/>
      <c r="S36" s="83"/>
    </row>
    <row r="37" spans="6:19" x14ac:dyDescent="0.25">
      <c r="F37" s="120"/>
      <c r="G37" s="114" t="s">
        <v>379</v>
      </c>
      <c r="H37" s="39">
        <f>15*C12*C7*C8</f>
        <v>1874.5019999999997</v>
      </c>
      <c r="I37" s="36">
        <v>1</v>
      </c>
      <c r="J37" s="107">
        <f>H37/I37</f>
        <v>1874.5019999999997</v>
      </c>
      <c r="L37" s="169" t="s">
        <v>418</v>
      </c>
      <c r="M37" s="192"/>
      <c r="N37" s="110" t="s">
        <v>483</v>
      </c>
      <c r="O37" s="68" t="s">
        <v>235</v>
      </c>
      <c r="P37" s="68"/>
      <c r="Q37" s="154">
        <f>'Conventionnal machinning'!B2</f>
        <v>15000</v>
      </c>
      <c r="R37" s="68">
        <v>10</v>
      </c>
      <c r="S37" s="70">
        <f>Q37/R37</f>
        <v>1500</v>
      </c>
    </row>
    <row r="38" spans="6:19" ht="15.75" thickBot="1" x14ac:dyDescent="0.3">
      <c r="F38" s="121"/>
      <c r="G38" s="115" t="s">
        <v>514</v>
      </c>
      <c r="H38" s="73">
        <f>2*Manufacturing!F34</f>
        <v>2150</v>
      </c>
      <c r="I38" s="72">
        <v>10</v>
      </c>
      <c r="J38" s="98">
        <f>H38/I38</f>
        <v>215</v>
      </c>
      <c r="L38" s="52" t="s">
        <v>285</v>
      </c>
      <c r="M38" s="139">
        <v>6</v>
      </c>
      <c r="N38" s="111" t="s">
        <v>489</v>
      </c>
      <c r="O38" s="36" t="s">
        <v>235</v>
      </c>
      <c r="P38" s="36"/>
      <c r="Q38" s="39">
        <f>'Conventionnal machinning'!B4</f>
        <v>10000</v>
      </c>
      <c r="R38" s="36">
        <v>10</v>
      </c>
      <c r="S38" s="71">
        <f>Q38/R38</f>
        <v>1000</v>
      </c>
    </row>
    <row r="39" spans="6:19" ht="15.75" thickBot="1" x14ac:dyDescent="0.3">
      <c r="F39" s="25"/>
      <c r="G39" s="21"/>
      <c r="J39" s="12"/>
      <c r="L39" s="52" t="s">
        <v>247</v>
      </c>
      <c r="M39" s="140">
        <v>0.44</v>
      </c>
      <c r="N39" s="111" t="s">
        <v>497</v>
      </c>
      <c r="O39" s="36" t="s">
        <v>235</v>
      </c>
      <c r="P39" s="36"/>
      <c r="Q39" s="39">
        <f>(Q5+Q4+Q12+Q13)*0.25</f>
        <v>7625</v>
      </c>
      <c r="R39" s="36">
        <v>5</v>
      </c>
      <c r="S39" s="71">
        <f t="shared" ref="S39:S40" si="5">Q39/R39</f>
        <v>1525</v>
      </c>
    </row>
    <row r="40" spans="6:19" ht="15.75" thickBot="1" x14ac:dyDescent="0.3">
      <c r="F40" s="185" t="s">
        <v>541</v>
      </c>
      <c r="G40" s="186"/>
      <c r="H40" s="186"/>
      <c r="I40" s="186"/>
      <c r="J40" s="187"/>
      <c r="L40" s="52" t="s">
        <v>248</v>
      </c>
      <c r="M40" s="139">
        <v>5</v>
      </c>
      <c r="N40" s="111" t="s">
        <v>22</v>
      </c>
      <c r="O40" s="36" t="s">
        <v>235</v>
      </c>
      <c r="P40" s="36" t="s">
        <v>490</v>
      </c>
      <c r="Q40" s="37">
        <f>0.03*(Q38+Q37)</f>
        <v>750</v>
      </c>
      <c r="R40" s="36">
        <v>1</v>
      </c>
      <c r="S40" s="71">
        <f t="shared" si="5"/>
        <v>750</v>
      </c>
    </row>
    <row r="41" spans="6:19" x14ac:dyDescent="0.25">
      <c r="F41" s="199" t="s">
        <v>338</v>
      </c>
      <c r="G41" s="190" t="s">
        <v>500</v>
      </c>
      <c r="H41" s="190"/>
      <c r="I41" s="191"/>
      <c r="J41" s="97">
        <f>SUM(J3:J38)*1.05</f>
        <v>128441.41571598139</v>
      </c>
      <c r="L41" s="52" t="s">
        <v>507</v>
      </c>
      <c r="M41" s="141">
        <f>3*1/10000</f>
        <v>2.9999999999999997E-4</v>
      </c>
      <c r="N41" s="111" t="s">
        <v>19</v>
      </c>
      <c r="O41" s="36" t="s">
        <v>236</v>
      </c>
      <c r="P41" s="36" t="s">
        <v>286</v>
      </c>
      <c r="Q41" s="65">
        <f>M38*0.8*C12</f>
        <v>0.37584000000000001</v>
      </c>
      <c r="R41" s="36"/>
      <c r="S41" s="151"/>
    </row>
    <row r="42" spans="6:19" ht="15.75" thickBot="1" x14ac:dyDescent="0.3">
      <c r="F42" s="200"/>
      <c r="G42" s="188" t="s">
        <v>298</v>
      </c>
      <c r="H42" s="188"/>
      <c r="I42" s="189"/>
      <c r="J42" s="98">
        <f>J41/SUM('Manpower &amp; time'!B28:I28)</f>
        <v>11.782881041914944</v>
      </c>
      <c r="L42" s="149" t="s">
        <v>266</v>
      </c>
      <c r="M42" s="150">
        <v>10</v>
      </c>
      <c r="N42" s="112" t="s">
        <v>491</v>
      </c>
      <c r="O42" s="72" t="s">
        <v>236</v>
      </c>
      <c r="P42" s="72" t="s">
        <v>286</v>
      </c>
      <c r="Q42" s="162">
        <v>10</v>
      </c>
      <c r="R42" s="72"/>
      <c r="S42" s="83"/>
    </row>
    <row r="43" spans="6:19" ht="15.75" thickBot="1" x14ac:dyDescent="0.3">
      <c r="F43" s="201" t="s">
        <v>339</v>
      </c>
      <c r="G43" s="191" t="s">
        <v>340</v>
      </c>
      <c r="H43" s="193"/>
      <c r="I43" s="193"/>
      <c r="J43" s="99">
        <f>'Manpower &amp; time'!H5</f>
        <v>12.68856351404828</v>
      </c>
    </row>
    <row r="44" spans="6:19" ht="15.75" thickBot="1" x14ac:dyDescent="0.3">
      <c r="F44" s="202"/>
      <c r="G44" s="194" t="s">
        <v>351</v>
      </c>
      <c r="H44" s="195"/>
      <c r="I44" s="195"/>
      <c r="J44" s="100">
        <f>'Manpower &amp; time'!H6</f>
        <v>23.630193905817173</v>
      </c>
      <c r="L44" s="204" t="s">
        <v>542</v>
      </c>
      <c r="M44" s="205"/>
      <c r="N44" s="205"/>
      <c r="O44" s="205"/>
      <c r="P44" s="205"/>
      <c r="Q44" s="205"/>
      <c r="R44" s="206"/>
    </row>
    <row r="45" spans="6:19" x14ac:dyDescent="0.25">
      <c r="F45" s="202"/>
      <c r="G45" s="194" t="s">
        <v>494</v>
      </c>
      <c r="H45" s="195"/>
      <c r="I45" s="195"/>
      <c r="J45" s="100">
        <f>'Manpower &amp; time'!H7</f>
        <v>29.773842500989314</v>
      </c>
      <c r="L45" s="183" t="s">
        <v>504</v>
      </c>
      <c r="M45" s="184"/>
      <c r="N45" s="171" t="s">
        <v>307</v>
      </c>
      <c r="O45" s="171"/>
      <c r="P45" s="171"/>
      <c r="Q45" s="171"/>
      <c r="R45" s="87">
        <f>SUM(S3:S6)+S9</f>
        <v>17591.025600000001</v>
      </c>
    </row>
    <row r="46" spans="6:19" ht="15.75" thickBot="1" x14ac:dyDescent="0.3">
      <c r="F46" s="203"/>
      <c r="G46" s="189" t="s">
        <v>341</v>
      </c>
      <c r="H46" s="207"/>
      <c r="I46" s="207"/>
      <c r="J46" s="101">
        <f>'Manpower &amp; time'!H8</f>
        <v>41.458053027305105</v>
      </c>
      <c r="L46" s="166" t="s">
        <v>508</v>
      </c>
      <c r="M46" s="167"/>
      <c r="N46" s="168" t="s">
        <v>308</v>
      </c>
      <c r="O46" s="168"/>
      <c r="P46" s="168"/>
      <c r="Q46" s="168"/>
      <c r="R46" s="88">
        <f>R45/(M5*C7*C8)+J42</f>
        <v>25.560313372742012</v>
      </c>
    </row>
    <row r="47" spans="6:19" x14ac:dyDescent="0.25">
      <c r="J47" s="24"/>
      <c r="L47" s="47" t="s">
        <v>511</v>
      </c>
      <c r="M47" s="48">
        <v>2.5</v>
      </c>
      <c r="N47" s="168" t="s">
        <v>309</v>
      </c>
      <c r="O47" s="168"/>
      <c r="P47" s="168"/>
      <c r="Q47" s="168"/>
      <c r="R47" s="88">
        <f>R46+Q8+Q7</f>
        <v>46.963449372742012</v>
      </c>
    </row>
    <row r="48" spans="6:19" x14ac:dyDescent="0.25">
      <c r="J48" s="24"/>
      <c r="L48" s="47" t="s">
        <v>536</v>
      </c>
      <c r="M48" s="48">
        <v>0.5</v>
      </c>
      <c r="N48" s="168"/>
      <c r="O48" s="168"/>
      <c r="P48" s="168"/>
      <c r="Q48" s="168"/>
      <c r="R48" s="89"/>
    </row>
    <row r="49" spans="6:18" x14ac:dyDescent="0.25">
      <c r="I49" s="20"/>
      <c r="J49" s="24"/>
      <c r="L49" s="31"/>
      <c r="M49" s="32"/>
      <c r="N49" s="168" t="s">
        <v>294</v>
      </c>
      <c r="O49" s="168"/>
      <c r="P49" s="168"/>
      <c r="Q49" s="168"/>
      <c r="R49" s="90">
        <f>('Manpower &amp; time'!H5+R47)*M7/60</f>
        <v>9.9420021477983827E-5</v>
      </c>
    </row>
    <row r="50" spans="6:18" x14ac:dyDescent="0.25">
      <c r="I50" s="57"/>
      <c r="J50" s="24"/>
      <c r="L50" s="31"/>
      <c r="M50" s="32"/>
      <c r="N50" s="168" t="s">
        <v>499</v>
      </c>
      <c r="O50" s="168"/>
      <c r="P50" s="168"/>
      <c r="Q50" s="168"/>
      <c r="R50" s="91">
        <f>('Manpower &amp; time'!H5)*M7/60/R49</f>
        <v>0.21270972931171805</v>
      </c>
    </row>
    <row r="51" spans="6:18" x14ac:dyDescent="0.25">
      <c r="I51" s="1"/>
      <c r="J51" s="24"/>
      <c r="L51" s="31"/>
      <c r="M51" s="32"/>
      <c r="N51" s="168"/>
      <c r="O51" s="168"/>
      <c r="P51" s="168"/>
      <c r="Q51" s="168"/>
      <c r="R51" s="90"/>
    </row>
    <row r="52" spans="6:18" x14ac:dyDescent="0.25">
      <c r="L52" s="31"/>
      <c r="M52" s="32"/>
      <c r="N52" s="168" t="s">
        <v>297</v>
      </c>
      <c r="O52" s="168"/>
      <c r="P52" s="168"/>
      <c r="Q52" s="168"/>
      <c r="R52" s="90">
        <f>('Manpower &amp; time'!H5+J42)*M8/60</f>
        <v>2.0392870463302686E-5</v>
      </c>
    </row>
    <row r="53" spans="6:18" x14ac:dyDescent="0.25">
      <c r="J53" s="16"/>
      <c r="L53" s="31"/>
      <c r="M53" s="32"/>
      <c r="N53" s="168" t="s">
        <v>295</v>
      </c>
      <c r="O53" s="168"/>
      <c r="P53" s="168"/>
      <c r="Q53" s="168"/>
      <c r="R53" s="90">
        <f>('Manpower &amp; time'!H6+J42)*M8/60</f>
        <v>2.9510895789776764E-5</v>
      </c>
    </row>
    <row r="54" spans="6:18" x14ac:dyDescent="0.25">
      <c r="J54" s="15"/>
      <c r="L54" s="31"/>
      <c r="M54" s="32"/>
      <c r="N54" s="168" t="s">
        <v>296</v>
      </c>
      <c r="O54" s="168"/>
      <c r="P54" s="168"/>
      <c r="Q54" s="168"/>
      <c r="R54" s="90">
        <f>('Manpower &amp; time'!H8+J42)*M8/60</f>
        <v>4.4367445057683372E-5</v>
      </c>
    </row>
    <row r="55" spans="6:18" x14ac:dyDescent="0.25">
      <c r="J55" s="15"/>
      <c r="L55" s="31"/>
      <c r="M55" s="32"/>
      <c r="N55" s="168" t="s">
        <v>342</v>
      </c>
      <c r="O55" s="168"/>
      <c r="P55" s="168"/>
      <c r="Q55" s="168"/>
      <c r="R55" s="90">
        <f>('Manpower &amp; time'!H5+J42)*M$9/60</f>
        <v>1.6314296370642149E-5</v>
      </c>
    </row>
    <row r="56" spans="6:18" x14ac:dyDescent="0.25">
      <c r="J56" s="15"/>
      <c r="L56" s="31"/>
      <c r="M56" s="32"/>
      <c r="N56" s="168" t="s">
        <v>343</v>
      </c>
      <c r="O56" s="168"/>
      <c r="P56" s="168"/>
      <c r="Q56" s="168"/>
      <c r="R56" s="90">
        <f>('Manpower &amp; time'!H6+J42)*M$9/60</f>
        <v>2.3608716631821412E-5</v>
      </c>
    </row>
    <row r="57" spans="6:18" x14ac:dyDescent="0.25">
      <c r="J57" s="11"/>
      <c r="L57" s="31"/>
      <c r="M57" s="32"/>
      <c r="N57" s="168" t="s">
        <v>344</v>
      </c>
      <c r="O57" s="168"/>
      <c r="P57" s="168"/>
      <c r="Q57" s="168"/>
      <c r="R57" s="90">
        <f>('Manpower &amp; time'!H8+J42)*M$9/60</f>
        <v>3.5493956046146703E-5</v>
      </c>
    </row>
    <row r="58" spans="6:18" ht="15.75" thickBot="1" x14ac:dyDescent="0.3">
      <c r="L58" s="33"/>
      <c r="M58" s="34"/>
      <c r="N58" s="172" t="s">
        <v>306</v>
      </c>
      <c r="O58" s="172"/>
      <c r="P58" s="172"/>
      <c r="Q58" s="172"/>
      <c r="R58" s="92">
        <f>('Manpower &amp; time'!H5+R46)*(M10+M6)/60</f>
        <v>15.937032036162622</v>
      </c>
    </row>
    <row r="59" spans="6:18" x14ac:dyDescent="0.25">
      <c r="L59" s="169" t="s">
        <v>18</v>
      </c>
      <c r="M59" s="170"/>
      <c r="N59" s="171" t="s">
        <v>307</v>
      </c>
      <c r="O59" s="171"/>
      <c r="P59" s="171"/>
      <c r="Q59" s="171"/>
      <c r="R59" s="87">
        <f>SUM(S11:S14)+S17</f>
        <v>23026.025600000001</v>
      </c>
    </row>
    <row r="60" spans="6:18" x14ac:dyDescent="0.25">
      <c r="L60" s="215" t="s">
        <v>508</v>
      </c>
      <c r="M60" s="216"/>
      <c r="N60" s="168" t="s">
        <v>308</v>
      </c>
      <c r="O60" s="168"/>
      <c r="P60" s="168"/>
      <c r="Q60" s="168"/>
      <c r="R60" s="88">
        <f>R59/(M13*C7*C8)+J42</f>
        <v>29.817048961714445</v>
      </c>
    </row>
    <row r="61" spans="6:18" x14ac:dyDescent="0.25">
      <c r="J61" s="15"/>
      <c r="L61" s="49" t="s">
        <v>511</v>
      </c>
      <c r="M61" s="50">
        <v>2.5</v>
      </c>
      <c r="N61" s="168" t="s">
        <v>309</v>
      </c>
      <c r="O61" s="168"/>
      <c r="P61" s="168"/>
      <c r="Q61" s="168"/>
      <c r="R61" s="88">
        <f>R60+Q16+Q15</f>
        <v>41.68372096171445</v>
      </c>
    </row>
    <row r="62" spans="6:18" x14ac:dyDescent="0.25">
      <c r="L62" s="49" t="s">
        <v>536</v>
      </c>
      <c r="M62" s="50">
        <v>0.5</v>
      </c>
      <c r="N62" s="168"/>
      <c r="O62" s="168"/>
      <c r="P62" s="168"/>
      <c r="Q62" s="168"/>
      <c r="R62" s="89"/>
    </row>
    <row r="63" spans="6:18" x14ac:dyDescent="0.25">
      <c r="F63" s="21"/>
      <c r="L63" s="27"/>
      <c r="M63" s="28"/>
      <c r="N63" s="168" t="s">
        <v>294</v>
      </c>
      <c r="O63" s="168"/>
      <c r="P63" s="168"/>
      <c r="Q63" s="168"/>
      <c r="R63" s="90">
        <f>(J43+R61)*M15/60</f>
        <v>9.0620474126271213E-5</v>
      </c>
    </row>
    <row r="64" spans="6:18" x14ac:dyDescent="0.25">
      <c r="L64" s="27"/>
      <c r="M64" s="28"/>
      <c r="N64" s="168" t="s">
        <v>499</v>
      </c>
      <c r="O64" s="168"/>
      <c r="P64" s="168"/>
      <c r="Q64" s="168"/>
      <c r="R64" s="91">
        <f>(J43)*M15/60/R63</f>
        <v>0.23336454659550679</v>
      </c>
    </row>
    <row r="65" spans="12:18" x14ac:dyDescent="0.25">
      <c r="L65" s="27"/>
      <c r="M65" s="28"/>
      <c r="N65" s="168"/>
      <c r="O65" s="168"/>
      <c r="P65" s="168"/>
      <c r="Q65" s="168"/>
      <c r="R65" s="90"/>
    </row>
    <row r="66" spans="12:18" x14ac:dyDescent="0.25">
      <c r="L66" s="27"/>
      <c r="M66" s="28"/>
      <c r="N66" s="168" t="s">
        <v>297</v>
      </c>
      <c r="O66" s="168"/>
      <c r="P66" s="168"/>
      <c r="Q66" s="168"/>
      <c r="R66" s="90">
        <f>(J43+J42)*M$16/60</f>
        <v>2.0392870463302686E-5</v>
      </c>
    </row>
    <row r="67" spans="12:18" x14ac:dyDescent="0.25">
      <c r="L67" s="27"/>
      <c r="M67" s="28"/>
      <c r="N67" s="168" t="s">
        <v>295</v>
      </c>
      <c r="O67" s="168"/>
      <c r="P67" s="168"/>
      <c r="Q67" s="168"/>
      <c r="R67" s="90">
        <f>(J44+J42)*M$16/60</f>
        <v>2.9510895789776764E-5</v>
      </c>
    </row>
    <row r="68" spans="12:18" x14ac:dyDescent="0.25">
      <c r="L68" s="27"/>
      <c r="M68" s="28"/>
      <c r="N68" s="168" t="s">
        <v>296</v>
      </c>
      <c r="O68" s="168"/>
      <c r="P68" s="168"/>
      <c r="Q68" s="168"/>
      <c r="R68" s="90">
        <f>(J46+J42)*M$16/60</f>
        <v>4.4367445057683372E-5</v>
      </c>
    </row>
    <row r="69" spans="12:18" x14ac:dyDescent="0.25">
      <c r="L69" s="27"/>
      <c r="M69" s="28"/>
      <c r="N69" s="168" t="s">
        <v>342</v>
      </c>
      <c r="O69" s="168"/>
      <c r="P69" s="168"/>
      <c r="Q69" s="168"/>
      <c r="R69" s="90">
        <f>(J43+J42)*M$17/60</f>
        <v>1.6314296370642149E-5</v>
      </c>
    </row>
    <row r="70" spans="12:18" x14ac:dyDescent="0.25">
      <c r="L70" s="27"/>
      <c r="M70" s="28"/>
      <c r="N70" s="168" t="s">
        <v>343</v>
      </c>
      <c r="O70" s="168"/>
      <c r="P70" s="168"/>
      <c r="Q70" s="168"/>
      <c r="R70" s="90">
        <f>(J44+J42)*M$17/60</f>
        <v>2.3608716631821412E-5</v>
      </c>
    </row>
    <row r="71" spans="12:18" x14ac:dyDescent="0.25">
      <c r="L71" s="27"/>
      <c r="M71" s="28"/>
      <c r="N71" s="168" t="s">
        <v>344</v>
      </c>
      <c r="O71" s="168"/>
      <c r="P71" s="168"/>
      <c r="Q71" s="168"/>
      <c r="R71" s="90">
        <f>(J46+J42)*M$17/60</f>
        <v>3.5493956046146703E-5</v>
      </c>
    </row>
    <row r="72" spans="12:18" ht="15.75" thickBot="1" x14ac:dyDescent="0.3">
      <c r="L72" s="27"/>
      <c r="M72" s="28"/>
      <c r="N72" s="173" t="s">
        <v>306</v>
      </c>
      <c r="O72" s="173"/>
      <c r="P72" s="173"/>
      <c r="Q72" s="173"/>
      <c r="R72" s="164">
        <f>(J43+R60)*(M14+M18)/60</f>
        <v>14.168537491920908</v>
      </c>
    </row>
    <row r="73" spans="12:18" x14ac:dyDescent="0.25">
      <c r="L73" s="212" t="s">
        <v>432</v>
      </c>
      <c r="M73" s="214"/>
      <c r="N73" s="171" t="s">
        <v>307</v>
      </c>
      <c r="O73" s="171"/>
      <c r="P73" s="171"/>
      <c r="Q73" s="171"/>
      <c r="R73" s="87">
        <f>S19+S20</f>
        <v>27751.54031372827</v>
      </c>
    </row>
    <row r="74" spans="12:18" x14ac:dyDescent="0.25">
      <c r="L74" s="218" t="s">
        <v>509</v>
      </c>
      <c r="M74" s="219"/>
      <c r="N74" s="168" t="s">
        <v>308</v>
      </c>
      <c r="O74" s="168"/>
      <c r="P74" s="168"/>
      <c r="Q74" s="168"/>
      <c r="R74" s="88">
        <f>R73/(M21*C7*C8)+J42</f>
        <v>36.623142690436488</v>
      </c>
    </row>
    <row r="75" spans="12:18" x14ac:dyDescent="0.25">
      <c r="L75" s="45" t="s">
        <v>510</v>
      </c>
      <c r="M75" s="46">
        <f>'Laser cutter'!J14</f>
        <v>0.71739130434782605</v>
      </c>
      <c r="N75" s="168" t="s">
        <v>309</v>
      </c>
      <c r="O75" s="168"/>
      <c r="P75" s="168"/>
      <c r="Q75" s="168"/>
      <c r="R75" s="88">
        <f>R74+Q21+Q22</f>
        <v>42.165742690436488</v>
      </c>
    </row>
    <row r="76" spans="12:18" x14ac:dyDescent="0.25">
      <c r="L76" s="218"/>
      <c r="M76" s="219"/>
      <c r="N76" s="168"/>
      <c r="O76" s="168"/>
      <c r="P76" s="168"/>
      <c r="Q76" s="168"/>
      <c r="R76" s="89"/>
    </row>
    <row r="77" spans="12:18" x14ac:dyDescent="0.25">
      <c r="L77" s="218"/>
      <c r="M77" s="219"/>
      <c r="N77" s="168" t="s">
        <v>433</v>
      </c>
      <c r="O77" s="168"/>
      <c r="P77" s="168"/>
      <c r="Q77" s="168"/>
      <c r="R77" s="90">
        <f>(J43*0.4+R75)*M23/60</f>
        <v>3.6218228873642784E-4</v>
      </c>
    </row>
    <row r="78" spans="12:18" x14ac:dyDescent="0.25">
      <c r="L78" s="218"/>
      <c r="M78" s="219"/>
      <c r="N78" s="168" t="s">
        <v>499</v>
      </c>
      <c r="O78" s="168"/>
      <c r="P78" s="168"/>
      <c r="Q78" s="168"/>
      <c r="R78" s="91">
        <f>(J43)*M23/60/R77</f>
        <v>0.26859123144983488</v>
      </c>
    </row>
    <row r="79" spans="12:18" x14ac:dyDescent="0.25">
      <c r="L79" s="218"/>
      <c r="M79" s="219"/>
      <c r="N79" s="168"/>
      <c r="O79" s="168"/>
      <c r="P79" s="168"/>
      <c r="Q79" s="168"/>
      <c r="R79" s="151"/>
    </row>
    <row r="80" spans="12:18" x14ac:dyDescent="0.25">
      <c r="L80" s="218"/>
      <c r="M80" s="219"/>
      <c r="N80" s="168" t="s">
        <v>531</v>
      </c>
      <c r="O80" s="168"/>
      <c r="P80" s="168"/>
      <c r="Q80" s="168"/>
      <c r="R80" s="163">
        <f>(J43+J42)*M24/60</f>
        <v>0.61178611389908066</v>
      </c>
    </row>
    <row r="81" spans="12:19" x14ac:dyDescent="0.25">
      <c r="L81" s="218"/>
      <c r="M81" s="219"/>
      <c r="N81" s="168" t="s">
        <v>532</v>
      </c>
      <c r="O81" s="168"/>
      <c r="P81" s="168"/>
      <c r="Q81" s="168"/>
      <c r="R81" s="163">
        <f>(J44+J42)*M24/60</f>
        <v>0.88532687369330287</v>
      </c>
    </row>
    <row r="82" spans="12:19" x14ac:dyDescent="0.25">
      <c r="L82" s="218"/>
      <c r="M82" s="219"/>
      <c r="N82" s="168" t="s">
        <v>533</v>
      </c>
      <c r="O82" s="168"/>
      <c r="P82" s="168"/>
      <c r="Q82" s="168"/>
      <c r="R82" s="163">
        <f>(J43+J42)*M25/60</f>
        <v>0.40785740926605374</v>
      </c>
    </row>
    <row r="83" spans="12:19" x14ac:dyDescent="0.25">
      <c r="L83" s="218"/>
      <c r="M83" s="219"/>
      <c r="N83" s="168" t="s">
        <v>534</v>
      </c>
      <c r="O83" s="168"/>
      <c r="P83" s="168"/>
      <c r="Q83" s="168"/>
      <c r="R83" s="163">
        <f>(J44+J42)*M$25/60</f>
        <v>0.59021791579553518</v>
      </c>
    </row>
    <row r="84" spans="12:19" ht="15.75" thickBot="1" x14ac:dyDescent="0.3">
      <c r="L84" s="42"/>
      <c r="M84" s="43"/>
      <c r="N84" s="172" t="s">
        <v>306</v>
      </c>
      <c r="O84" s="172"/>
      <c r="P84" s="172"/>
      <c r="Q84" s="172"/>
      <c r="R84" s="92">
        <f>(J43+R74)*(M26+M22)/60</f>
        <v>10.684203010971698</v>
      </c>
    </row>
    <row r="85" spans="12:19" x14ac:dyDescent="0.25">
      <c r="L85" s="166" t="s">
        <v>24</v>
      </c>
      <c r="M85" s="167"/>
      <c r="N85" s="174" t="s">
        <v>307</v>
      </c>
      <c r="O85" s="174"/>
      <c r="P85" s="174"/>
      <c r="Q85" s="174"/>
      <c r="R85" s="165">
        <f>SUM(S27:S32)</f>
        <v>2176.9659999999999</v>
      </c>
    </row>
    <row r="86" spans="12:19" x14ac:dyDescent="0.25">
      <c r="L86" s="54"/>
      <c r="M86" s="55"/>
      <c r="N86" s="168" t="s">
        <v>308</v>
      </c>
      <c r="O86" s="168"/>
      <c r="P86" s="168"/>
      <c r="Q86" s="168"/>
      <c r="R86" s="107">
        <f>R85/(M29*C7*C8)+J42</f>
        <v>13.487898272491385</v>
      </c>
      <c r="S86" s="12"/>
    </row>
    <row r="87" spans="12:19" x14ac:dyDescent="0.25">
      <c r="L87" s="31"/>
      <c r="M87" s="32"/>
      <c r="N87" s="168" t="s">
        <v>309</v>
      </c>
      <c r="O87" s="168"/>
      <c r="P87" s="168"/>
      <c r="Q87" s="168"/>
      <c r="R87" s="107">
        <f>R86+Q33</f>
        <v>13.585773272491386</v>
      </c>
    </row>
    <row r="88" spans="12:19" x14ac:dyDescent="0.25">
      <c r="L88" s="31"/>
      <c r="M88" s="32"/>
      <c r="N88" s="168"/>
      <c r="O88" s="168"/>
      <c r="P88" s="168"/>
      <c r="Q88" s="168"/>
      <c r="R88" s="151"/>
    </row>
    <row r="89" spans="12:19" x14ac:dyDescent="0.25">
      <c r="L89" s="31"/>
      <c r="M89" s="32"/>
      <c r="N89" s="168" t="s">
        <v>481</v>
      </c>
      <c r="O89" s="168"/>
      <c r="P89" s="168"/>
      <c r="Q89" s="168"/>
      <c r="R89" s="71">
        <f>Q34+Q36+(R87+J45)*M30/60</f>
        <v>115.92309617457708</v>
      </c>
    </row>
    <row r="90" spans="12:19" x14ac:dyDescent="0.25">
      <c r="L90" s="31"/>
      <c r="M90" s="32"/>
      <c r="N90" s="168" t="s">
        <v>482</v>
      </c>
      <c r="O90" s="168"/>
      <c r="P90" s="168"/>
      <c r="Q90" s="168"/>
      <c r="R90" s="107">
        <f>Q35+Q36+(R87+J45)*M30/60</f>
        <v>115.88803411560743</v>
      </c>
    </row>
    <row r="91" spans="12:19" ht="15.75" thickBot="1" x14ac:dyDescent="0.3">
      <c r="L91" s="33"/>
      <c r="M91" s="34"/>
      <c r="N91" s="172"/>
      <c r="O91" s="172"/>
      <c r="P91" s="172"/>
      <c r="Q91" s="172"/>
      <c r="R91" s="83"/>
    </row>
    <row r="92" spans="12:19" x14ac:dyDescent="0.25">
      <c r="L92" s="169" t="s">
        <v>418</v>
      </c>
      <c r="M92" s="170"/>
      <c r="N92" s="171" t="s">
        <v>307</v>
      </c>
      <c r="O92" s="171"/>
      <c r="P92" s="171"/>
      <c r="Q92" s="171"/>
      <c r="R92" s="87">
        <f>SUM(S37:S40)</f>
        <v>4775</v>
      </c>
    </row>
    <row r="93" spans="12:19" x14ac:dyDescent="0.25">
      <c r="L93" s="52"/>
      <c r="M93" s="53"/>
      <c r="N93" s="168" t="s">
        <v>308</v>
      </c>
      <c r="O93" s="168"/>
      <c r="P93" s="168"/>
      <c r="Q93" s="168"/>
      <c r="R93" s="88">
        <f>R92/(M39*C7*C8)+J42</f>
        <v>18.582550670531941</v>
      </c>
    </row>
    <row r="94" spans="12:19" x14ac:dyDescent="0.25">
      <c r="L94" s="27"/>
      <c r="M94" s="28"/>
      <c r="N94" s="168" t="s">
        <v>309</v>
      </c>
      <c r="O94" s="168"/>
      <c r="P94" s="168"/>
      <c r="Q94" s="168"/>
      <c r="R94" s="88">
        <f>R93+Q42+Q41</f>
        <v>28.958390670531941</v>
      </c>
    </row>
    <row r="95" spans="12:19" x14ac:dyDescent="0.25">
      <c r="L95" s="27"/>
      <c r="M95" s="28"/>
      <c r="N95" s="168"/>
      <c r="O95" s="168"/>
      <c r="P95" s="168"/>
      <c r="Q95" s="168"/>
      <c r="R95" s="89"/>
    </row>
    <row r="96" spans="12:19" x14ac:dyDescent="0.25">
      <c r="L96" s="27"/>
      <c r="M96" s="28"/>
      <c r="N96" s="168" t="s">
        <v>294</v>
      </c>
      <c r="O96" s="168"/>
      <c r="P96" s="168"/>
      <c r="Q96" s="168"/>
      <c r="R96" s="90">
        <f>(J43+R94)*M41/60</f>
        <v>2.0823477092290108E-4</v>
      </c>
    </row>
    <row r="97" spans="12:19" ht="15.75" thickBot="1" x14ac:dyDescent="0.3">
      <c r="L97" s="29"/>
      <c r="M97" s="30"/>
      <c r="N97" s="172" t="s">
        <v>306</v>
      </c>
      <c r="O97" s="172"/>
      <c r="P97" s="172"/>
      <c r="Q97" s="172"/>
      <c r="R97" s="92">
        <f>(J43+R93)*(M40+M42)/60</f>
        <v>7.8177785461450551</v>
      </c>
    </row>
    <row r="103" spans="12:19" ht="15.75" thickBot="1" x14ac:dyDescent="0.3"/>
    <row r="104" spans="12:19" ht="21" x14ac:dyDescent="0.25">
      <c r="L104" s="254" t="s">
        <v>231</v>
      </c>
      <c r="M104" s="255"/>
      <c r="N104" s="255"/>
      <c r="O104" s="255"/>
      <c r="P104" s="255"/>
      <c r="Q104" s="255"/>
      <c r="R104" s="255"/>
      <c r="S104" s="256"/>
    </row>
    <row r="105" spans="12:19" ht="63.75" thickBot="1" x14ac:dyDescent="0.3">
      <c r="L105" s="257" t="s">
        <v>15</v>
      </c>
      <c r="M105" s="258"/>
      <c r="N105" s="258" t="s">
        <v>16</v>
      </c>
      <c r="O105" s="258" t="s">
        <v>234</v>
      </c>
      <c r="P105" s="258" t="s">
        <v>239</v>
      </c>
      <c r="Q105" s="258" t="s">
        <v>17</v>
      </c>
      <c r="R105" s="259" t="s">
        <v>402</v>
      </c>
      <c r="S105" s="260" t="s">
        <v>229</v>
      </c>
    </row>
    <row r="106" spans="12:19" ht="21" x14ac:dyDescent="0.35">
      <c r="L106" s="224" t="s">
        <v>20</v>
      </c>
      <c r="M106" s="225"/>
      <c r="N106" s="226" t="s">
        <v>21</v>
      </c>
      <c r="O106" s="227" t="s">
        <v>235</v>
      </c>
      <c r="P106" s="227"/>
      <c r="Q106" s="228">
        <v>185010.26875818847</v>
      </c>
      <c r="R106" s="227">
        <v>10</v>
      </c>
      <c r="S106" s="229">
        <v>18501.026875818847</v>
      </c>
    </row>
    <row r="107" spans="12:19" ht="21" x14ac:dyDescent="0.35">
      <c r="L107" s="230" t="s">
        <v>285</v>
      </c>
      <c r="M107" s="231">
        <v>7.5</v>
      </c>
      <c r="N107" s="232" t="s">
        <v>22</v>
      </c>
      <c r="O107" s="233" t="s">
        <v>235</v>
      </c>
      <c r="P107" s="233" t="s">
        <v>240</v>
      </c>
      <c r="Q107" s="234">
        <v>9250.5134379094234</v>
      </c>
      <c r="R107" s="233">
        <v>1</v>
      </c>
      <c r="S107" s="235">
        <v>9250.5134379094234</v>
      </c>
    </row>
    <row r="108" spans="12:19" ht="21" x14ac:dyDescent="0.35">
      <c r="L108" s="230" t="s">
        <v>247</v>
      </c>
      <c r="M108" s="236">
        <v>0.7</v>
      </c>
      <c r="N108" s="232" t="s">
        <v>23</v>
      </c>
      <c r="O108" s="233" t="s">
        <v>236</v>
      </c>
      <c r="P108" s="233" t="s">
        <v>286</v>
      </c>
      <c r="Q108" s="237">
        <v>0.4698</v>
      </c>
      <c r="R108" s="233"/>
      <c r="S108" s="238"/>
    </row>
    <row r="109" spans="12:19" ht="21" x14ac:dyDescent="0.35">
      <c r="L109" s="230" t="s">
        <v>248</v>
      </c>
      <c r="M109" s="231">
        <v>5</v>
      </c>
      <c r="N109" s="232" t="s">
        <v>431</v>
      </c>
      <c r="O109" s="233" t="s">
        <v>236</v>
      </c>
      <c r="P109" s="233" t="s">
        <v>286</v>
      </c>
      <c r="Q109" s="234">
        <v>5.0728</v>
      </c>
      <c r="R109" s="233"/>
      <c r="S109" s="238"/>
    </row>
    <row r="110" spans="12:19" ht="21" x14ac:dyDescent="0.25">
      <c r="L110" s="230" t="s">
        <v>506</v>
      </c>
      <c r="M110" s="239">
        <v>4.6000000000000001E-4</v>
      </c>
      <c r="N110" s="240"/>
      <c r="O110" s="241"/>
      <c r="P110" s="241"/>
      <c r="Q110" s="241"/>
      <c r="R110" s="241"/>
      <c r="S110" s="242"/>
    </row>
    <row r="111" spans="12:19" ht="21" x14ac:dyDescent="0.25">
      <c r="L111" s="230" t="s">
        <v>529</v>
      </c>
      <c r="M111" s="243">
        <v>1.5</v>
      </c>
      <c r="N111" s="240"/>
      <c r="O111" s="244"/>
      <c r="P111" s="241"/>
      <c r="Q111" s="244"/>
      <c r="R111" s="241"/>
      <c r="S111" s="245"/>
    </row>
    <row r="112" spans="12:19" ht="21" x14ac:dyDescent="0.25">
      <c r="L112" s="230" t="s">
        <v>530</v>
      </c>
      <c r="M112" s="243">
        <v>1</v>
      </c>
      <c r="N112" s="246"/>
      <c r="O112" s="247"/>
      <c r="P112" s="247"/>
      <c r="Q112" s="247"/>
      <c r="R112" s="247"/>
      <c r="S112" s="248"/>
    </row>
    <row r="113" spans="12:19" ht="21.75" thickBot="1" x14ac:dyDescent="0.4">
      <c r="L113" s="249" t="s">
        <v>371</v>
      </c>
      <c r="M113" s="250">
        <v>8</v>
      </c>
      <c r="N113" s="251"/>
      <c r="O113" s="252"/>
      <c r="P113" s="252"/>
      <c r="Q113" s="252"/>
      <c r="R113" s="252"/>
      <c r="S113" s="253"/>
    </row>
    <row r="118" spans="12:19" ht="56.25" customHeight="1" x14ac:dyDescent="0.25"/>
  </sheetData>
  <mergeCells count="93">
    <mergeCell ref="L104:S104"/>
    <mergeCell ref="L106:M106"/>
    <mergeCell ref="L80:M80"/>
    <mergeCell ref="L81:M81"/>
    <mergeCell ref="L82:M82"/>
    <mergeCell ref="L83:M83"/>
    <mergeCell ref="L74:M74"/>
    <mergeCell ref="L76:M76"/>
    <mergeCell ref="L77:M77"/>
    <mergeCell ref="L78:M78"/>
    <mergeCell ref="L79:M79"/>
    <mergeCell ref="N83:Q83"/>
    <mergeCell ref="N84:Q84"/>
    <mergeCell ref="N77:Q77"/>
    <mergeCell ref="N78:Q78"/>
    <mergeCell ref="N79:Q79"/>
    <mergeCell ref="N80:Q80"/>
    <mergeCell ref="N81:Q81"/>
    <mergeCell ref="Y1:AA1"/>
    <mergeCell ref="L3:M3"/>
    <mergeCell ref="L19:M19"/>
    <mergeCell ref="L73:M73"/>
    <mergeCell ref="N73:Q73"/>
    <mergeCell ref="N50:Q50"/>
    <mergeCell ref="N51:Q51"/>
    <mergeCell ref="N64:Q64"/>
    <mergeCell ref="N65:Q65"/>
    <mergeCell ref="L60:M60"/>
    <mergeCell ref="L46:M46"/>
    <mergeCell ref="N53:Q53"/>
    <mergeCell ref="N54:Q54"/>
    <mergeCell ref="N55:Q55"/>
    <mergeCell ref="N56:Q56"/>
    <mergeCell ref="U1:W1"/>
    <mergeCell ref="N47:Q47"/>
    <mergeCell ref="G45:I45"/>
    <mergeCell ref="F41:F42"/>
    <mergeCell ref="F43:F46"/>
    <mergeCell ref="L44:R44"/>
    <mergeCell ref="G46:I46"/>
    <mergeCell ref="N45:Q45"/>
    <mergeCell ref="N46:Q46"/>
    <mergeCell ref="F1:J1"/>
    <mergeCell ref="L1:S1"/>
    <mergeCell ref="A1:C1"/>
    <mergeCell ref="L45:M45"/>
    <mergeCell ref="F40:J40"/>
    <mergeCell ref="G42:I42"/>
    <mergeCell ref="G41:I41"/>
    <mergeCell ref="L37:M37"/>
    <mergeCell ref="G43:I43"/>
    <mergeCell ref="G44:I44"/>
    <mergeCell ref="D3:D6"/>
    <mergeCell ref="L11:M11"/>
    <mergeCell ref="O34:O35"/>
    <mergeCell ref="P34:P35"/>
    <mergeCell ref="N48:Q48"/>
    <mergeCell ref="N49:Q49"/>
    <mergeCell ref="N58:Q58"/>
    <mergeCell ref="N52:Q52"/>
    <mergeCell ref="N97:Q97"/>
    <mergeCell ref="N96:Q96"/>
    <mergeCell ref="N90:Q90"/>
    <mergeCell ref="N91:Q91"/>
    <mergeCell ref="N89:Q89"/>
    <mergeCell ref="N71:Q71"/>
    <mergeCell ref="N72:Q72"/>
    <mergeCell ref="N70:Q70"/>
    <mergeCell ref="N57:Q57"/>
    <mergeCell ref="N85:Q85"/>
    <mergeCell ref="N86:Q86"/>
    <mergeCell ref="N68:Q68"/>
    <mergeCell ref="L92:M92"/>
    <mergeCell ref="N92:Q92"/>
    <mergeCell ref="N93:Q93"/>
    <mergeCell ref="N94:Q94"/>
    <mergeCell ref="N95:Q95"/>
    <mergeCell ref="L85:M85"/>
    <mergeCell ref="N87:Q87"/>
    <mergeCell ref="N88:Q88"/>
    <mergeCell ref="L59:M59"/>
    <mergeCell ref="N66:Q66"/>
    <mergeCell ref="N67:Q67"/>
    <mergeCell ref="N69:Q69"/>
    <mergeCell ref="N59:Q59"/>
    <mergeCell ref="N60:Q60"/>
    <mergeCell ref="N61:Q61"/>
    <mergeCell ref="N62:Q62"/>
    <mergeCell ref="N63:Q63"/>
    <mergeCell ref="N74:Q74"/>
    <mergeCell ref="N75:Q75"/>
    <mergeCell ref="N76:Q76"/>
    <mergeCell ref="N82:Q8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4" sqref="H4"/>
    </sheetView>
  </sheetViews>
  <sheetFormatPr baseColWidth="10" defaultRowHeight="15" x14ac:dyDescent="0.25"/>
  <cols>
    <col min="2" max="2" width="13.140625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9" t="s">
        <v>13</v>
      </c>
    </row>
    <row r="3" spans="1:19" x14ac:dyDescent="0.25">
      <c r="A3" t="s">
        <v>100</v>
      </c>
      <c r="C3" t="s">
        <v>243</v>
      </c>
      <c r="D3" t="s">
        <v>242</v>
      </c>
      <c r="E3" t="s">
        <v>241</v>
      </c>
      <c r="F3" t="s">
        <v>215</v>
      </c>
      <c r="G3" t="s">
        <v>216</v>
      </c>
    </row>
    <row r="4" spans="1:19" x14ac:dyDescent="0.25">
      <c r="A4" t="s">
        <v>98</v>
      </c>
      <c r="B4" t="s">
        <v>353</v>
      </c>
      <c r="C4" t="s">
        <v>352</v>
      </c>
      <c r="E4">
        <v>208995</v>
      </c>
      <c r="G4" s="2">
        <f>E4/Summary!C14</f>
        <v>185010.26875818847</v>
      </c>
      <c r="H4" s="9" t="s">
        <v>99</v>
      </c>
      <c r="P4" t="s">
        <v>423</v>
      </c>
      <c r="Q4" t="s">
        <v>422</v>
      </c>
      <c r="R4" t="s">
        <v>424</v>
      </c>
      <c r="S4" t="s">
        <v>425</v>
      </c>
    </row>
    <row r="5" spans="1:19" x14ac:dyDescent="0.25">
      <c r="A5" t="s">
        <v>427</v>
      </c>
      <c r="B5" t="s">
        <v>429</v>
      </c>
      <c r="C5" t="s">
        <v>430</v>
      </c>
      <c r="F5">
        <v>126.82</v>
      </c>
      <c r="G5" s="2">
        <f>(1-Summary!C15)*'Laser cutter'!F5</f>
        <v>101.456</v>
      </c>
      <c r="H5" s="9" t="s">
        <v>426</v>
      </c>
      <c r="O5" t="s">
        <v>421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428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365</v>
      </c>
      <c r="C9" t="s">
        <v>364</v>
      </c>
      <c r="D9" t="s">
        <v>366</v>
      </c>
      <c r="E9" t="s">
        <v>367</v>
      </c>
    </row>
    <row r="10" spans="1:19" x14ac:dyDescent="0.25">
      <c r="A10" t="s">
        <v>354</v>
      </c>
      <c r="B10" t="s">
        <v>355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356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357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501</v>
      </c>
      <c r="J12" t="s">
        <v>502</v>
      </c>
    </row>
    <row r="13" spans="1:19" x14ac:dyDescent="0.25">
      <c r="B13" t="s">
        <v>358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359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503</v>
      </c>
      <c r="J14" s="44">
        <f>J13/I13</f>
        <v>0.71739130434782605</v>
      </c>
    </row>
    <row r="15" spans="1:19" x14ac:dyDescent="0.25">
      <c r="B15" t="s">
        <v>360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361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362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363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368</v>
      </c>
      <c r="B19" t="s">
        <v>355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356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357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358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359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370</v>
      </c>
      <c r="B24" t="s">
        <v>369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356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357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>
      <selection activeCell="C17" sqref="C17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26</v>
      </c>
      <c r="B1" t="s">
        <v>243</v>
      </c>
      <c r="C1" t="s">
        <v>242</v>
      </c>
      <c r="D1" t="s">
        <v>241</v>
      </c>
      <c r="E1" t="s">
        <v>215</v>
      </c>
      <c r="F1" t="s">
        <v>216</v>
      </c>
      <c r="G1" t="s">
        <v>226</v>
      </c>
    </row>
    <row r="2" spans="1:7" x14ac:dyDescent="0.25">
      <c r="A2" t="s">
        <v>113</v>
      </c>
      <c r="F2" s="2">
        <v>4386</v>
      </c>
      <c r="G2" s="9" t="s">
        <v>114</v>
      </c>
    </row>
    <row r="3" spans="1:7" x14ac:dyDescent="0.25">
      <c r="A3" t="s">
        <v>261</v>
      </c>
      <c r="F3" s="2">
        <v>922.6</v>
      </c>
      <c r="G3" t="s">
        <v>262</v>
      </c>
    </row>
    <row r="4" spans="1:7" x14ac:dyDescent="0.25">
      <c r="A4" t="s">
        <v>43</v>
      </c>
      <c r="F4" s="2">
        <v>3859.6</v>
      </c>
      <c r="G4" s="9" t="s">
        <v>263</v>
      </c>
    </row>
    <row r="5" spans="1:7" x14ac:dyDescent="0.25">
      <c r="A5" t="s">
        <v>196</v>
      </c>
      <c r="F5" s="2">
        <v>8579</v>
      </c>
      <c r="G5" s="9" t="s">
        <v>197</v>
      </c>
    </row>
    <row r="6" spans="1:7" x14ac:dyDescent="0.25">
      <c r="A6" t="s">
        <v>118</v>
      </c>
      <c r="F6" s="2">
        <v>146</v>
      </c>
      <c r="G6" t="s">
        <v>117</v>
      </c>
    </row>
    <row r="7" spans="1:7" x14ac:dyDescent="0.25">
      <c r="A7" t="s">
        <v>120</v>
      </c>
      <c r="F7" s="2">
        <v>50</v>
      </c>
      <c r="G7" t="s">
        <v>119</v>
      </c>
    </row>
    <row r="8" spans="1:7" x14ac:dyDescent="0.25">
      <c r="F8" s="2"/>
    </row>
    <row r="9" spans="1:7" x14ac:dyDescent="0.25">
      <c r="A9" t="s">
        <v>122</v>
      </c>
      <c r="F9" s="2"/>
      <c r="G9" s="9" t="s">
        <v>121</v>
      </c>
    </row>
    <row r="12" spans="1:7" x14ac:dyDescent="0.25">
      <c r="A12" s="35" t="s">
        <v>437</v>
      </c>
      <c r="B12" s="35"/>
      <c r="C12" s="35" t="s">
        <v>226</v>
      </c>
    </row>
    <row r="13" spans="1:7" x14ac:dyDescent="0.25">
      <c r="A13" s="36" t="s">
        <v>438</v>
      </c>
      <c r="B13" s="37">
        <v>200</v>
      </c>
      <c r="C13" s="36" t="s">
        <v>439</v>
      </c>
    </row>
    <row r="14" spans="1:7" x14ac:dyDescent="0.25">
      <c r="A14" s="36" t="s">
        <v>440</v>
      </c>
      <c r="B14" s="36">
        <v>18</v>
      </c>
      <c r="C14" s="36" t="s">
        <v>439</v>
      </c>
    </row>
    <row r="15" spans="1:7" x14ac:dyDescent="0.25">
      <c r="A15" s="36" t="s">
        <v>441</v>
      </c>
      <c r="B15" s="38">
        <f>B14*5/228</f>
        <v>0.39473684210526316</v>
      </c>
      <c r="C15" s="36"/>
    </row>
    <row r="16" spans="1:7" x14ac:dyDescent="0.25">
      <c r="A16" s="36" t="s">
        <v>442</v>
      </c>
      <c r="B16" s="36">
        <v>5.5</v>
      </c>
      <c r="C16" s="36"/>
    </row>
    <row r="17" spans="1:4" x14ac:dyDescent="0.25">
      <c r="A17" s="36" t="s">
        <v>443</v>
      </c>
      <c r="B17" s="39">
        <f>B15*B13/B16</f>
        <v>14.354066985645932</v>
      </c>
      <c r="C17" s="36"/>
      <c r="D17" s="11"/>
    </row>
    <row r="19" spans="1:4" x14ac:dyDescent="0.25">
      <c r="A19" s="35" t="s">
        <v>444</v>
      </c>
      <c r="B19" s="35"/>
      <c r="C19" s="35" t="s">
        <v>226</v>
      </c>
    </row>
    <row r="20" spans="1:4" x14ac:dyDescent="0.25">
      <c r="A20" s="36" t="s">
        <v>445</v>
      </c>
      <c r="B20" s="36">
        <v>12.8</v>
      </c>
      <c r="C20" s="36" t="s">
        <v>439</v>
      </c>
    </row>
    <row r="21" spans="1:4" x14ac:dyDescent="0.25">
      <c r="A21" s="36" t="s">
        <v>446</v>
      </c>
      <c r="B21" s="36">
        <v>11</v>
      </c>
      <c r="C21" s="36" t="s">
        <v>439</v>
      </c>
    </row>
    <row r="22" spans="1:4" x14ac:dyDescent="0.25">
      <c r="A22" s="36" t="s">
        <v>447</v>
      </c>
      <c r="B22" s="36">
        <f>PI()*0.04*0.04*100*7.8</f>
        <v>3.9207076316800622</v>
      </c>
      <c r="C22" s="36"/>
    </row>
    <row r="23" spans="1:4" x14ac:dyDescent="0.25">
      <c r="A23" s="36" t="s">
        <v>448</v>
      </c>
      <c r="B23" s="37">
        <f>B20*B22/1000</f>
        <v>5.0185057685504804E-2</v>
      </c>
      <c r="C23" s="36"/>
    </row>
    <row r="25" spans="1:4" x14ac:dyDescent="0.25">
      <c r="A25" s="35" t="s">
        <v>449</v>
      </c>
      <c r="B25" s="35"/>
      <c r="C25" s="35" t="s">
        <v>226</v>
      </c>
    </row>
    <row r="26" spans="1:4" x14ac:dyDescent="0.25">
      <c r="A26" s="36" t="s">
        <v>445</v>
      </c>
      <c r="B26" s="36">
        <v>10.050000000000001</v>
      </c>
      <c r="C26" s="40" t="s">
        <v>450</v>
      </c>
    </row>
    <row r="27" spans="1:4" x14ac:dyDescent="0.25">
      <c r="A27" s="36" t="s">
        <v>451</v>
      </c>
      <c r="B27" s="36">
        <v>2</v>
      </c>
      <c r="C27" s="36" t="s">
        <v>439</v>
      </c>
    </row>
    <row r="28" spans="1:4" x14ac:dyDescent="0.25">
      <c r="A28" s="36" t="s">
        <v>447</v>
      </c>
      <c r="B28" s="36">
        <f>PI()*0.1*0.1*100*2.7</f>
        <v>8.4823001646924432</v>
      </c>
      <c r="C28" s="36"/>
    </row>
    <row r="29" spans="1:4" x14ac:dyDescent="0.25">
      <c r="A29" s="36" t="s">
        <v>448</v>
      </c>
      <c r="B29" s="37">
        <f>B26*B28/1000</f>
        <v>8.5247116655159064E-2</v>
      </c>
      <c r="C29" s="36"/>
    </row>
    <row r="30" spans="1:4" x14ac:dyDescent="0.25">
      <c r="C30" s="35"/>
    </row>
    <row r="31" spans="1:4" x14ac:dyDescent="0.25">
      <c r="A31" s="36" t="s">
        <v>473</v>
      </c>
      <c r="B31" s="36"/>
      <c r="C31" s="35" t="s">
        <v>226</v>
      </c>
    </row>
    <row r="32" spans="1:4" x14ac:dyDescent="0.25">
      <c r="A32" s="36" t="s">
        <v>474</v>
      </c>
      <c r="B32" s="41">
        <f>30/(2*PI()*0.034)</f>
        <v>140.43083213990764</v>
      </c>
      <c r="C32" s="36" t="s">
        <v>439</v>
      </c>
    </row>
    <row r="33" spans="1:3" x14ac:dyDescent="0.25">
      <c r="A33" s="36" t="s">
        <v>475</v>
      </c>
      <c r="B33" s="39">
        <f>'Manpower &amp; time'!H6/60</f>
        <v>0.39383656509695286</v>
      </c>
      <c r="C33" s="36"/>
    </row>
    <row r="34" spans="1:3" x14ac:dyDescent="0.25">
      <c r="A34" s="36" t="s">
        <v>476</v>
      </c>
      <c r="B34" s="39">
        <f>B33*B32</f>
        <v>55.306796563687996</v>
      </c>
      <c r="C34" s="3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35.140625" bestFit="1" customWidth="1"/>
    <col min="2" max="2" width="12.7109375" bestFit="1" customWidth="1"/>
  </cols>
  <sheetData>
    <row r="1" spans="1:3" x14ac:dyDescent="0.25">
      <c r="A1" t="s">
        <v>26</v>
      </c>
      <c r="B1" t="s">
        <v>488</v>
      </c>
      <c r="C1" t="s">
        <v>226</v>
      </c>
    </row>
    <row r="2" spans="1:3" x14ac:dyDescent="0.25">
      <c r="A2" t="s">
        <v>486</v>
      </c>
      <c r="B2" s="2">
        <v>15000</v>
      </c>
      <c r="C2" t="s">
        <v>484</v>
      </c>
    </row>
    <row r="4" spans="1:3" x14ac:dyDescent="0.25">
      <c r="A4" t="s">
        <v>487</v>
      </c>
      <c r="B4" s="2">
        <v>10000</v>
      </c>
      <c r="C4" s="9" t="s">
        <v>485</v>
      </c>
    </row>
  </sheetData>
  <hyperlinks>
    <hyperlink ref="C4" r:id="rId1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>
      <selection activeCell="C73" sqref="C73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9" t="s">
        <v>5</v>
      </c>
      <c r="S1" s="9" t="s">
        <v>329</v>
      </c>
    </row>
    <row r="2" spans="1:23" x14ac:dyDescent="0.25">
      <c r="A2" t="s">
        <v>0</v>
      </c>
      <c r="G2" t="s">
        <v>9</v>
      </c>
      <c r="M2" t="s">
        <v>6</v>
      </c>
      <c r="S2" s="2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327</v>
      </c>
      <c r="S3" t="s">
        <v>4</v>
      </c>
      <c r="T3" t="s">
        <v>1</v>
      </c>
      <c r="U3" t="s">
        <v>328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299</v>
      </c>
      <c r="S15" t="s">
        <v>6</v>
      </c>
      <c r="T15" t="s">
        <v>299</v>
      </c>
      <c r="U15" t="s">
        <v>517</v>
      </c>
    </row>
    <row r="16" spans="1:23" x14ac:dyDescent="0.25">
      <c r="D16" t="s">
        <v>8</v>
      </c>
      <c r="E16" s="1">
        <f>AVERAGE(E4:E15)</f>
        <v>3.7201299982926756E-5</v>
      </c>
      <c r="N16" t="s">
        <v>300</v>
      </c>
      <c r="O16" t="s">
        <v>2</v>
      </c>
      <c r="P16" t="s">
        <v>87</v>
      </c>
      <c r="Q16" t="s">
        <v>3</v>
      </c>
      <c r="S16" t="s">
        <v>518</v>
      </c>
      <c r="T16" t="s">
        <v>519</v>
      </c>
      <c r="U16" t="s">
        <v>520</v>
      </c>
      <c r="V16" t="s">
        <v>521</v>
      </c>
    </row>
    <row r="17" spans="1:22" x14ac:dyDescent="0.25">
      <c r="N17">
        <v>5</v>
      </c>
      <c r="O17">
        <v>500</v>
      </c>
      <c r="P17" s="2">
        <v>1.61</v>
      </c>
      <c r="Q17" s="2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2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301</v>
      </c>
      <c r="B19" t="s">
        <v>299</v>
      </c>
      <c r="N19">
        <v>15</v>
      </c>
      <c r="O19">
        <v>500</v>
      </c>
      <c r="P19" s="2">
        <v>4.8</v>
      </c>
      <c r="Q19" s="2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300</v>
      </c>
      <c r="C20" t="s">
        <v>2</v>
      </c>
      <c r="D20" t="s">
        <v>87</v>
      </c>
      <c r="E20" t="s">
        <v>3</v>
      </c>
      <c r="N20">
        <v>18</v>
      </c>
      <c r="O20">
        <v>500</v>
      </c>
      <c r="P20" s="2">
        <v>6.36</v>
      </c>
      <c r="Q20" s="2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2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2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22">
        <f t="shared" si="6"/>
        <v>5.3157750992693033E-5</v>
      </c>
      <c r="P22" t="s">
        <v>8</v>
      </c>
      <c r="Q22" s="2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22">
        <f t="shared" si="6"/>
        <v>5.5077256063922563E-5</v>
      </c>
      <c r="P23" s="2"/>
      <c r="S23">
        <v>6060</v>
      </c>
      <c r="T23" t="s">
        <v>522</v>
      </c>
    </row>
    <row r="24" spans="1:22" x14ac:dyDescent="0.25">
      <c r="B24">
        <v>25</v>
      </c>
      <c r="C24">
        <v>500</v>
      </c>
      <c r="D24" s="2">
        <v>13.11</v>
      </c>
      <c r="E24" s="2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2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2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22">
        <f t="shared" si="6"/>
        <v>3.338486055256606E-5</v>
      </c>
      <c r="U27" s="2"/>
      <c r="V27" s="1"/>
    </row>
    <row r="28" spans="1:22" x14ac:dyDescent="0.25">
      <c r="D28" t="s">
        <v>8</v>
      </c>
      <c r="E28" s="2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9" t="s">
        <v>332</v>
      </c>
      <c r="G30" s="9" t="s">
        <v>331</v>
      </c>
      <c r="N30" s="9" t="s">
        <v>452</v>
      </c>
    </row>
    <row r="31" spans="1:22" x14ac:dyDescent="0.25">
      <c r="A31" t="s">
        <v>330</v>
      </c>
      <c r="B31" t="s">
        <v>299</v>
      </c>
      <c r="G31" t="s">
        <v>330</v>
      </c>
      <c r="H31" t="s">
        <v>299</v>
      </c>
      <c r="N31" t="s">
        <v>453</v>
      </c>
      <c r="O31" t="s">
        <v>299</v>
      </c>
    </row>
    <row r="32" spans="1:22" x14ac:dyDescent="0.25">
      <c r="B32" t="s">
        <v>300</v>
      </c>
      <c r="C32" t="s">
        <v>2</v>
      </c>
      <c r="D32" t="s">
        <v>87</v>
      </c>
      <c r="E32" t="s">
        <v>3</v>
      </c>
      <c r="H32" t="s">
        <v>300</v>
      </c>
      <c r="I32" t="s">
        <v>2</v>
      </c>
      <c r="J32" t="s">
        <v>87</v>
      </c>
      <c r="K32" t="s">
        <v>3</v>
      </c>
      <c r="O32" t="s">
        <v>300</v>
      </c>
      <c r="P32" t="s">
        <v>2</v>
      </c>
      <c r="Q32" t="s">
        <v>87</v>
      </c>
      <c r="R32" t="s">
        <v>523</v>
      </c>
    </row>
    <row r="33" spans="1:18" x14ac:dyDescent="0.25">
      <c r="B33">
        <v>10</v>
      </c>
      <c r="C33">
        <v>1000</v>
      </c>
      <c r="D33" s="2">
        <v>20.5</v>
      </c>
      <c r="E33" s="2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2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2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22">
        <f t="shared" si="7"/>
        <v>2.2132484273716698E-4</v>
      </c>
      <c r="H34">
        <v>16</v>
      </c>
      <c r="I34">
        <v>300</v>
      </c>
      <c r="J34" s="2">
        <v>15.77</v>
      </c>
      <c r="K34" s="22">
        <f t="shared" si="8"/>
        <v>2.6144515130824893E-4</v>
      </c>
      <c r="O34">
        <v>20</v>
      </c>
      <c r="P34">
        <v>1000</v>
      </c>
      <c r="Q34" s="2">
        <v>9.23</v>
      </c>
      <c r="R34" s="2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22">
        <f t="shared" si="7"/>
        <v>2.1247184902768027E-4</v>
      </c>
      <c r="H35">
        <v>20</v>
      </c>
      <c r="I35">
        <v>300</v>
      </c>
      <c r="J35" s="2">
        <v>23.4</v>
      </c>
      <c r="K35" s="22">
        <f t="shared" si="8"/>
        <v>2.4828171122335673E-4</v>
      </c>
      <c r="O35">
        <v>25</v>
      </c>
      <c r="P35">
        <v>1000</v>
      </c>
      <c r="Q35" s="2">
        <v>14.44</v>
      </c>
      <c r="R35" s="2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22">
        <f t="shared" si="7"/>
        <v>2.0013734093805838E-4</v>
      </c>
      <c r="H36">
        <v>40</v>
      </c>
      <c r="I36">
        <v>300</v>
      </c>
      <c r="J36" s="2">
        <v>81.7</v>
      </c>
      <c r="K36" s="22">
        <f t="shared" si="8"/>
        <v>2.1671598084346415E-4</v>
      </c>
      <c r="O36">
        <v>40</v>
      </c>
      <c r="P36">
        <v>1000</v>
      </c>
      <c r="Q36" s="2">
        <v>34.869999999999997</v>
      </c>
      <c r="R36" s="2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22">
        <f t="shared" si="7"/>
        <v>1.9862536897868538E-4</v>
      </c>
      <c r="J37" t="s">
        <v>8</v>
      </c>
      <c r="K37" s="22">
        <f>AVERAGE(K33:K36)</f>
        <v>2.8145391181008314E-4</v>
      </c>
      <c r="O37">
        <v>60</v>
      </c>
      <c r="P37">
        <v>1000</v>
      </c>
      <c r="Q37" s="2">
        <v>83.14</v>
      </c>
      <c r="R37" s="2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22">
        <f t="shared" si="7"/>
        <v>1.9805948473658087E-4</v>
      </c>
      <c r="J38" s="2"/>
      <c r="K38" s="22"/>
      <c r="O38">
        <v>80</v>
      </c>
      <c r="P38">
        <v>1000</v>
      </c>
      <c r="Q38" s="2">
        <v>139.55000000000001</v>
      </c>
      <c r="R38" s="2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22">
        <f t="shared" si="7"/>
        <v>1.9745160127338264E-4</v>
      </c>
      <c r="J39" s="2"/>
      <c r="K39" s="22"/>
      <c r="Q39" t="s">
        <v>8</v>
      </c>
      <c r="R39" s="22">
        <f>AVERAGE(R33:R38)</f>
        <v>2.8834566715532905E-5</v>
      </c>
    </row>
    <row r="40" spans="1:18" x14ac:dyDescent="0.25">
      <c r="D40" t="s">
        <v>8</v>
      </c>
      <c r="E40" s="22">
        <f>AVERAGE(E33:E39)</f>
        <v>2.1272637062318042E-4</v>
      </c>
      <c r="K40" s="22"/>
    </row>
    <row r="43" spans="1:18" x14ac:dyDescent="0.25">
      <c r="A43" s="9" t="s">
        <v>454</v>
      </c>
    </row>
    <row r="44" spans="1:18" x14ac:dyDescent="0.25">
      <c r="A44" t="s">
        <v>455</v>
      </c>
      <c r="B44" t="s">
        <v>456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457</v>
      </c>
      <c r="G48" t="s">
        <v>458</v>
      </c>
    </row>
    <row r="49" spans="1:10" x14ac:dyDescent="0.25">
      <c r="A49" t="s">
        <v>459</v>
      </c>
      <c r="B49" t="s">
        <v>87</v>
      </c>
      <c r="C49" t="s">
        <v>460</v>
      </c>
      <c r="D49" t="s">
        <v>524</v>
      </c>
      <c r="G49" t="s">
        <v>459</v>
      </c>
      <c r="H49" t="s">
        <v>461</v>
      </c>
      <c r="I49" t="s">
        <v>462</v>
      </c>
      <c r="J49" t="s">
        <v>3</v>
      </c>
    </row>
    <row r="50" spans="1:10" x14ac:dyDescent="0.25">
      <c r="A50" t="s">
        <v>463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464</v>
      </c>
      <c r="H50" s="1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465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466</v>
      </c>
      <c r="H51" s="1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467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468</v>
      </c>
      <c r="H52" s="1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469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470</v>
      </c>
      <c r="H53" s="1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469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471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471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471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472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472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472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525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526</v>
      </c>
    </row>
    <row r="65" spans="1:7" x14ac:dyDescent="0.25">
      <c r="A65" t="s">
        <v>4</v>
      </c>
      <c r="B65" t="s">
        <v>1</v>
      </c>
      <c r="C65" t="s">
        <v>2</v>
      </c>
      <c r="D65" t="s">
        <v>527</v>
      </c>
      <c r="E65" t="s">
        <v>7</v>
      </c>
      <c r="F65" t="s">
        <v>3</v>
      </c>
      <c r="G65" t="s">
        <v>226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9" t="s">
        <v>528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K34"/>
  <sheetViews>
    <sheetView workbookViewId="0">
      <selection activeCell="E23" sqref="E23"/>
    </sheetView>
  </sheetViews>
  <sheetFormatPr baseColWidth="10" defaultRowHeight="15" x14ac:dyDescent="0.25"/>
  <cols>
    <col min="1" max="1" width="43.7109375" bestFit="1" customWidth="1"/>
    <col min="2" max="2" width="11.85546875" bestFit="1" customWidth="1"/>
    <col min="3" max="3" width="21.5703125" bestFit="1" customWidth="1"/>
    <col min="4" max="4" width="48.7109375" bestFit="1" customWidth="1"/>
    <col min="5" max="5" width="19" bestFit="1" customWidth="1"/>
    <col min="6" max="6" width="25.85546875" bestFit="1" customWidth="1"/>
    <col min="7" max="7" width="27.85546875" bestFit="1" customWidth="1"/>
    <col min="8" max="8" width="19.42578125" bestFit="1" customWidth="1"/>
    <col min="9" max="9" width="10.140625" bestFit="1" customWidth="1"/>
    <col min="10" max="10" width="12.5703125" bestFit="1" customWidth="1"/>
    <col min="11" max="11" width="9" bestFit="1" customWidth="1"/>
    <col min="13" max="13" width="18" bestFit="1" customWidth="1"/>
    <col min="14" max="14" width="19.42578125" bestFit="1" customWidth="1"/>
    <col min="16" max="16" width="12.5703125" bestFit="1" customWidth="1"/>
  </cols>
  <sheetData>
    <row r="1" spans="1:8" x14ac:dyDescent="0.25">
      <c r="A1" t="s">
        <v>158</v>
      </c>
      <c r="B1" s="9" t="s">
        <v>115</v>
      </c>
    </row>
    <row r="2" spans="1:8" x14ac:dyDescent="0.25">
      <c r="A2" t="s">
        <v>159</v>
      </c>
      <c r="B2" s="9" t="s">
        <v>116</v>
      </c>
    </row>
    <row r="4" spans="1:8" x14ac:dyDescent="0.25">
      <c r="B4" t="s">
        <v>161</v>
      </c>
      <c r="C4" t="s">
        <v>162</v>
      </c>
      <c r="D4" t="s">
        <v>282</v>
      </c>
      <c r="F4" t="s">
        <v>278</v>
      </c>
      <c r="G4" t="s">
        <v>496</v>
      </c>
      <c r="H4" t="s">
        <v>277</v>
      </c>
    </row>
    <row r="5" spans="1:8" x14ac:dyDescent="0.25">
      <c r="A5" t="s">
        <v>160</v>
      </c>
      <c r="B5" s="2">
        <v>1592</v>
      </c>
      <c r="C5" s="2">
        <v>21376</v>
      </c>
      <c r="D5" s="2">
        <f>C5*0.9</f>
        <v>19238.400000000001</v>
      </c>
      <c r="F5">
        <v>4.5</v>
      </c>
      <c r="G5" s="11">
        <f>C5*0.05*F5</f>
        <v>4809.5999999999995</v>
      </c>
      <c r="H5" s="11">
        <f>C5*0.9/$B$30</f>
        <v>12.68856351404828</v>
      </c>
    </row>
    <row r="6" spans="1:8" x14ac:dyDescent="0.25">
      <c r="A6" t="s">
        <v>250</v>
      </c>
      <c r="B6" s="2">
        <v>2438</v>
      </c>
      <c r="C6" s="2">
        <v>39809</v>
      </c>
      <c r="D6" s="2">
        <f t="shared" ref="D6:D8" si="0">C6*0.9</f>
        <v>35828.1</v>
      </c>
      <c r="F6">
        <v>1</v>
      </c>
      <c r="G6" s="11">
        <f t="shared" ref="G6:G8" si="1">C6*0.05*F6</f>
        <v>1990.45</v>
      </c>
      <c r="H6" s="11">
        <f>C6*0.9/$B$30</f>
        <v>23.630193905817173</v>
      </c>
    </row>
    <row r="7" spans="1:8" x14ac:dyDescent="0.25">
      <c r="A7" t="s">
        <v>493</v>
      </c>
      <c r="B7" s="2">
        <v>3077</v>
      </c>
      <c r="C7" s="2">
        <v>50159</v>
      </c>
      <c r="D7" s="2">
        <f t="shared" si="0"/>
        <v>45143.1</v>
      </c>
      <c r="F7">
        <v>1</v>
      </c>
      <c r="G7" s="11">
        <f t="shared" si="1"/>
        <v>2507.9500000000003</v>
      </c>
      <c r="H7" s="11">
        <f>C7*0.9/$B$30</f>
        <v>29.773842500989314</v>
      </c>
    </row>
    <row r="8" spans="1:8" x14ac:dyDescent="0.25">
      <c r="A8" t="s">
        <v>251</v>
      </c>
      <c r="B8" s="2">
        <v>4104</v>
      </c>
      <c r="C8" s="2">
        <v>69843</v>
      </c>
      <c r="D8" s="2">
        <f t="shared" si="0"/>
        <v>62858.700000000004</v>
      </c>
      <c r="F8">
        <v>0.6</v>
      </c>
      <c r="G8" s="11">
        <f t="shared" si="1"/>
        <v>2095.29</v>
      </c>
      <c r="H8" s="11">
        <f>C8*0.9/$B$30</f>
        <v>41.458053027305105</v>
      </c>
    </row>
    <row r="9" spans="1:8" x14ac:dyDescent="0.25">
      <c r="E9" t="s">
        <v>268</v>
      </c>
      <c r="F9">
        <f>SUM(F8+F6+F5)</f>
        <v>6.1</v>
      </c>
      <c r="G9" s="2">
        <f>G8+G6+G5+G7</f>
        <v>11403.29</v>
      </c>
    </row>
    <row r="11" spans="1:8" x14ac:dyDescent="0.25">
      <c r="A11" t="s">
        <v>164</v>
      </c>
      <c r="B11" s="9" t="s">
        <v>163</v>
      </c>
    </row>
    <row r="12" spans="1:8" x14ac:dyDescent="0.25">
      <c r="A12" t="s">
        <v>165</v>
      </c>
      <c r="B12">
        <v>365</v>
      </c>
    </row>
    <row r="13" spans="1:8" x14ac:dyDescent="0.25">
      <c r="A13" t="s">
        <v>166</v>
      </c>
      <c r="B13">
        <v>104</v>
      </c>
    </row>
    <row r="14" spans="1:8" x14ac:dyDescent="0.25">
      <c r="A14" t="s">
        <v>167</v>
      </c>
      <c r="B14">
        <v>8</v>
      </c>
    </row>
    <row r="15" spans="1:8" x14ac:dyDescent="0.25">
      <c r="A15" t="s">
        <v>168</v>
      </c>
      <c r="B15">
        <v>25</v>
      </c>
    </row>
    <row r="16" spans="1:8" x14ac:dyDescent="0.25">
      <c r="A16" t="s">
        <v>169</v>
      </c>
      <c r="B16">
        <f>B12-B13-B14-B15</f>
        <v>228</v>
      </c>
    </row>
    <row r="17" spans="1:11" x14ac:dyDescent="0.25">
      <c r="A17" t="s">
        <v>170</v>
      </c>
      <c r="B17" s="16">
        <f>B16/5</f>
        <v>45.6</v>
      </c>
    </row>
    <row r="22" spans="1:11" x14ac:dyDescent="0.25">
      <c r="B22" t="s">
        <v>269</v>
      </c>
      <c r="C22" t="s">
        <v>270</v>
      </c>
      <c r="D22" t="s">
        <v>419</v>
      </c>
      <c r="E22" t="s">
        <v>420</v>
      </c>
      <c r="F22" t="s">
        <v>418</v>
      </c>
      <c r="G22" t="s">
        <v>271</v>
      </c>
      <c r="H22" t="s">
        <v>272</v>
      </c>
      <c r="I22" t="s">
        <v>34</v>
      </c>
      <c r="J22" t="s">
        <v>22</v>
      </c>
      <c r="K22" t="s">
        <v>274</v>
      </c>
    </row>
    <row r="23" spans="1:11" x14ac:dyDescent="0.25">
      <c r="A23" t="s">
        <v>160</v>
      </c>
      <c r="B23">
        <v>0.85</v>
      </c>
      <c r="C23">
        <v>0.85</v>
      </c>
      <c r="D23">
        <v>0.3</v>
      </c>
      <c r="E23">
        <v>0.85</v>
      </c>
      <c r="F23">
        <v>0.47</v>
      </c>
      <c r="H23">
        <v>0.65</v>
      </c>
      <c r="I23">
        <v>0.41</v>
      </c>
      <c r="J23">
        <v>0.12</v>
      </c>
      <c r="K23">
        <f>SUM(B23:J23)</f>
        <v>4.5</v>
      </c>
    </row>
    <row r="24" spans="1:11" x14ac:dyDescent="0.25">
      <c r="A24" t="s">
        <v>250</v>
      </c>
      <c r="H24">
        <v>0.5</v>
      </c>
      <c r="I24">
        <v>0.5</v>
      </c>
      <c r="K24">
        <f t="shared" ref="K24:K27" si="2">SUM(B24:J24)</f>
        <v>1</v>
      </c>
    </row>
    <row r="25" spans="1:11" x14ac:dyDescent="0.25">
      <c r="A25" t="s">
        <v>492</v>
      </c>
      <c r="G25">
        <v>0.85</v>
      </c>
      <c r="I25">
        <v>0.05</v>
      </c>
      <c r="J25">
        <v>0.1</v>
      </c>
      <c r="K25">
        <f t="shared" si="2"/>
        <v>1</v>
      </c>
    </row>
    <row r="26" spans="1:11" x14ac:dyDescent="0.25">
      <c r="A26" t="s">
        <v>251</v>
      </c>
      <c r="H26">
        <v>0.35</v>
      </c>
      <c r="I26">
        <v>0.15</v>
      </c>
      <c r="J26">
        <v>0.1</v>
      </c>
      <c r="K26">
        <f t="shared" si="2"/>
        <v>0.6</v>
      </c>
    </row>
    <row r="27" spans="1:11" x14ac:dyDescent="0.25">
      <c r="A27" t="s">
        <v>275</v>
      </c>
      <c r="B27">
        <f t="shared" ref="B27:J27" si="3">$B$30*SUM(B23:B26)</f>
        <v>1288.77</v>
      </c>
      <c r="C27">
        <f t="shared" si="3"/>
        <v>1288.77</v>
      </c>
      <c r="D27">
        <f t="shared" si="3"/>
        <v>454.86</v>
      </c>
      <c r="E27">
        <f t="shared" si="3"/>
        <v>1288.77</v>
      </c>
      <c r="F27">
        <f t="shared" si="3"/>
        <v>712.61400000000003</v>
      </c>
      <c r="G27">
        <f t="shared" si="3"/>
        <v>1288.77</v>
      </c>
      <c r="H27">
        <f t="shared" si="3"/>
        <v>2274.3000000000002</v>
      </c>
      <c r="I27">
        <f t="shared" si="3"/>
        <v>1682.982</v>
      </c>
      <c r="J27">
        <f t="shared" si="3"/>
        <v>485.18400000000003</v>
      </c>
      <c r="K27">
        <f t="shared" si="2"/>
        <v>10765.019999999999</v>
      </c>
    </row>
    <row r="28" spans="1:11" x14ac:dyDescent="0.25">
      <c r="A28" t="s">
        <v>276</v>
      </c>
      <c r="B28">
        <f>Summary!$C$9*Summary!$C$8*Summary!$C$7</f>
        <v>1276.8000000000002</v>
      </c>
      <c r="C28">
        <f>Summary!$C$9*Summary!$C$8*Summary!$C$7</f>
        <v>1276.8000000000002</v>
      </c>
      <c r="D28">
        <f>0.7*Summary!$C$8*Summary!$C$7</f>
        <v>1117.2</v>
      </c>
      <c r="E28">
        <f>Summary!$C$9*Summary!$C$8*Summary!$C$7</f>
        <v>1276.8000000000002</v>
      </c>
      <c r="F28">
        <f>0.44*Summary!$C$8*Summary!$C$7</f>
        <v>702.24</v>
      </c>
      <c r="G28">
        <f>Summary!$C$9*Summary!$C$8*Summary!$C$7</f>
        <v>1276.8000000000002</v>
      </c>
      <c r="H28">
        <f>0.5*B28*2+0.9*D28</f>
        <v>2282.2800000000002</v>
      </c>
      <c r="I28">
        <f>2*0.4*B28+D28*0.6</f>
        <v>1691.7600000000002</v>
      </c>
      <c r="J28">
        <f>0.06*Summary!C7*Summary!C8*5</f>
        <v>478.8</v>
      </c>
      <c r="K28">
        <f>SUM(B28:J28)-D28+D29</f>
        <v>10709.159999999998</v>
      </c>
    </row>
    <row r="29" spans="1:11" x14ac:dyDescent="0.25">
      <c r="C29" t="s">
        <v>535</v>
      </c>
      <c r="D29">
        <f>D28*0.4</f>
        <v>446.88000000000005</v>
      </c>
    </row>
    <row r="30" spans="1:11" x14ac:dyDescent="0.25">
      <c r="A30" t="s">
        <v>495</v>
      </c>
      <c r="B30">
        <f>Summary!$C$10*Summary!$C$8*Summary!$C$7</f>
        <v>1516.2</v>
      </c>
    </row>
    <row r="32" spans="1:11" x14ac:dyDescent="0.25">
      <c r="A32" t="s">
        <v>281</v>
      </c>
      <c r="B32" s="11">
        <f>SUMPRODUCT(D5:D8*J23:J26)</f>
        <v>13108.788</v>
      </c>
    </row>
    <row r="33" spans="2:2" x14ac:dyDescent="0.25">
      <c r="B33" s="11"/>
    </row>
    <row r="34" spans="2:2" x14ac:dyDescent="0.25">
      <c r="B34" s="11"/>
    </row>
  </sheetData>
  <hyperlinks>
    <hyperlink ref="B1" r:id="rId1" xr:uid="{00000000-0004-0000-0100-000000000000}"/>
    <hyperlink ref="B2" r:id="rId2" xr:uid="{00000000-0004-0000-0100-000001000000}"/>
    <hyperlink ref="B1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0"/>
  <sheetViews>
    <sheetView workbookViewId="0">
      <selection activeCell="A25" sqref="A25"/>
    </sheetView>
  </sheetViews>
  <sheetFormatPr baseColWidth="10" defaultRowHeight="15" x14ac:dyDescent="0.25"/>
  <cols>
    <col min="1" max="1" width="49.85546875" bestFit="1" customWidth="1"/>
  </cols>
  <sheetData>
    <row r="1" spans="1:4" x14ac:dyDescent="0.25">
      <c r="A1" t="s">
        <v>19</v>
      </c>
      <c r="B1" s="9" t="s">
        <v>171</v>
      </c>
    </row>
    <row r="2" spans="1:4" x14ac:dyDescent="0.25">
      <c r="B2" t="s">
        <v>291</v>
      </c>
    </row>
    <row r="3" spans="1:4" x14ac:dyDescent="0.25">
      <c r="B3" t="s">
        <v>292</v>
      </c>
    </row>
    <row r="4" spans="1:4" x14ac:dyDescent="0.25">
      <c r="A4" t="s">
        <v>287</v>
      </c>
      <c r="B4">
        <v>38.64</v>
      </c>
    </row>
    <row r="5" spans="1:4" x14ac:dyDescent="0.25">
      <c r="A5" t="s">
        <v>288</v>
      </c>
      <c r="B5">
        <f>(24*2 + 7.5)*0.8+16+14</f>
        <v>74.400000000000006</v>
      </c>
    </row>
    <row r="6" spans="1:4" x14ac:dyDescent="0.25">
      <c r="A6" t="s">
        <v>287</v>
      </c>
      <c r="B6" s="2">
        <f>B5*B4</f>
        <v>2874.8160000000003</v>
      </c>
    </row>
    <row r="7" spans="1:4" x14ac:dyDescent="0.25">
      <c r="A7" t="s">
        <v>172</v>
      </c>
      <c r="B7" s="17">
        <v>7.8299999999999995E-2</v>
      </c>
    </row>
    <row r="9" spans="1:4" x14ac:dyDescent="0.25">
      <c r="B9" t="s">
        <v>199</v>
      </c>
      <c r="C9" t="s">
        <v>198</v>
      </c>
    </row>
    <row r="10" spans="1:4" x14ac:dyDescent="0.25">
      <c r="A10" t="s">
        <v>435</v>
      </c>
      <c r="B10" s="2">
        <v>2.77</v>
      </c>
      <c r="C10" s="2">
        <f>B10*(1-Summary!C15)</f>
        <v>2.2160000000000002</v>
      </c>
      <c r="D10" s="9" t="s">
        <v>434</v>
      </c>
    </row>
  </sheetData>
  <hyperlinks>
    <hyperlink ref="B1" r:id="rId1" xr:uid="{00000000-0004-0000-0200-000000000000}"/>
    <hyperlink ref="D10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5"/>
  <sheetViews>
    <sheetView workbookViewId="0">
      <selection activeCell="I9" sqref="I9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26</v>
      </c>
      <c r="B1" t="s">
        <v>213</v>
      </c>
      <c r="C1" t="s">
        <v>214</v>
      </c>
      <c r="D1" t="s">
        <v>215</v>
      </c>
      <c r="E1" t="s">
        <v>216</v>
      </c>
      <c r="F1" t="s">
        <v>226</v>
      </c>
    </row>
    <row r="2" spans="1:6" x14ac:dyDescent="0.25">
      <c r="A2" t="s">
        <v>131</v>
      </c>
      <c r="B2" t="s">
        <v>127</v>
      </c>
      <c r="D2" s="14">
        <v>149</v>
      </c>
      <c r="E2" s="12">
        <f>D2*(1-Summary!$C$15)</f>
        <v>119.2</v>
      </c>
      <c r="F2" s="9" t="s">
        <v>126</v>
      </c>
    </row>
    <row r="3" spans="1:6" x14ac:dyDescent="0.25">
      <c r="A3" t="s">
        <v>129</v>
      </c>
      <c r="B3">
        <v>0.01</v>
      </c>
      <c r="D3" s="14">
        <v>129</v>
      </c>
      <c r="E3" s="12">
        <f>D3*(1-Summary!$C$15)</f>
        <v>103.2</v>
      </c>
      <c r="F3" t="s">
        <v>128</v>
      </c>
    </row>
    <row r="4" spans="1:6" x14ac:dyDescent="0.25">
      <c r="A4" t="s">
        <v>36</v>
      </c>
      <c r="B4">
        <v>0.01</v>
      </c>
      <c r="D4" s="14">
        <v>60</v>
      </c>
      <c r="E4" s="12">
        <f>D4*(1-Summary!$C$15)</f>
        <v>48</v>
      </c>
      <c r="F4" t="s">
        <v>130</v>
      </c>
    </row>
    <row r="5" spans="1:6" x14ac:dyDescent="0.25">
      <c r="E5" s="12"/>
    </row>
    <row r="6" spans="1:6" x14ac:dyDescent="0.25">
      <c r="A6" t="s">
        <v>133</v>
      </c>
      <c r="D6" s="14">
        <v>392</v>
      </c>
      <c r="E6" s="12">
        <f>D6*(1-Summary!$C$15)</f>
        <v>313.60000000000002</v>
      </c>
      <c r="F6" t="s">
        <v>132</v>
      </c>
    </row>
    <row r="7" spans="1:6" x14ac:dyDescent="0.25">
      <c r="A7" t="s">
        <v>137</v>
      </c>
      <c r="D7" s="14">
        <v>167</v>
      </c>
      <c r="E7" s="12">
        <f>D7*(1-Summary!$C$15)</f>
        <v>133.6</v>
      </c>
      <c r="F7" t="s">
        <v>134</v>
      </c>
    </row>
    <row r="8" spans="1:6" x14ac:dyDescent="0.25">
      <c r="A8" t="s">
        <v>136</v>
      </c>
      <c r="D8" s="14">
        <v>94</v>
      </c>
      <c r="E8" s="12">
        <f>D8*(1-Summary!$C$15)</f>
        <v>75.2</v>
      </c>
      <c r="F8" t="s">
        <v>135</v>
      </c>
    </row>
    <row r="9" spans="1:6" x14ac:dyDescent="0.25">
      <c r="E9" s="12"/>
    </row>
    <row r="10" spans="1:6" x14ac:dyDescent="0.25">
      <c r="A10" t="s">
        <v>138</v>
      </c>
      <c r="D10" s="14">
        <v>282</v>
      </c>
      <c r="E10" s="12">
        <f>D10*(1-Summary!$C$15)</f>
        <v>225.60000000000002</v>
      </c>
      <c r="F10" t="s">
        <v>139</v>
      </c>
    </row>
    <row r="11" spans="1:6" x14ac:dyDescent="0.25">
      <c r="A11" t="s">
        <v>141</v>
      </c>
      <c r="D11" s="14">
        <v>408</v>
      </c>
      <c r="E11" s="12">
        <f>D11*(1-Summary!$C$15)</f>
        <v>326.40000000000003</v>
      </c>
    </row>
    <row r="12" spans="1:6" x14ac:dyDescent="0.25">
      <c r="A12" t="s">
        <v>142</v>
      </c>
      <c r="D12" s="14">
        <v>3322</v>
      </c>
      <c r="E12" s="12">
        <f>D12*(1-Summary!$C$15)</f>
        <v>2657.6000000000004</v>
      </c>
      <c r="F12" t="s">
        <v>140</v>
      </c>
    </row>
    <row r="13" spans="1:6" x14ac:dyDescent="0.25">
      <c r="E13" s="12"/>
    </row>
    <row r="14" spans="1:6" x14ac:dyDescent="0.25">
      <c r="A14" t="s">
        <v>143</v>
      </c>
      <c r="B14" t="s">
        <v>144</v>
      </c>
      <c r="D14" s="14">
        <v>1390</v>
      </c>
      <c r="E14" s="12">
        <f>D14*(1-Summary!$C$15)</f>
        <v>1112</v>
      </c>
      <c r="F14" t="s">
        <v>145</v>
      </c>
    </row>
    <row r="15" spans="1:6" x14ac:dyDescent="0.25">
      <c r="B15" t="s">
        <v>147</v>
      </c>
      <c r="D15" s="14">
        <v>1202</v>
      </c>
      <c r="E15" s="12">
        <f>D15*(1-Summary!$C$15)</f>
        <v>961.6</v>
      </c>
      <c r="F15" t="s">
        <v>146</v>
      </c>
    </row>
    <row r="16" spans="1:6" x14ac:dyDescent="0.25">
      <c r="B16" t="s">
        <v>149</v>
      </c>
      <c r="D16" s="14">
        <v>146</v>
      </c>
      <c r="E16" s="12">
        <f>D16*(1-Summary!$C$15)</f>
        <v>116.80000000000001</v>
      </c>
      <c r="F16" t="s">
        <v>148</v>
      </c>
    </row>
    <row r="17" spans="1:6" x14ac:dyDescent="0.25">
      <c r="B17" t="s">
        <v>151</v>
      </c>
      <c r="D17" s="14">
        <v>162</v>
      </c>
      <c r="E17" s="12">
        <f>D17*(1-Summary!$C$15)</f>
        <v>129.6</v>
      </c>
      <c r="F17" t="s">
        <v>150</v>
      </c>
    </row>
    <row r="18" spans="1:6" x14ac:dyDescent="0.25">
      <c r="A18" t="s">
        <v>35</v>
      </c>
      <c r="B18" t="s">
        <v>153</v>
      </c>
      <c r="D18" s="14">
        <v>1623</v>
      </c>
      <c r="E18" s="12">
        <f>D18*(1-Summary!$C$15)</f>
        <v>1298.4000000000001</v>
      </c>
      <c r="F18" s="9" t="s">
        <v>152</v>
      </c>
    </row>
    <row r="19" spans="1:6" x14ac:dyDescent="0.25">
      <c r="B19" s="13" t="s">
        <v>217</v>
      </c>
      <c r="D19" s="14">
        <v>675</v>
      </c>
      <c r="E19" s="12">
        <f>D19*(1-Summary!$C$15)</f>
        <v>540</v>
      </c>
      <c r="F19" t="s">
        <v>218</v>
      </c>
    </row>
    <row r="20" spans="1:6" x14ac:dyDescent="0.25">
      <c r="B20" s="13"/>
      <c r="E20" s="12"/>
    </row>
    <row r="21" spans="1:6" x14ac:dyDescent="0.25">
      <c r="A21" t="s">
        <v>154</v>
      </c>
      <c r="B21" t="s">
        <v>156</v>
      </c>
      <c r="C21" s="18">
        <v>348</v>
      </c>
      <c r="D21" s="19">
        <f>Metrology!C21/(Summary!C14)</f>
        <v>308.06274565348252</v>
      </c>
      <c r="E21" s="12">
        <f>D21*(1-Summary!$C$15)</f>
        <v>246.45019652278603</v>
      </c>
      <c r="F21" s="9" t="s">
        <v>155</v>
      </c>
    </row>
    <row r="23" spans="1:6" x14ac:dyDescent="0.25">
      <c r="A23" t="s">
        <v>255</v>
      </c>
      <c r="B23" t="s">
        <v>256</v>
      </c>
      <c r="E23" s="2">
        <v>48334.81</v>
      </c>
      <c r="F23" t="s">
        <v>254</v>
      </c>
    </row>
    <row r="25" spans="1:6" x14ac:dyDescent="0.25">
      <c r="A25" t="s">
        <v>258</v>
      </c>
      <c r="B25" t="s">
        <v>259</v>
      </c>
      <c r="E25" s="2">
        <v>5390</v>
      </c>
      <c r="F25" t="s">
        <v>257</v>
      </c>
    </row>
  </sheetData>
  <hyperlinks>
    <hyperlink ref="F2" r:id="rId1" xr:uid="{00000000-0004-0000-0300-000000000000}"/>
    <hyperlink ref="F21" r:id="rId2" xr:uid="{00000000-0004-0000-0300-000001000000}"/>
    <hyperlink ref="F18" r:id="rId3" xr:uid="{00000000-0004-0000-0300-000002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E23"/>
  <sheetViews>
    <sheetView workbookViewId="0">
      <selection activeCell="E25" sqref="E25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200</v>
      </c>
      <c r="C1" t="s">
        <v>199</v>
      </c>
      <c r="D1" t="s">
        <v>198</v>
      </c>
    </row>
    <row r="2" spans="1:5" x14ac:dyDescent="0.25">
      <c r="A2" t="s">
        <v>103</v>
      </c>
      <c r="B2" t="s">
        <v>201</v>
      </c>
      <c r="C2" s="2">
        <v>498</v>
      </c>
      <c r="D2" s="2">
        <f>C2*(1-Summary!$C$15)</f>
        <v>398.40000000000003</v>
      </c>
      <c r="E2" t="s">
        <v>104</v>
      </c>
    </row>
    <row r="3" spans="1:5" x14ac:dyDescent="0.25">
      <c r="A3" t="s">
        <v>105</v>
      </c>
      <c r="B3" t="s">
        <v>202</v>
      </c>
      <c r="C3" s="2"/>
      <c r="D3" s="2">
        <v>8.8000000000000007</v>
      </c>
      <c r="E3" t="s">
        <v>195</v>
      </c>
    </row>
    <row r="4" spans="1:5" x14ac:dyDescent="0.25">
      <c r="C4" s="2"/>
      <c r="D4" s="2"/>
    </row>
    <row r="5" spans="1:5" x14ac:dyDescent="0.25">
      <c r="A5" t="s">
        <v>175</v>
      </c>
      <c r="C5" s="2">
        <v>241.2</v>
      </c>
      <c r="D5" s="2">
        <f>C5*(1-Summary!$C$15)</f>
        <v>192.96</v>
      </c>
      <c r="E5" t="s">
        <v>176</v>
      </c>
    </row>
    <row r="6" spans="1:5" x14ac:dyDescent="0.25">
      <c r="A6" t="s">
        <v>181</v>
      </c>
      <c r="C6" s="2">
        <v>50</v>
      </c>
      <c r="D6" s="2">
        <f>C6*(1-Summary!$C$15)</f>
        <v>40</v>
      </c>
      <c r="E6" t="s">
        <v>182</v>
      </c>
    </row>
    <row r="7" spans="1:5" x14ac:dyDescent="0.25">
      <c r="A7" t="s">
        <v>184</v>
      </c>
      <c r="C7" s="2">
        <v>137.99</v>
      </c>
      <c r="D7" s="2">
        <f>C7*(1-Summary!$C$15)</f>
        <v>110.39200000000001</v>
      </c>
      <c r="E7" t="s">
        <v>183</v>
      </c>
    </row>
    <row r="8" spans="1:5" x14ac:dyDescent="0.25">
      <c r="A8" t="s">
        <v>206</v>
      </c>
      <c r="C8" s="2"/>
      <c r="D8" s="2">
        <v>23.6</v>
      </c>
      <c r="E8" t="s">
        <v>207</v>
      </c>
    </row>
    <row r="9" spans="1:5" x14ac:dyDescent="0.25">
      <c r="A9" t="s">
        <v>208</v>
      </c>
      <c r="C9" s="2"/>
      <c r="D9" s="2">
        <v>39.950000000000003</v>
      </c>
      <c r="E9" t="s">
        <v>209</v>
      </c>
    </row>
    <row r="10" spans="1:5" x14ac:dyDescent="0.25">
      <c r="C10" s="2"/>
      <c r="D10" s="2"/>
    </row>
    <row r="11" spans="1:5" x14ac:dyDescent="0.25">
      <c r="A11" t="s">
        <v>185</v>
      </c>
      <c r="C11" s="2">
        <v>2097.6</v>
      </c>
      <c r="D11" s="2">
        <f>C11*(1-Summary!$C$15)</f>
        <v>1678.08</v>
      </c>
      <c r="E11" t="s">
        <v>186</v>
      </c>
    </row>
    <row r="12" spans="1:5" x14ac:dyDescent="0.25">
      <c r="A12" t="s">
        <v>178</v>
      </c>
      <c r="C12" s="2">
        <v>2150.1</v>
      </c>
      <c r="D12" s="2">
        <f>C12*(1-Summary!$C$15)</f>
        <v>1720.08</v>
      </c>
      <c r="E12" t="s">
        <v>177</v>
      </c>
    </row>
    <row r="13" spans="1:5" x14ac:dyDescent="0.25">
      <c r="A13" t="s">
        <v>193</v>
      </c>
      <c r="C13" s="2">
        <v>620.4</v>
      </c>
      <c r="D13" s="2">
        <f>C13*(1-Summary!$C$15)</f>
        <v>496.32</v>
      </c>
      <c r="E13" t="s">
        <v>194</v>
      </c>
    </row>
    <row r="14" spans="1:5" x14ac:dyDescent="0.25">
      <c r="C14" s="2"/>
      <c r="D14" s="2"/>
    </row>
    <row r="15" spans="1:5" x14ac:dyDescent="0.25">
      <c r="A15" t="s">
        <v>180</v>
      </c>
      <c r="C15" s="2">
        <v>183.6</v>
      </c>
      <c r="D15" s="2">
        <f>C15*(1-Summary!$C$15)</f>
        <v>146.88</v>
      </c>
      <c r="E15" t="s">
        <v>179</v>
      </c>
    </row>
    <row r="16" spans="1:5" x14ac:dyDescent="0.25">
      <c r="A16" t="s">
        <v>188</v>
      </c>
      <c r="C16" s="2">
        <v>54</v>
      </c>
      <c r="D16" s="2">
        <f>C16*(1-Summary!$C$15)</f>
        <v>43.2</v>
      </c>
      <c r="E16" t="s">
        <v>187</v>
      </c>
    </row>
    <row r="17" spans="1:5" x14ac:dyDescent="0.25">
      <c r="A17" t="s">
        <v>189</v>
      </c>
      <c r="C17" s="2">
        <v>40.799999999999997</v>
      </c>
      <c r="D17" s="2">
        <f>C17*(1-Summary!$C$15)</f>
        <v>32.64</v>
      </c>
      <c r="E17" t="s">
        <v>190</v>
      </c>
    </row>
    <row r="18" spans="1:5" x14ac:dyDescent="0.25">
      <c r="A18" t="s">
        <v>191</v>
      </c>
      <c r="C18" s="2">
        <v>217.2</v>
      </c>
      <c r="D18" s="2">
        <f>C18*(1-Summary!$C$15)</f>
        <v>173.76</v>
      </c>
      <c r="E18" t="s">
        <v>192</v>
      </c>
    </row>
    <row r="20" spans="1:5" x14ac:dyDescent="0.25">
      <c r="A20" t="s">
        <v>211</v>
      </c>
      <c r="B20" t="s">
        <v>210</v>
      </c>
      <c r="D20" s="2">
        <v>102</v>
      </c>
      <c r="E20" t="s">
        <v>212</v>
      </c>
    </row>
    <row r="22" spans="1:5" x14ac:dyDescent="0.25">
      <c r="A22" t="s">
        <v>303</v>
      </c>
      <c r="D22" s="2">
        <v>96</v>
      </c>
      <c r="E22" t="s">
        <v>302</v>
      </c>
    </row>
    <row r="23" spans="1:5" x14ac:dyDescent="0.25">
      <c r="A23" t="s">
        <v>305</v>
      </c>
      <c r="D23" s="2">
        <v>285</v>
      </c>
      <c r="E23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8"/>
  <sheetViews>
    <sheetView workbookViewId="0">
      <selection activeCell="A11" sqref="A11:G21"/>
    </sheetView>
  </sheetViews>
  <sheetFormatPr baseColWidth="10" defaultRowHeight="15" x14ac:dyDescent="0.25"/>
  <sheetData>
    <row r="1" spans="1:5" x14ac:dyDescent="0.25">
      <c r="A1" t="s">
        <v>16</v>
      </c>
      <c r="B1" t="s">
        <v>200</v>
      </c>
      <c r="C1" t="s">
        <v>199</v>
      </c>
      <c r="D1" t="s">
        <v>198</v>
      </c>
      <c r="E1" t="s">
        <v>310</v>
      </c>
    </row>
    <row r="2" spans="1:5" x14ac:dyDescent="0.25">
      <c r="A2" t="s">
        <v>312</v>
      </c>
      <c r="D2" s="2">
        <v>619</v>
      </c>
      <c r="E2" t="s">
        <v>311</v>
      </c>
    </row>
    <row r="3" spans="1:5" x14ac:dyDescent="0.25">
      <c r="A3" t="s">
        <v>313</v>
      </c>
      <c r="D3" s="2">
        <v>248</v>
      </c>
      <c r="E3" t="s">
        <v>311</v>
      </c>
    </row>
    <row r="4" spans="1:5" x14ac:dyDescent="0.25">
      <c r="A4" t="s">
        <v>314</v>
      </c>
      <c r="D4" s="2">
        <v>320</v>
      </c>
      <c r="E4" t="s">
        <v>311</v>
      </c>
    </row>
    <row r="5" spans="1:5" x14ac:dyDescent="0.25">
      <c r="A5" t="s">
        <v>315</v>
      </c>
      <c r="D5" s="2">
        <v>515</v>
      </c>
      <c r="E5" t="s">
        <v>311</v>
      </c>
    </row>
    <row r="6" spans="1:5" x14ac:dyDescent="0.25">
      <c r="A6" t="s">
        <v>316</v>
      </c>
      <c r="D6" s="2">
        <v>1125</v>
      </c>
      <c r="E6" t="s">
        <v>317</v>
      </c>
    </row>
    <row r="7" spans="1:5" x14ac:dyDescent="0.25">
      <c r="A7" t="s">
        <v>318</v>
      </c>
      <c r="D7" s="2">
        <v>1851</v>
      </c>
      <c r="E7" t="s">
        <v>319</v>
      </c>
    </row>
    <row r="8" spans="1:5" x14ac:dyDescent="0.25">
      <c r="A8" t="s">
        <v>320</v>
      </c>
      <c r="D8" s="2">
        <v>417</v>
      </c>
      <c r="E8" t="s">
        <v>321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G36"/>
  <sheetViews>
    <sheetView workbookViewId="0">
      <selection activeCell="F36" sqref="F36"/>
    </sheetView>
  </sheetViews>
  <sheetFormatPr baseColWidth="10" defaultRowHeight="15" x14ac:dyDescent="0.25"/>
  <cols>
    <col min="1" max="1" width="30" bestFit="1" customWidth="1"/>
    <col min="2" max="2" width="15.7109375" bestFit="1" customWidth="1"/>
    <col min="6" max="6" width="11.85546875" bestFit="1" customWidth="1"/>
  </cols>
  <sheetData>
    <row r="1" spans="1:7" x14ac:dyDescent="0.25">
      <c r="A1" t="s">
        <v>26</v>
      </c>
      <c r="B1" t="s">
        <v>243</v>
      </c>
      <c r="C1" t="s">
        <v>242</v>
      </c>
      <c r="D1" t="s">
        <v>241</v>
      </c>
      <c r="E1" t="s">
        <v>215</v>
      </c>
      <c r="F1" t="s">
        <v>216</v>
      </c>
      <c r="G1" t="s">
        <v>226</v>
      </c>
    </row>
    <row r="2" spans="1:7" x14ac:dyDescent="0.25">
      <c r="A2" t="s">
        <v>93</v>
      </c>
      <c r="D2" s="18">
        <v>1295</v>
      </c>
      <c r="F2" s="2">
        <f>D2/Summary!C14</f>
        <v>1146.3829184518961</v>
      </c>
      <c r="G2" s="9" t="s">
        <v>94</v>
      </c>
    </row>
    <row r="3" spans="1:7" x14ac:dyDescent="0.25">
      <c r="A3" t="s">
        <v>97</v>
      </c>
      <c r="D3" s="18">
        <v>13995</v>
      </c>
      <c r="F3" s="2">
        <f>D3/Summary!C14</f>
        <v>12388.902659254276</v>
      </c>
      <c r="G3" s="9" t="s">
        <v>95</v>
      </c>
    </row>
    <row r="4" spans="1:7" x14ac:dyDescent="0.25">
      <c r="A4" t="s">
        <v>102</v>
      </c>
      <c r="D4" s="18">
        <v>395</v>
      </c>
      <c r="F4" s="2">
        <f>D4/Summary!C14</f>
        <v>349.66892107220002</v>
      </c>
      <c r="G4" s="9" t="s">
        <v>101</v>
      </c>
    </row>
    <row r="5" spans="1:7" x14ac:dyDescent="0.25">
      <c r="A5" t="s">
        <v>384</v>
      </c>
      <c r="D5" s="18">
        <v>3795</v>
      </c>
      <c r="F5" s="2">
        <f>D5/Summary!C14</f>
        <v>3359.4773556177188</v>
      </c>
      <c r="G5" s="9" t="s">
        <v>383</v>
      </c>
    </row>
    <row r="6" spans="1:7" x14ac:dyDescent="0.25">
      <c r="A6" t="s">
        <v>413</v>
      </c>
      <c r="D6" s="18"/>
      <c r="F6" s="2">
        <v>119</v>
      </c>
      <c r="G6" s="9" t="s">
        <v>414</v>
      </c>
    </row>
    <row r="7" spans="1:7" x14ac:dyDescent="0.25">
      <c r="A7" t="s">
        <v>411</v>
      </c>
      <c r="D7" s="18"/>
      <c r="F7" s="2">
        <v>379</v>
      </c>
      <c r="G7" s="9" t="s">
        <v>412</v>
      </c>
    </row>
    <row r="8" spans="1:7" x14ac:dyDescent="0.25">
      <c r="A8" t="s">
        <v>416</v>
      </c>
      <c r="D8" s="18"/>
      <c r="F8" s="2">
        <v>425</v>
      </c>
      <c r="G8" s="9" t="s">
        <v>415</v>
      </c>
    </row>
    <row r="9" spans="1:7" x14ac:dyDescent="0.25">
      <c r="F9" s="2"/>
    </row>
    <row r="10" spans="1:7" x14ac:dyDescent="0.25">
      <c r="A10" t="s">
        <v>244</v>
      </c>
      <c r="B10" t="s">
        <v>245</v>
      </c>
      <c r="C10" s="9"/>
      <c r="F10" s="2">
        <v>1079.0999999999999</v>
      </c>
      <c r="G10" s="9" t="s">
        <v>106</v>
      </c>
    </row>
    <row r="11" spans="1:7" x14ac:dyDescent="0.25">
      <c r="A11" t="s">
        <v>244</v>
      </c>
      <c r="B11" t="s">
        <v>246</v>
      </c>
      <c r="C11" s="9"/>
      <c r="E11" s="2">
        <v>2041.73</v>
      </c>
      <c r="F11" s="2">
        <f>E11*(1-Summary!C15)</f>
        <v>1633.384</v>
      </c>
      <c r="G11" s="9" t="s">
        <v>224</v>
      </c>
    </row>
    <row r="13" spans="1:7" x14ac:dyDescent="0.25">
      <c r="A13" t="s">
        <v>45</v>
      </c>
      <c r="B13" t="s">
        <v>107</v>
      </c>
      <c r="F13" s="2">
        <v>283.8</v>
      </c>
      <c r="G13" s="9" t="s">
        <v>108</v>
      </c>
    </row>
    <row r="14" spans="1:7" x14ac:dyDescent="0.25">
      <c r="B14" t="s">
        <v>109</v>
      </c>
      <c r="F14" s="2">
        <v>173.75</v>
      </c>
      <c r="G14" s="9" t="s">
        <v>110</v>
      </c>
    </row>
    <row r="15" spans="1:7" x14ac:dyDescent="0.25">
      <c r="B15" s="13" t="s">
        <v>112</v>
      </c>
      <c r="C15" s="13"/>
      <c r="F15" s="2">
        <v>153.08000000000001</v>
      </c>
      <c r="G15" s="9" t="s">
        <v>111</v>
      </c>
    </row>
    <row r="17" spans="1:7" x14ac:dyDescent="0.25">
      <c r="A17" t="s">
        <v>376</v>
      </c>
      <c r="B17" t="s">
        <v>377</v>
      </c>
      <c r="F17" s="2">
        <v>12999</v>
      </c>
      <c r="G17" t="s">
        <v>375</v>
      </c>
    </row>
    <row r="20" spans="1:7" x14ac:dyDescent="0.25">
      <c r="A20" t="s">
        <v>325</v>
      </c>
      <c r="F20" s="2">
        <v>1001.67</v>
      </c>
      <c r="G20" s="9" t="s">
        <v>322</v>
      </c>
    </row>
    <row r="21" spans="1:7" x14ac:dyDescent="0.25">
      <c r="A21" t="s">
        <v>323</v>
      </c>
      <c r="F21" s="2">
        <v>352.31</v>
      </c>
      <c r="G21" s="9" t="s">
        <v>324</v>
      </c>
    </row>
    <row r="23" spans="1:7" x14ac:dyDescent="0.25">
      <c r="A23" t="s">
        <v>386</v>
      </c>
      <c r="B23" t="s">
        <v>401</v>
      </c>
      <c r="F23" s="2">
        <v>2302.5700000000002</v>
      </c>
      <c r="G23" t="s">
        <v>385</v>
      </c>
    </row>
    <row r="25" spans="1:7" x14ac:dyDescent="0.25">
      <c r="A25" t="s">
        <v>388</v>
      </c>
      <c r="B25">
        <v>5</v>
      </c>
      <c r="F25" s="2">
        <v>69.400000000000006</v>
      </c>
      <c r="G25" t="s">
        <v>387</v>
      </c>
    </row>
    <row r="26" spans="1:7" x14ac:dyDescent="0.25">
      <c r="A26" t="s">
        <v>390</v>
      </c>
      <c r="B26">
        <v>1</v>
      </c>
      <c r="F26" s="2">
        <v>1433.25</v>
      </c>
      <c r="G26" t="s">
        <v>389</v>
      </c>
    </row>
    <row r="27" spans="1:7" x14ac:dyDescent="0.25">
      <c r="A27" t="s">
        <v>392</v>
      </c>
      <c r="B27">
        <v>1</v>
      </c>
      <c r="F27" s="2">
        <v>1866.02</v>
      </c>
      <c r="G27" t="s">
        <v>391</v>
      </c>
    </row>
    <row r="28" spans="1:7" x14ac:dyDescent="0.25">
      <c r="A28" t="s">
        <v>394</v>
      </c>
      <c r="B28">
        <v>1</v>
      </c>
      <c r="F28" s="2">
        <v>859.65</v>
      </c>
      <c r="G28" t="s">
        <v>393</v>
      </c>
    </row>
    <row r="29" spans="1:7" x14ac:dyDescent="0.25">
      <c r="A29" t="s">
        <v>396</v>
      </c>
      <c r="B29">
        <v>3</v>
      </c>
      <c r="F29" s="2">
        <v>699.07</v>
      </c>
      <c r="G29" t="s">
        <v>395</v>
      </c>
    </row>
    <row r="30" spans="1:7" x14ac:dyDescent="0.25">
      <c r="A30" t="s">
        <v>399</v>
      </c>
      <c r="B30">
        <v>30</v>
      </c>
      <c r="F30" s="2">
        <v>16.899999999999999</v>
      </c>
      <c r="G30" t="s">
        <v>400</v>
      </c>
    </row>
    <row r="32" spans="1:7" x14ac:dyDescent="0.25">
      <c r="A32" t="s">
        <v>407</v>
      </c>
      <c r="B32" t="s">
        <v>408</v>
      </c>
      <c r="F32" s="2">
        <v>3259</v>
      </c>
      <c r="G32" t="s">
        <v>406</v>
      </c>
    </row>
    <row r="34" spans="1:7" x14ac:dyDescent="0.25">
      <c r="A34" t="s">
        <v>409</v>
      </c>
      <c r="F34" s="2">
        <v>1075</v>
      </c>
      <c r="G34" t="s">
        <v>410</v>
      </c>
    </row>
    <row r="36" spans="1:7" x14ac:dyDescent="0.25">
      <c r="A36" t="s">
        <v>512</v>
      </c>
      <c r="F36" s="2">
        <f>1031.54</f>
        <v>1031.54</v>
      </c>
      <c r="G36" t="s">
        <v>513</v>
      </c>
    </row>
  </sheetData>
  <hyperlinks>
    <hyperlink ref="G10" r:id="rId1" xr:uid="{00000000-0004-0000-0600-000000000000}"/>
    <hyperlink ref="G11" r:id="rId2" xr:uid="{00000000-0004-0000-0600-000001000000}"/>
    <hyperlink ref="G2" r:id="rId3" xr:uid="{00000000-0004-0000-0600-000002000000}"/>
    <hyperlink ref="G4" r:id="rId4" xr:uid="{00000000-0004-0000-0600-000003000000}"/>
    <hyperlink ref="G13" r:id="rId5" xr:uid="{00000000-0004-0000-0600-000004000000}"/>
    <hyperlink ref="G14" r:id="rId6" xr:uid="{00000000-0004-0000-0600-000005000000}"/>
    <hyperlink ref="G15" r:id="rId7" xr:uid="{00000000-0004-0000-0600-000006000000}"/>
    <hyperlink ref="G3" r:id="rId8" xr:uid="{00000000-0004-0000-0600-000007000000}"/>
    <hyperlink ref="G20" r:id="rId9" xr:uid="{00000000-0004-0000-0600-000008000000}"/>
    <hyperlink ref="G21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workbookViewId="0">
      <selection activeCell="B2" sqref="B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9" t="s">
        <v>12</v>
      </c>
    </row>
    <row r="2" spans="1:3" x14ac:dyDescent="0.25">
      <c r="A2" t="s">
        <v>62</v>
      </c>
      <c r="B2" s="2">
        <f>97625+10395</f>
        <v>108020</v>
      </c>
      <c r="C2" s="9" t="s">
        <v>64</v>
      </c>
    </row>
    <row r="3" spans="1:3" x14ac:dyDescent="0.25">
      <c r="A3" t="s">
        <v>63</v>
      </c>
    </row>
    <row r="4" spans="1:3" x14ac:dyDescent="0.25">
      <c r="A4" t="s">
        <v>65</v>
      </c>
      <c r="B4" t="s">
        <v>66</v>
      </c>
      <c r="C4">
        <v>1016</v>
      </c>
    </row>
    <row r="5" spans="1:3" x14ac:dyDescent="0.25">
      <c r="B5" t="s">
        <v>67</v>
      </c>
      <c r="C5">
        <v>660</v>
      </c>
    </row>
    <row r="6" spans="1:3" x14ac:dyDescent="0.25">
      <c r="B6" t="s">
        <v>68</v>
      </c>
      <c r="C6">
        <v>635</v>
      </c>
    </row>
    <row r="7" spans="1:3" x14ac:dyDescent="0.25">
      <c r="A7" t="s">
        <v>69</v>
      </c>
    </row>
    <row r="8" spans="1:3" x14ac:dyDescent="0.25">
      <c r="A8" t="s">
        <v>70</v>
      </c>
    </row>
    <row r="9" spans="1:3" x14ac:dyDescent="0.25">
      <c r="A9" t="s">
        <v>71</v>
      </c>
    </row>
    <row r="10" spans="1:3" x14ac:dyDescent="0.25">
      <c r="A10" t="s">
        <v>72</v>
      </c>
      <c r="B10" t="s">
        <v>66</v>
      </c>
      <c r="C10">
        <v>1372</v>
      </c>
    </row>
    <row r="11" spans="1:3" x14ac:dyDescent="0.25">
      <c r="B11" t="s">
        <v>67</v>
      </c>
      <c r="C11">
        <v>610</v>
      </c>
    </row>
    <row r="12" spans="1:3" x14ac:dyDescent="0.25">
      <c r="A12" t="s">
        <v>73</v>
      </c>
      <c r="B12" t="s">
        <v>74</v>
      </c>
    </row>
    <row r="13" spans="1:3" x14ac:dyDescent="0.25">
      <c r="A13" t="s">
        <v>75</v>
      </c>
      <c r="B13" t="s">
        <v>76</v>
      </c>
    </row>
    <row r="14" spans="1:3" x14ac:dyDescent="0.25">
      <c r="A14" t="s">
        <v>77</v>
      </c>
      <c r="B14" t="s">
        <v>78</v>
      </c>
    </row>
    <row r="15" spans="1:3" x14ac:dyDescent="0.25">
      <c r="A15" t="s">
        <v>79</v>
      </c>
      <c r="B15" t="s">
        <v>80</v>
      </c>
    </row>
    <row r="16" spans="1:3" x14ac:dyDescent="0.25">
      <c r="A16" t="s">
        <v>81</v>
      </c>
      <c r="B16" t="s">
        <v>82</v>
      </c>
    </row>
    <row r="17" spans="1:6" x14ac:dyDescent="0.25">
      <c r="A17" t="s">
        <v>23</v>
      </c>
      <c r="B17" t="s">
        <v>83</v>
      </c>
    </row>
    <row r="19" spans="1:6" x14ac:dyDescent="0.25">
      <c r="A19" t="s">
        <v>123</v>
      </c>
      <c r="B19" t="s">
        <v>124</v>
      </c>
      <c r="C19" t="s">
        <v>125</v>
      </c>
    </row>
    <row r="21" spans="1:6" x14ac:dyDescent="0.25">
      <c r="B21" t="s">
        <v>216</v>
      </c>
      <c r="C21" t="s">
        <v>225</v>
      </c>
      <c r="D21" t="s">
        <v>226</v>
      </c>
    </row>
    <row r="22" spans="1:6" x14ac:dyDescent="0.25">
      <c r="A22" t="s">
        <v>62</v>
      </c>
      <c r="B22" s="2">
        <f>97625+10395</f>
        <v>108020</v>
      </c>
      <c r="C22">
        <v>1</v>
      </c>
      <c r="D22" t="s">
        <v>227</v>
      </c>
    </row>
    <row r="23" spans="1:6" x14ac:dyDescent="0.25">
      <c r="A23" t="s">
        <v>123</v>
      </c>
      <c r="B23" s="2">
        <v>100</v>
      </c>
      <c r="C23">
        <v>40</v>
      </c>
      <c r="D23" s="9" t="s">
        <v>124</v>
      </c>
    </row>
    <row r="24" spans="1:6" x14ac:dyDescent="0.25">
      <c r="A24" t="s">
        <v>96</v>
      </c>
      <c r="B24" s="2">
        <v>2500</v>
      </c>
      <c r="C24">
        <v>1</v>
      </c>
      <c r="D24" s="9" t="s">
        <v>92</v>
      </c>
    </row>
    <row r="27" spans="1:6" x14ac:dyDescent="0.25">
      <c r="A27" t="s">
        <v>84</v>
      </c>
      <c r="B27" t="s">
        <v>91</v>
      </c>
    </row>
    <row r="28" spans="1:6" x14ac:dyDescent="0.25">
      <c r="B28" t="s">
        <v>86</v>
      </c>
      <c r="C28" t="s">
        <v>88</v>
      </c>
      <c r="D28" t="s">
        <v>87</v>
      </c>
      <c r="E28" t="s">
        <v>89</v>
      </c>
    </row>
    <row r="29" spans="1:6" x14ac:dyDescent="0.25">
      <c r="A29" t="s">
        <v>85</v>
      </c>
      <c r="B29" s="10">
        <v>0.04</v>
      </c>
      <c r="C29">
        <v>5</v>
      </c>
      <c r="D29" s="2">
        <v>79.52</v>
      </c>
      <c r="E29">
        <f>208*B29</f>
        <v>8.32</v>
      </c>
      <c r="F29" s="11">
        <f>$E$29*D29/C29</f>
        <v>132.32128</v>
      </c>
    </row>
    <row r="30" spans="1:6" x14ac:dyDescent="0.25">
      <c r="A30" t="s">
        <v>90</v>
      </c>
      <c r="C30">
        <v>20</v>
      </c>
      <c r="D30" s="2">
        <v>236.84</v>
      </c>
      <c r="F30" s="11">
        <f>$E$29*D30/C30</f>
        <v>98.525440000000003</v>
      </c>
    </row>
    <row r="31" spans="1:6" x14ac:dyDescent="0.25">
      <c r="C31">
        <v>200</v>
      </c>
      <c r="D31" s="2">
        <v>2116</v>
      </c>
      <c r="F31" s="11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B18" sqref="B18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9" t="s">
        <v>12</v>
      </c>
    </row>
    <row r="2" spans="1:6" x14ac:dyDescent="0.25">
      <c r="A2" s="26" t="s">
        <v>373</v>
      </c>
      <c r="B2" s="2">
        <f>133720</f>
        <v>133720</v>
      </c>
      <c r="C2" t="s">
        <v>372</v>
      </c>
    </row>
    <row r="3" spans="1:6" x14ac:dyDescent="0.25">
      <c r="A3" s="26"/>
      <c r="B3" s="2"/>
    </row>
    <row r="4" spans="1:6" x14ac:dyDescent="0.25">
      <c r="A4" s="26" t="s">
        <v>350</v>
      </c>
      <c r="B4">
        <v>208</v>
      </c>
    </row>
    <row r="5" spans="1:6" x14ac:dyDescent="0.25">
      <c r="B5" t="s">
        <v>198</v>
      </c>
      <c r="C5" t="s">
        <v>226</v>
      </c>
    </row>
    <row r="6" spans="1:6" x14ac:dyDescent="0.25">
      <c r="A6" t="s">
        <v>123</v>
      </c>
      <c r="B6" s="2">
        <v>600</v>
      </c>
      <c r="C6" t="s">
        <v>348</v>
      </c>
    </row>
    <row r="7" spans="1:6" x14ac:dyDescent="0.25">
      <c r="A7" t="s">
        <v>346</v>
      </c>
      <c r="B7" s="2">
        <f>(2500+1500)/2</f>
        <v>2000</v>
      </c>
      <c r="C7" t="s">
        <v>348</v>
      </c>
    </row>
    <row r="8" spans="1:6" x14ac:dyDescent="0.25">
      <c r="A8" t="s">
        <v>347</v>
      </c>
      <c r="B8" s="2">
        <v>160</v>
      </c>
      <c r="C8" t="s">
        <v>349</v>
      </c>
    </row>
    <row r="10" spans="1:6" x14ac:dyDescent="0.25">
      <c r="A10" t="s">
        <v>84</v>
      </c>
      <c r="B10" t="s">
        <v>91</v>
      </c>
    </row>
    <row r="11" spans="1:6" x14ac:dyDescent="0.25">
      <c r="B11" t="s">
        <v>86</v>
      </c>
      <c r="C11" t="s">
        <v>88</v>
      </c>
      <c r="D11" t="s">
        <v>87</v>
      </c>
      <c r="E11" t="s">
        <v>89</v>
      </c>
    </row>
    <row r="12" spans="1:6" x14ac:dyDescent="0.25">
      <c r="A12" t="s">
        <v>85</v>
      </c>
      <c r="B12" s="10">
        <v>0.04</v>
      </c>
      <c r="C12">
        <v>5</v>
      </c>
      <c r="D12" s="2">
        <v>79.52</v>
      </c>
      <c r="E12">
        <f>208*B12</f>
        <v>8.32</v>
      </c>
      <c r="F12" s="11">
        <f>$B$4*$B$12*D12/C12</f>
        <v>132.32128</v>
      </c>
    </row>
    <row r="13" spans="1:6" x14ac:dyDescent="0.25">
      <c r="A13" t="s">
        <v>90</v>
      </c>
      <c r="C13">
        <v>20</v>
      </c>
      <c r="D13" s="2">
        <v>236.84</v>
      </c>
      <c r="F13" s="11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11">
        <f t="shared" si="0"/>
        <v>88.025599999999997</v>
      </c>
    </row>
    <row r="17" spans="2:2" x14ac:dyDescent="0.25">
      <c r="B17" t="s">
        <v>374</v>
      </c>
    </row>
  </sheetData>
  <hyperlinks>
    <hyperlink ref="A1" r:id="rId1" xr:uid="{00000000-0004-0000-08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2019-06-19T19:30:20Z</dcterms:modified>
</cp:coreProperties>
</file>