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OneDrive\Documents\EPSA\Optipute\CR - Cost Report\CBOM\"/>
    </mc:Choice>
  </mc:AlternateContent>
  <xr:revisionPtr revIDLastSave="0" documentId="13_ncr:1_{C35A7AF0-621E-4DB9-A7A9-DC1DAB57F92C}" xr6:coauthVersionLast="43" xr6:coauthVersionMax="43" xr10:uidLastSave="{00000000-0000-0000-0000-000000000000}"/>
  <bookViews>
    <workbookView xWindow="-120" yWindow="-120" windowWidth="29040" windowHeight="15840" tabRatio="667" xr2:uid="{00000000-000D-0000-FFFF-FFFF00000000}"/>
  </bookViews>
  <sheets>
    <sheet name="Summary" sheetId="6" r:id="rId1"/>
    <sheet name="Manpower &amp; time" sheetId="11" r:id="rId2"/>
    <sheet name="Energies" sheetId="13" r:id="rId3"/>
    <sheet name="Metrology" sheetId="12" r:id="rId4"/>
    <sheet name="IT" sheetId="9" r:id="rId5"/>
    <sheet name="Office" sheetId="14" r:id="rId6"/>
    <sheet name="Manufacturing" sheetId="8" r:id="rId7"/>
    <sheet name="CNC mill" sheetId="3" r:id="rId8"/>
    <sheet name="CNC lathe" sheetId="4" r:id="rId9"/>
    <sheet name="Laser cutter" sheetId="5" r:id="rId10"/>
    <sheet name="Welding" sheetId="10" r:id="rId11"/>
    <sheet name="Conventionnal machinning" sheetId="15" r:id="rId12"/>
    <sheet name="Material" sheetId="2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3" l="1"/>
  <c r="B7" i="13" s="1"/>
  <c r="K32" i="11"/>
  <c r="J32" i="11"/>
  <c r="I32" i="11"/>
  <c r="H32" i="11"/>
  <c r="G32" i="11"/>
  <c r="E32" i="11"/>
  <c r="C36" i="11"/>
  <c r="G9" i="11"/>
  <c r="G10" i="11"/>
  <c r="G11" i="11"/>
  <c r="G8" i="11"/>
  <c r="E9" i="11"/>
  <c r="E10" i="11"/>
  <c r="E11" i="11"/>
  <c r="E8" i="11"/>
  <c r="C3" i="6" l="1"/>
  <c r="C4" i="6"/>
  <c r="C5" i="6"/>
  <c r="C6" i="6"/>
  <c r="C12" i="6"/>
  <c r="Q33" i="6" s="1"/>
  <c r="E69" i="2" l="1"/>
  <c r="F69" i="2" s="1"/>
  <c r="E68" i="2"/>
  <c r="F68" i="2" s="1"/>
  <c r="E67" i="2"/>
  <c r="F67" i="2" s="1"/>
  <c r="E66" i="2"/>
  <c r="F66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I53" i="2"/>
  <c r="J53" i="2" s="1"/>
  <c r="C53" i="2"/>
  <c r="D53" i="2" s="1"/>
  <c r="I52" i="2"/>
  <c r="J52" i="2" s="1"/>
  <c r="C52" i="2"/>
  <c r="D52" i="2" s="1"/>
  <c r="I51" i="2"/>
  <c r="J51" i="2" s="1"/>
  <c r="C51" i="2"/>
  <c r="D51" i="2" s="1"/>
  <c r="D61" i="2" s="1"/>
  <c r="I50" i="2"/>
  <c r="J50" i="2" s="1"/>
  <c r="C50" i="2"/>
  <c r="D50" i="2" s="1"/>
  <c r="E46" i="2"/>
  <c r="E39" i="2"/>
  <c r="R38" i="2"/>
  <c r="E38" i="2"/>
  <c r="R37" i="2"/>
  <c r="E37" i="2"/>
  <c r="R36" i="2"/>
  <c r="K36" i="2"/>
  <c r="E36" i="2"/>
  <c r="R35" i="2"/>
  <c r="K35" i="2"/>
  <c r="E35" i="2"/>
  <c r="R34" i="2"/>
  <c r="K34" i="2"/>
  <c r="E34" i="2"/>
  <c r="R33" i="2"/>
  <c r="K33" i="2"/>
  <c r="E33" i="2"/>
  <c r="E27" i="2"/>
  <c r="E26" i="2"/>
  <c r="U25" i="2"/>
  <c r="V25" i="2" s="1"/>
  <c r="E25" i="2"/>
  <c r="U24" i="2"/>
  <c r="V24" i="2" s="1"/>
  <c r="E24" i="2"/>
  <c r="E23" i="2"/>
  <c r="E22" i="2"/>
  <c r="V21" i="2"/>
  <c r="Q21" i="2"/>
  <c r="E21" i="2"/>
  <c r="V20" i="2"/>
  <c r="Q20" i="2"/>
  <c r="V19" i="2"/>
  <c r="Q19" i="2"/>
  <c r="V18" i="2"/>
  <c r="Q18" i="2"/>
  <c r="V17" i="2"/>
  <c r="V22" i="2" s="1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Q4" i="2"/>
  <c r="J4" i="2"/>
  <c r="E4" i="2"/>
  <c r="Q22" i="2" l="1"/>
  <c r="E16" i="2"/>
  <c r="Q11" i="2"/>
  <c r="E28" i="2"/>
  <c r="W7" i="2"/>
  <c r="K37" i="2"/>
  <c r="R39" i="2"/>
  <c r="J12" i="2"/>
  <c r="E40" i="2"/>
  <c r="D62" i="2"/>
  <c r="H38" i="6" l="1"/>
  <c r="G27" i="8"/>
  <c r="H28" i="6" s="1"/>
  <c r="J28" i="6" s="1"/>
  <c r="M41" i="6" l="1"/>
  <c r="J14" i="5"/>
  <c r="M75" i="6" s="1"/>
  <c r="M29" i="6" l="1"/>
  <c r="L29" i="11"/>
  <c r="Q38" i="6"/>
  <c r="S38" i="6" s="1"/>
  <c r="Q37" i="6"/>
  <c r="S37" i="6" s="1"/>
  <c r="B32" i="10"/>
  <c r="M30" i="6" s="1"/>
  <c r="G12" i="11" l="1"/>
  <c r="H15" i="6" s="1"/>
  <c r="Q40" i="6"/>
  <c r="S40" i="6" s="1"/>
  <c r="B28" i="10" l="1"/>
  <c r="B29" i="10" s="1"/>
  <c r="Q34" i="6" s="1"/>
  <c r="B22" i="10"/>
  <c r="B23" i="10" s="1"/>
  <c r="Q35" i="6" s="1"/>
  <c r="B15" i="10"/>
  <c r="B17" i="10" s="1"/>
  <c r="Q36" i="6" s="1"/>
  <c r="C12" i="13" l="1"/>
  <c r="C13" i="6" s="1"/>
  <c r="R7" i="5"/>
  <c r="G5" i="5"/>
  <c r="Q22" i="6" s="1"/>
  <c r="S5" i="5"/>
  <c r="R5" i="5"/>
  <c r="R8" i="5" l="1"/>
  <c r="H12" i="6"/>
  <c r="J38" i="6"/>
  <c r="H27" i="6"/>
  <c r="J27" i="6" s="1"/>
  <c r="H35" i="6" l="1"/>
  <c r="J35" i="6" s="1"/>
  <c r="H33" i="6"/>
  <c r="J33" i="6" s="1"/>
  <c r="G6" i="8"/>
  <c r="J32" i="6"/>
  <c r="J31" i="6"/>
  <c r="H36" i="6" l="1"/>
  <c r="B2" i="4"/>
  <c r="Q11" i="6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0" i="5"/>
  <c r="F10" i="5" s="1"/>
  <c r="G4" i="5"/>
  <c r="Q19" i="6" s="1"/>
  <c r="Q20" i="6" l="1"/>
  <c r="S20" i="6" s="1"/>
  <c r="S19" i="6"/>
  <c r="F13" i="4"/>
  <c r="F14" i="4"/>
  <c r="Q17" i="6" s="1"/>
  <c r="S17" i="6" s="1"/>
  <c r="F12" i="4"/>
  <c r="E12" i="4"/>
  <c r="Q13" i="6"/>
  <c r="S13" i="6" s="1"/>
  <c r="B7" i="4"/>
  <c r="Q12" i="6" s="1"/>
  <c r="S12" i="6" s="1"/>
  <c r="S11" i="6"/>
  <c r="M13" i="6"/>
  <c r="M15" i="6"/>
  <c r="Q14" i="6"/>
  <c r="S14" i="6" s="1"/>
  <c r="M17" i="6" l="1"/>
  <c r="M16" i="6"/>
  <c r="R73" i="6"/>
  <c r="R59" i="6"/>
  <c r="H34" i="6" l="1"/>
  <c r="H25" i="6"/>
  <c r="H23" i="6"/>
  <c r="M5" i="6" l="1"/>
  <c r="F12" i="11" l="1"/>
  <c r="L28" i="11"/>
  <c r="L27" i="11"/>
  <c r="M7" i="6"/>
  <c r="H10" i="6" l="1"/>
  <c r="J10" i="6" s="1"/>
  <c r="C11" i="6"/>
  <c r="H16" i="6"/>
  <c r="J16" i="6" s="1"/>
  <c r="M8" i="6"/>
  <c r="M9" i="6"/>
  <c r="Q29" i="6"/>
  <c r="S29" i="6" s="1"/>
  <c r="Q30" i="6"/>
  <c r="S30" i="6" s="1"/>
  <c r="Q28" i="6"/>
  <c r="S28" i="6" s="1"/>
  <c r="Q27" i="6"/>
  <c r="S27" i="6" s="1"/>
  <c r="H9" i="6"/>
  <c r="J9" i="6" s="1"/>
  <c r="H6" i="6"/>
  <c r="J6" i="6" s="1"/>
  <c r="Q31" i="6"/>
  <c r="S31" i="6" s="1"/>
  <c r="E29" i="3"/>
  <c r="F29" i="3" s="1"/>
  <c r="G4" i="8"/>
  <c r="J34" i="6"/>
  <c r="G12" i="8"/>
  <c r="G5" i="8"/>
  <c r="G3" i="8"/>
  <c r="Q5" i="6"/>
  <c r="Q4" i="6"/>
  <c r="S4" i="6" s="1"/>
  <c r="J12" i="6"/>
  <c r="J36" i="6"/>
  <c r="J25" i="6"/>
  <c r="J23" i="6"/>
  <c r="J24" i="6"/>
  <c r="B22" i="3"/>
  <c r="Q3" i="6" s="1"/>
  <c r="B2" i="3"/>
  <c r="S5" i="6" l="1"/>
  <c r="Q39" i="6"/>
  <c r="S39" i="6" s="1"/>
  <c r="R92" i="6" s="1"/>
  <c r="H26" i="6"/>
  <c r="J26" i="6" s="1"/>
  <c r="J15" i="6"/>
  <c r="H29" i="6"/>
  <c r="F31" i="3"/>
  <c r="Q32" i="6"/>
  <c r="S32" i="6" s="1"/>
  <c r="R85" i="6" s="1"/>
  <c r="Q6" i="6"/>
  <c r="S6" i="6" s="1"/>
  <c r="S3" i="6"/>
  <c r="F30" i="3"/>
  <c r="E19" i="12"/>
  <c r="E3" i="12"/>
  <c r="E4" i="12"/>
  <c r="E6" i="12"/>
  <c r="E7" i="12"/>
  <c r="E8" i="12"/>
  <c r="E10" i="12"/>
  <c r="E11" i="12"/>
  <c r="E12" i="12"/>
  <c r="E14" i="12"/>
  <c r="E15" i="12"/>
  <c r="E16" i="12"/>
  <c r="E17" i="12"/>
  <c r="E18" i="12"/>
  <c r="E2" i="12"/>
  <c r="D21" i="12"/>
  <c r="E21" i="12" s="1"/>
  <c r="H8" i="6" s="1"/>
  <c r="J8" i="6" s="1"/>
  <c r="H22" i="6"/>
  <c r="J22" i="6" s="1"/>
  <c r="E3" i="9"/>
  <c r="H21" i="6" s="1"/>
  <c r="J21" i="6" s="1"/>
  <c r="E7" i="9"/>
  <c r="E8" i="9"/>
  <c r="E12" i="9"/>
  <c r="E13" i="9"/>
  <c r="E14" i="9"/>
  <c r="E16" i="9"/>
  <c r="E17" i="9"/>
  <c r="E18" i="9"/>
  <c r="E19" i="9"/>
  <c r="E6" i="9"/>
  <c r="H18" i="6" s="1"/>
  <c r="J18" i="6" s="1"/>
  <c r="H20" i="6"/>
  <c r="J20" i="6" s="1"/>
  <c r="C20" i="11"/>
  <c r="C21" i="11" s="1"/>
  <c r="C8" i="6" s="1"/>
  <c r="H13" i="6"/>
  <c r="J13" i="6" s="1"/>
  <c r="E33" i="11" l="1"/>
  <c r="H17" i="6"/>
  <c r="J17" i="6" s="1"/>
  <c r="C32" i="11"/>
  <c r="C22" i="11"/>
  <c r="Q21" i="6"/>
  <c r="Q41" i="6"/>
  <c r="Q9" i="6"/>
  <c r="S9" i="6" s="1"/>
  <c r="R45" i="6" s="1"/>
  <c r="H37" i="6"/>
  <c r="J37" i="6" s="1"/>
  <c r="J29" i="6"/>
  <c r="H30" i="6"/>
  <c r="J30" i="6" s="1"/>
  <c r="Q15" i="6"/>
  <c r="Q7" i="6"/>
  <c r="H11" i="6"/>
  <c r="J11" i="6" s="1"/>
  <c r="H14" i="6"/>
  <c r="J14" i="6" s="1"/>
  <c r="D32" i="11"/>
  <c r="F32" i="11"/>
  <c r="H19" i="6"/>
  <c r="J19" i="6" s="1"/>
  <c r="H5" i="6"/>
  <c r="J5" i="6" s="1"/>
  <c r="H7" i="6"/>
  <c r="J7" i="6" s="1"/>
  <c r="H4" i="6"/>
  <c r="J4" i="6" s="1"/>
  <c r="H3" i="6"/>
  <c r="J3" i="6" s="1"/>
  <c r="H10" i="11" l="1"/>
  <c r="J45" i="6" s="1"/>
  <c r="H11" i="11"/>
  <c r="H9" i="11"/>
  <c r="H8" i="11"/>
  <c r="J41" i="6"/>
  <c r="J31" i="11"/>
  <c r="E31" i="11"/>
  <c r="L30" i="11" s="1"/>
  <c r="G31" i="11"/>
  <c r="K31" i="11"/>
  <c r="H31" i="11"/>
  <c r="D31" i="11"/>
  <c r="C31" i="11"/>
  <c r="F31" i="11"/>
  <c r="I31" i="11"/>
  <c r="J42" i="6" l="1"/>
  <c r="L32" i="11"/>
  <c r="J44" i="6"/>
  <c r="J43" i="6"/>
  <c r="B33" i="10"/>
  <c r="B34" i="10" s="1"/>
  <c r="J46" i="6"/>
  <c r="L31" i="11"/>
  <c r="R86" i="6" l="1"/>
  <c r="R87" i="6" s="1"/>
  <c r="R89" i="6" s="1"/>
  <c r="R74" i="6"/>
  <c r="R84" i="6" s="1"/>
  <c r="R93" i="6"/>
  <c r="R97" i="6" s="1"/>
  <c r="R83" i="6"/>
  <c r="R82" i="6"/>
  <c r="R81" i="6"/>
  <c r="R80" i="6"/>
  <c r="R55" i="6"/>
  <c r="R53" i="6"/>
  <c r="R56" i="6"/>
  <c r="R52" i="6"/>
  <c r="R67" i="6"/>
  <c r="R70" i="6"/>
  <c r="R66" i="6"/>
  <c r="R69" i="6"/>
  <c r="R54" i="6"/>
  <c r="R71" i="6"/>
  <c r="R68" i="6"/>
  <c r="R57" i="6"/>
  <c r="R46" i="6"/>
  <c r="R58" i="6" s="1"/>
  <c r="R60" i="6"/>
  <c r="R75" i="6" l="1"/>
  <c r="R77" i="6" s="1"/>
  <c r="R78" i="6" s="1"/>
  <c r="R94" i="6"/>
  <c r="R96" i="6" s="1"/>
  <c r="R90" i="6"/>
  <c r="R47" i="6"/>
  <c r="R49" i="6" s="1"/>
  <c r="R50" i="6" s="1"/>
  <c r="R61" i="6"/>
  <c r="R63" i="6" s="1"/>
  <c r="R64" i="6" s="1"/>
  <c r="R72" i="6"/>
</calcChain>
</file>

<file path=xl/sharedStrings.xml><?xml version="1.0" encoding="utf-8"?>
<sst xmlns="http://schemas.openxmlformats.org/spreadsheetml/2006/main" count="805" uniqueCount="553">
  <si>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</si>
  <si>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</si>
  <si>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</si>
  <si>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</si>
  <si>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</si>
  <si>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</si>
  <si>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</si>
  <si>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</si>
  <si>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</si>
  <si>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</si>
  <si>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</si>
  <si>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</si>
  <si>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</si>
  <si>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</si>
  <si>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</si>
  <si>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OP</t>
  </si>
  <si>
    <t>Description</t>
  </si>
  <si>
    <t>Cost</t>
  </si>
  <si>
    <t>Turning</t>
  </si>
  <si>
    <t>Electricity</t>
  </si>
  <si>
    <t>Laser Cutting</t>
  </si>
  <si>
    <t>2D Laser cut</t>
  </si>
  <si>
    <t>Maintenance</t>
  </si>
  <si>
    <t xml:space="preserve">Electricity </t>
  </si>
  <si>
    <t>Welding</t>
  </si>
  <si>
    <t xml:space="preserve">Description </t>
  </si>
  <si>
    <t>Operator</t>
  </si>
  <si>
    <t>Specific PPE</t>
  </si>
  <si>
    <t>Category</t>
  </si>
  <si>
    <t>Metrology</t>
  </si>
  <si>
    <t>Inside micrometer</t>
  </si>
  <si>
    <t>Indicator</t>
  </si>
  <si>
    <t>Profile projector</t>
  </si>
  <si>
    <t>Real Estate</t>
  </si>
  <si>
    <t>IT</t>
  </si>
  <si>
    <t>Computers</t>
  </si>
  <si>
    <t>Internet/phone access</t>
  </si>
  <si>
    <t>Office furniture</t>
  </si>
  <si>
    <t>Fume extractor</t>
  </si>
  <si>
    <t>Manufacturing</t>
  </si>
  <si>
    <t>Workstations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</si>
  <si>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</si>
  <si>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</si>
  <si>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</si>
  <si>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</si>
  <si>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</si>
  <si>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</si>
  <si>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</si>
  <si>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</si>
  <si>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</si>
  <si>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</si>
  <si>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</si>
  <si>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</si>
  <si>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</si>
  <si>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</si>
  <si>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</si>
  <si>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</si>
  <si>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</si>
  <si>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</si>
  <si>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</si>
  <si>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</si>
  <si>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</si>
  <si>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</si>
  <si>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</si>
  <si>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</si>
  <si>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</si>
  <si>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</si>
  <si>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</si>
  <si>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</si>
  <si>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</si>
  <si>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</si>
  <si>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</si>
  <si>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</si>
  <si>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</si>
  <si>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</si>
  <si>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</si>
  <si>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</si>
  <si>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</si>
  <si>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</si>
  <si>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</si>
  <si>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</si>
  <si>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</si>
  <si>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</si>
  <si>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</si>
  <si>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</si>
  <si>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</si>
  <si>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</si>
  <si>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</si>
  <si>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https://www.baileigh.com/cnc-laser-table-fl-510hd-500</t>
  </si>
  <si>
    <t>Laser cutter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</si>
  <si>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</si>
  <si>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</si>
  <si>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</si>
  <si>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</si>
  <si>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</si>
  <si>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</si>
  <si>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</si>
  <si>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</si>
  <si>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</si>
  <si>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https://travail-emploi.gouv.fr/emploi/accompagnement-des-tpe-pme/tpe-pme/article/le-simulateur-du-cout-d-embauche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</si>
  <si>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</si>
  <si>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</si>
  <si>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</si>
  <si>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</si>
  <si>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</si>
  <si>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</si>
  <si>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</si>
  <si>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</si>
  <si>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</si>
  <si>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</si>
  <si>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</si>
  <si>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</si>
  <si>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</si>
  <si>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</si>
  <si>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</si>
  <si>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https://shop.mitutoyo.fr/web/mitutoyo/fr_FR/mitutoyo/01.05.0331/Base%20pneumatique/index.xhtml</t>
  </si>
  <si>
    <t xml:space="preserve">pneumatic base 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</si>
  <si>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</si>
  <si>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</si>
  <si>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</si>
  <si>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</si>
  <si>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</si>
  <si>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</si>
  <si>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</si>
  <si>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</si>
  <si>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</si>
  <si>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</si>
  <si>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</si>
  <si>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</si>
  <si>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</si>
  <si>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</si>
  <si>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</si>
  <si>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</si>
  <si>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</si>
  <si>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</si>
  <si>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</si>
  <si>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</si>
  <si>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</si>
  <si>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</si>
  <si>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</si>
  <si>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</si>
  <si>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</si>
  <si>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</si>
  <si>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</si>
  <si>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</si>
  <si>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</si>
  <si>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</si>
  <si>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</si>
  <si>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</si>
  <si>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</si>
  <si>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</si>
  <si>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</si>
  <si>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</si>
  <si>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</si>
  <si>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</si>
  <si>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</si>
  <si>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</si>
  <si>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</si>
  <si>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</si>
  <si>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</si>
  <si>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</si>
  <si>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</si>
  <si>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</si>
  <si>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</si>
  <si>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</si>
  <si>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</si>
  <si>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</si>
  <si>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</si>
  <si>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</si>
  <si>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</si>
  <si>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</si>
  <si>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</si>
  <si>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</si>
  <si>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</si>
  <si>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</si>
  <si>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</si>
  <si>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</si>
  <si>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</si>
  <si>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</si>
  <si>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Comment on price</t>
  </si>
  <si>
    <t>/Year/user</t>
  </si>
  <si>
    <t>/month/user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</si>
  <si>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</si>
  <si>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</si>
  <si>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</si>
  <si>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</si>
  <si>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</si>
  <si>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</si>
  <si>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</si>
  <si>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/month</t>
  </si>
  <si>
    <t>Internet/phone access 2 standard line, one mobile</t>
  </si>
  <si>
    <t>Orange Document</t>
  </si>
  <si>
    <t>Spec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</si>
  <si>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</si>
  <si>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</si>
  <si>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</si>
  <si>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</si>
  <si>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</si>
  <si>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</si>
  <si>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</si>
  <si>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</si>
  <si>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</si>
  <si>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</si>
  <si>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</si>
  <si>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</si>
  <si>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</si>
  <si>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Printer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</si>
  <si>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</si>
  <si>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</si>
  <si>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</si>
  <si>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</si>
  <si>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</si>
  <si>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</si>
  <si>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</si>
  <si>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</si>
  <si>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Cutting fluid</t>
  </si>
  <si>
    <t>Cutting tools</t>
  </si>
  <si>
    <t xml:space="preserve">Way of costing 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</si>
  <si>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</si>
  <si>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</si>
  <si>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</si>
  <si>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</si>
  <si>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</si>
  <si>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</si>
  <si>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</si>
  <si>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</si>
  <si>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</si>
  <si>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</si>
  <si>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</si>
  <si>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</si>
  <si>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</si>
  <si>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Gaz</t>
  </si>
  <si>
    <t>https://www.orexad.com/fr/projecteur-de-profil-pj-h30/p-G1213001821</t>
  </si>
  <si>
    <t>Profil projector</t>
  </si>
  <si>
    <t>510x342 mm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</si>
  <si>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</si>
  <si>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</si>
  <si>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</si>
  <si>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</si>
  <si>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</si>
  <si>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</si>
  <si>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</si>
  <si>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</si>
  <si>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</si>
  <si>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Setup time (fixture and tools) (min)</t>
  </si>
  <si>
    <t>People efficiency</t>
  </si>
  <si>
    <t>Sum</t>
  </si>
  <si>
    <t>CNC mill</t>
  </si>
  <si>
    <t>CNC lathe</t>
  </si>
  <si>
    <t>Welding/Assembly</t>
  </si>
  <si>
    <t xml:space="preserve">CNC programmation </t>
  </si>
  <si>
    <t>40% engineer</t>
  </si>
  <si>
    <t>Total</t>
  </si>
  <si>
    <t>Variable cost for 1 op (€/hour)</t>
  </si>
  <si>
    <t xml:space="preserve">Shopfloor allocation </t>
  </si>
  <si>
    <t>Because prototyping company so not running all time, 6 percent used for maintenance and cleaning of shop floor</t>
  </si>
  <si>
    <t xml:space="preserve">People not working all time, need to pay them during this time </t>
  </si>
  <si>
    <t>Maintenance manwork cost</t>
  </si>
  <si>
    <t>Manwork</t>
  </si>
  <si>
    <t>Maintenance manwork</t>
  </si>
  <si>
    <t>Power consumption (kW)</t>
  </si>
  <si>
    <t>Cost/hour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</si>
  <si>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</si>
  <si>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</si>
  <si>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</si>
  <si>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</si>
  <si>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</si>
  <si>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</si>
  <si>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</si>
  <si>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</si>
  <si>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</si>
  <si>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</si>
  <si>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</si>
  <si>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</si>
  <si>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</si>
  <si>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</si>
  <si>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</si>
  <si>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</si>
  <si>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>4 phones</t>
  </si>
  <si>
    <t xml:space="preserve"> Cost of Setup + cleaning</t>
  </si>
  <si>
    <t>Yearly fixed cost of machine</t>
  </si>
  <si>
    <t>Fixed cost of machine / hour</t>
  </si>
  <si>
    <t>Cost of machine/hour running</t>
  </si>
  <si>
    <t>Link</t>
  </si>
  <si>
    <t>https://www.francebureau.com/media/catalogue-mobilier/bureau-modulaire-kibo.pdf</t>
  </si>
  <si>
    <t xml:space="preserve">Angle worktable </t>
  </si>
  <si>
    <t>Drawer</t>
  </si>
  <si>
    <t>Armoire sans porte</t>
  </si>
  <si>
    <t xml:space="preserve">Armoire avec porte </t>
  </si>
  <si>
    <t>Direction worktable</t>
  </si>
  <si>
    <t>https://www.francebureau.com/media/catalogue-mobilier/bureau-direction-etretat.pdf</t>
  </si>
  <si>
    <t>Meeting table</t>
  </si>
  <si>
    <t>https://www.francebureau.com/media/catalogue-mobilier/table-reunion-modulable-arc-reunion.pdf</t>
  </si>
  <si>
    <t>Chair</t>
  </si>
  <si>
    <t>https://www.francebureau.com/alto-16.html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</si>
  <si>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</si>
  <si>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</si>
  <si>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</si>
  <si>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</si>
  <si>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</si>
  <si>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</si>
  <si>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</si>
  <si>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</si>
  <si>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</si>
  <si>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</si>
  <si>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</si>
  <si>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</si>
  <si>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</si>
  <si>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</si>
  <si>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</si>
  <si>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Worktable &amp; office storage</t>
  </si>
  <si>
    <t>Fixed Cost</t>
  </si>
  <si>
    <t>Manpower cost</t>
  </si>
  <si>
    <t>Operator cost/hour</t>
  </si>
  <si>
    <t>Engineer cost/hour</t>
  </si>
  <si>
    <t>Cost of measuring part Operator (€/mm^3)</t>
  </si>
  <si>
    <t>Cost of measuring part Technician(€/mm^3)</t>
  </si>
  <si>
    <t>Cost of measuring part Engineer (€/mm^3)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</si>
  <si>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</si>
  <si>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</si>
  <si>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</si>
  <si>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</si>
  <si>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</si>
  <si>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</si>
  <si>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</si>
  <si>
    <t>1000W for aluminium</t>
  </si>
  <si>
    <t>150cmx300cmx8mm max</t>
  </si>
  <si>
    <t xml:space="preserve">Mild Steel </t>
  </si>
  <si>
    <t>20ga</t>
  </si>
  <si>
    <t>14ga</t>
  </si>
  <si>
    <t>11ga</t>
  </si>
  <si>
    <t>8ga</t>
  </si>
  <si>
    <t>6ga</t>
  </si>
  <si>
    <t xml:space="preserve">3ga </t>
  </si>
  <si>
    <t>1/4"</t>
  </si>
  <si>
    <t>5/16"</t>
  </si>
  <si>
    <t>3/8"</t>
  </si>
  <si>
    <t>in/min</t>
  </si>
  <si>
    <t>Thickness</t>
  </si>
  <si>
    <t>Thickness (mm)</t>
  </si>
  <si>
    <t>mm/min</t>
  </si>
  <si>
    <t>Stainless</t>
  </si>
  <si>
    <t xml:space="preserve">20ga </t>
  </si>
  <si>
    <t>Aluminium</t>
  </si>
  <si>
    <t>Setup time (min)</t>
  </si>
  <si>
    <t>https://www.haascnc.com/machines/lathes/st/models/y-axis/st-35y.html</t>
  </si>
  <si>
    <t>HAAS ST35-Y</t>
  </si>
  <si>
    <t>113L/min @ 6.9bar</t>
  </si>
  <si>
    <t>https://www.orexad.com/fr/compresseur-a-vis-lubrifie-serie-l/p-G3697000582</t>
  </si>
  <si>
    <t xml:space="preserve">Air compressor </t>
  </si>
  <si>
    <t>10 bar 153000 l/h</t>
  </si>
  <si>
    <t>Air compressor</t>
  </si>
  <si>
    <t>Electricity for air compressor (15kW)</t>
  </si>
  <si>
    <t>Other specific tools (scribing tool, eletrical pliers, simple measuring tools, …)</t>
  </si>
  <si>
    <t>Power tools</t>
  </si>
  <si>
    <t>Consumables (saw blades, drill bits, taps, abrasives, …)</t>
  </si>
  <si>
    <t>https://www.baileigh.com/variable-speed-drill-press-dp-1200vs</t>
  </si>
  <si>
    <t>Drill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</si>
  <si>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</si>
  <si>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</si>
  <si>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</si>
  <si>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</si>
  <si>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</si>
  <si>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</si>
  <si>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</si>
  <si>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</si>
  <si>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</si>
  <si>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</si>
  <si>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</si>
  <si>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</si>
  <si>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</si>
  <si>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equipment (Shelves, drawer, tool cart, boxes, …)</t>
  </si>
  <si>
    <t>Storage boxes</t>
  </si>
  <si>
    <t>https://www.orexad.com/fr/bac-rako/p-G1383000092</t>
  </si>
  <si>
    <t>6persons</t>
  </si>
  <si>
    <t>Depreciation time (year)</t>
  </si>
  <si>
    <t>Phone/mobile phone</t>
  </si>
  <si>
    <t>Measuring and deflash time / mm^3 (40% of machining time)</t>
  </si>
  <si>
    <t>Lifting equipment</t>
  </si>
  <si>
    <t>https://www.manutan.fr/fr/maf/pack-portique-d-atelier-chariot-palan-force-1600-kg</t>
  </si>
  <si>
    <t xml:space="preserve">Crane </t>
  </si>
  <si>
    <t>1600kg 4m height, 4m width</t>
  </si>
  <si>
    <t>Industrial hoover</t>
  </si>
  <si>
    <t>https://www.manutan.fr/fr/maf/aspirateur-eau-et-poussieres-nt-70-2-me-tc-karcher</t>
  </si>
  <si>
    <t>Disc and belt grinder</t>
  </si>
  <si>
    <t>https://www.manutan.fr/fr/maf/ponceuse-combinee-disque-bande-jsg-233-promac-230-v</t>
  </si>
  <si>
    <t>Drill press vise</t>
  </si>
  <si>
    <t>https://www.manutan.fr/fr/maf/etau-de-perceuse-rohm-machoire-largeur-100-mm-ouverture-95-mm</t>
  </si>
  <si>
    <t>https://www.manutan.fr/fr/maf/etau-magnat</t>
  </si>
  <si>
    <t>Vise</t>
  </si>
  <si>
    <t>Band Saw/Drill Press/Sheet metal bender/Hydraulic press/belt and disc grinder/Vise</t>
  </si>
  <si>
    <t>Conventionnal machining</t>
  </si>
  <si>
    <t>Laser Cutting (Operator needed for 0.5*time running )</t>
  </si>
  <si>
    <t xml:space="preserve">Assembly </t>
  </si>
  <si>
    <t>Oxygen 45CFM@90PSI</t>
  </si>
  <si>
    <t>Bar</t>
  </si>
  <si>
    <t>m^3/h</t>
  </si>
  <si>
    <t>m^3/s</t>
  </si>
  <si>
    <t>N/mm²</t>
  </si>
  <si>
    <t>https://www.cedeo.fr/p/outillage-et-equipements/oxygene-grande-bouteille-10-6m3-ref-g110-i1001l50r2a001-A1204487</t>
  </si>
  <si>
    <t>Assist gas O2</t>
  </si>
  <si>
    <t>Bottle</t>
  </si>
  <si>
    <t>10.6m^3 @ 200bar</t>
  </si>
  <si>
    <t>4.5hours of cutting</t>
  </si>
  <si>
    <t>Assist Gas O2 or air</t>
  </si>
  <si>
    <t>Laser cutting</t>
  </si>
  <si>
    <t>Cost of machining part (€/mm)</t>
  </si>
  <si>
    <t>http://www.eau-direct.fr/gestion/prix.html</t>
  </si>
  <si>
    <t>Water (60m^3)</t>
  </si>
  <si>
    <t>Neutral gas : Argon, quality 2.2</t>
  </si>
  <si>
    <t xml:space="preserve">Price for one bottle </t>
  </si>
  <si>
    <t>Bery Inox</t>
  </si>
  <si>
    <t>Consumption (unity = bottles, for 1 year)</t>
  </si>
  <si>
    <t>Consumption for exhaust system (unity = bottles)</t>
  </si>
  <si>
    <t>Lenght of welding for exhaust system (m)</t>
  </si>
  <si>
    <t>Price (€/m)</t>
  </si>
  <si>
    <t>Metal rod : Ø 0,8 mm TIG inox</t>
  </si>
  <si>
    <t>Price (€/kg, HT)</t>
  </si>
  <si>
    <t>Consumption for exhaust system (m)</t>
  </si>
  <si>
    <t>Weight by welding rod (g/m)</t>
  </si>
  <si>
    <t>Price of consumption (€/m, HT)</t>
  </si>
  <si>
    <t>Metal rod : Ø 2 mm TIG aluminium</t>
  </si>
  <si>
    <t>https://www.promeca.com/soudage-et-accessoires/consommables-de-soudage/metaux-d-apport-soudage-tig/kg-de-metal-d-apport-aluminium-o-2-0-x-1000-mm</t>
  </si>
  <si>
    <t>Consumption (m of metal rod / m of welding)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</si>
  <si>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</si>
  <si>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</si>
  <si>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</si>
  <si>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</si>
  <si>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</si>
  <si>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Retours La Mache usinage</t>
  </si>
  <si>
    <t>Retours La Mache laser toles</t>
  </si>
  <si>
    <t>Type</t>
  </si>
  <si>
    <t>Volume (mm^3)</t>
  </si>
  <si>
    <t>Prix (/kg)</t>
  </si>
  <si>
    <t>Densité (kg/mm^3)</t>
  </si>
  <si>
    <t>Brut 2017A</t>
  </si>
  <si>
    <t>S235</t>
  </si>
  <si>
    <t>Rond plein 2017A</t>
  </si>
  <si>
    <t>S355</t>
  </si>
  <si>
    <t>Rond plein S355J2</t>
  </si>
  <si>
    <t>S700</t>
  </si>
  <si>
    <t>Brut S235</t>
  </si>
  <si>
    <t>AU4G A4</t>
  </si>
  <si>
    <t>Brut Alu 7075T6</t>
  </si>
  <si>
    <t>Rond plein Alu 7075T6</t>
  </si>
  <si>
    <t>Welding (set up, Tack welding, welding and verification)</t>
  </si>
  <si>
    <t>Time (min/m)</t>
  </si>
  <si>
    <t>Cost of operator (€/min)</t>
  </si>
  <si>
    <t>Cost of operator (€/m)</t>
  </si>
  <si>
    <t>€/length</t>
  </si>
  <si>
    <t>Filler (aluminium)</t>
  </si>
  <si>
    <t>Filler (Inox)</t>
  </si>
  <si>
    <t>Welding speed (min/m)</t>
  </si>
  <si>
    <t>Cost of aluminium welding part (€/m)</t>
  </si>
  <si>
    <t>Cost of steel welding part (€/m)</t>
  </si>
  <si>
    <t>Conventionnal milling machine</t>
  </si>
  <si>
    <t>https://www.machineseeker.fr/mss/schaublin+13</t>
  </si>
  <si>
    <t>https://www.surplex.com/fr/vente/c/tours-paralleles-4340.html</t>
  </si>
  <si>
    <t>Convetionnal mill and basic tooling</t>
  </si>
  <si>
    <t>Conventionnal Lathe and basic tooling</t>
  </si>
  <si>
    <t>Price Exc VAT</t>
  </si>
  <si>
    <t xml:space="preserve">Conventionnal turning machine </t>
  </si>
  <si>
    <t>3 % of initial cost /year</t>
  </si>
  <si>
    <t xml:space="preserve">Cutting tools </t>
  </si>
  <si>
    <t>Welder + Grade II C</t>
  </si>
  <si>
    <t>Welder - Grade II C</t>
  </si>
  <si>
    <t>Welder cost/hour</t>
  </si>
  <si>
    <t>Manwork availability (95%) /year (hrs)</t>
  </si>
  <si>
    <t>Fixed cost (5% of the time)</t>
  </si>
  <si>
    <t>Tool holders and fixtures</t>
  </si>
  <si>
    <t>Euro --&gt; Dollar Rate</t>
  </si>
  <si>
    <t>Manpower part of machining cost</t>
  </si>
  <si>
    <t>Sum of fixed cost/year (+5% extra equipment integrated)</t>
  </si>
  <si>
    <t>Medium removal rate steel</t>
  </si>
  <si>
    <t>Medium removal rate aluminium</t>
  </si>
  <si>
    <t>Multiplicator for al cutting</t>
  </si>
  <si>
    <t xml:space="preserve">Milling </t>
  </si>
  <si>
    <t>Removal rate (for Aluminium) (min/mm^3)</t>
  </si>
  <si>
    <t>Removal rate (for steel) (min/mm)</t>
  </si>
  <si>
    <t>Removal rate (for aluminium) (include measuring) (min/mm^3)</t>
  </si>
  <si>
    <t>For aluminium as standard</t>
  </si>
  <si>
    <t>For steel as standard</t>
  </si>
  <si>
    <t>Price for cutting aluminium</t>
  </si>
  <si>
    <t>Price for cutting Steel</t>
  </si>
  <si>
    <t>Forklift</t>
  </si>
  <si>
    <t>https://www.orexad.com/fr/transpalette-galvanise-2-5t/p-G3019000006</t>
  </si>
  <si>
    <t>Industrial Hoovers</t>
  </si>
  <si>
    <t>Measurement column</t>
  </si>
  <si>
    <t>5% of manwork OPE on shopfloor</t>
  </si>
  <si>
    <t>https://www.acier-detail-decoupe.fr/45-aluminium#/alliage-2017a</t>
  </si>
  <si>
    <t>diam ext (mm)</t>
  </si>
  <si>
    <t>diamètre int (mm)</t>
  </si>
  <si>
    <t>Prix (/m) TTC</t>
  </si>
  <si>
    <t>Prix volumique (€/mm^3) TTC</t>
  </si>
  <si>
    <t>http://www.blockenstock.fr/tube-6060-t6-c102x2607947</t>
  </si>
  <si>
    <t>Prix volumique (€/mm^3) (TTC)</t>
  </si>
  <si>
    <t>Prix volumique (€/mm^3) HT</t>
  </si>
  <si>
    <t>Moyenne 2017A</t>
  </si>
  <si>
    <t>Plastic Delrin</t>
  </si>
  <si>
    <t>Prix (€/m^2)</t>
  </si>
  <si>
    <t>https://plastique-en-ligne.com/Plaques/POM-C</t>
  </si>
  <si>
    <t>Programation time (min)</t>
  </si>
  <si>
    <t>Measuring time (min)</t>
  </si>
  <si>
    <t>Cost of programing part Operator (€)</t>
  </si>
  <si>
    <t>Cost of programing part Technician(€)</t>
  </si>
  <si>
    <t>Cost of measuring part Operator (€)</t>
  </si>
  <si>
    <t>Cost of measuring part Technician(€)</t>
  </si>
  <si>
    <t>Req manpower for laser 'special)</t>
  </si>
  <si>
    <t>Price for cutting Delrin</t>
  </si>
  <si>
    <t>Cost per year</t>
  </si>
  <si>
    <t>cost/hour</t>
  </si>
  <si>
    <r>
      <t>Water rate/m</t>
    </r>
    <r>
      <rPr>
        <vertAlign val="superscript"/>
        <sz val="11"/>
        <color theme="1"/>
        <rFont val="Calibri"/>
        <family val="2"/>
        <scheme val="minor"/>
      </rPr>
      <t>3</t>
    </r>
  </si>
  <si>
    <t>Printer consumable 
(4000 A4pages B&amp;W, 1600 A4pages Colors)</t>
  </si>
  <si>
    <t>Overhead Summary</t>
  </si>
  <si>
    <t>Manufacturing Summary</t>
  </si>
  <si>
    <t>Programming time and supply order/ mm^3 (50% of machining time)</t>
  </si>
  <si>
    <t>Programming time and supply order / mm^3 (50% of machining time)</t>
  </si>
  <si>
    <t xml:space="preserve">Manpower </t>
  </si>
  <si>
    <t>Gross wage/month</t>
  </si>
  <si>
    <t>Yearly wage cost for the company</t>
  </si>
  <si>
    <t>Yearly wage cost for the company (95%)</t>
  </si>
  <si>
    <t>Data for working time</t>
  </si>
  <si>
    <t>Other</t>
  </si>
  <si>
    <t>Workforce allocation</t>
  </si>
  <si>
    <t>Sum of allocated op (hrs)</t>
  </si>
  <si>
    <t>Required regarding OPE on workstations (hrs)</t>
  </si>
  <si>
    <t>incl tax</t>
  </si>
  <si>
    <t>excl tax</t>
  </si>
  <si>
    <t>Water</t>
  </si>
  <si>
    <t>Sources</t>
  </si>
  <si>
    <t>Power needed (kVA)</t>
  </si>
  <si>
    <t>Subscription (€) (excl tax)</t>
  </si>
  <si>
    <t>Subscription (€/kVA) (excl tax)</t>
  </si>
  <si>
    <t>Price/kWh (excl tax)</t>
  </si>
  <si>
    <r>
      <t>Water (€/m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</si>
  <si>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Price (€) (incl tax)</t>
  </si>
  <si>
    <t>Price ($) (incl tax)</t>
  </si>
  <si>
    <t>Price (€) (excl tax)</t>
  </si>
  <si>
    <t>Categories</t>
  </si>
  <si>
    <t>Softwares</t>
  </si>
  <si>
    <t>Printing</t>
  </si>
  <si>
    <t>Computer</t>
  </si>
  <si>
    <t>Accessories</t>
  </si>
  <si>
    <t>Internet access</t>
  </si>
  <si>
    <t>Phones</t>
  </si>
  <si>
    <t>Incl tax</t>
  </si>
  <si>
    <t>Excl tax</t>
  </si>
  <si>
    <t>Price ($) (excl tax)</t>
  </si>
  <si>
    <t>Machinery equipment</t>
  </si>
  <si>
    <t>Tool cabinet</t>
  </si>
  <si>
    <t xml:space="preserve">Organising </t>
  </si>
  <si>
    <t>Handling</t>
  </si>
  <si>
    <t>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</si>
</sst>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6" formatCode="_-[$$-409]* #,##0.00_ ;_-[$$-409]* \-#,##0.00\ ;_-[$$-409]* &quot;-&quot;??_ ;_-@_ "/>
    <numFmt numFmtId="167" formatCode="_-* #,##0.00\ [$€-40C]_-;\-* #,##0.00\ [$€-40C]_-;_-* &quot;-&quot;??\ [$€-40C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19">
    <xf numFmtId="0" fontId="0" fillId="0" borderId="0" xfId="0"/>
    <xf numFmtId="11" fontId="0" fillId="0" borderId="0" xfId="0" applyNumberFormat="1"/>
    <xf numFmtId="44" fontId="0" fillId="0" borderId="0" xfId="1" applyFont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9" fontId="0" fillId="0" borderId="0" xfId="3" applyFont="1"/>
    <xf numFmtId="1" fontId="0" fillId="0" borderId="0" xfId="0" applyNumberFormat="1"/>
    <xf numFmtId="167" fontId="0" fillId="0" borderId="0" xfId="0" applyNumberFormat="1"/>
    <xf numFmtId="0" fontId="0" fillId="0" borderId="0" xfId="0" applyNumberFormat="1"/>
    <xf numFmtId="0" fontId="0" fillId="0" borderId="0" xfId="0" applyFill="1"/>
    <xf numFmtId="11" fontId="0" fillId="0" borderId="0" xfId="1" applyNumberFormat="1" applyFont="1"/>
    <xf numFmtId="0" fontId="0" fillId="0" borderId="0" xfId="0" applyAlignment="1">
      <alignment horizontal="left"/>
    </xf>
    <xf numFmtId="44" fontId="0" fillId="0" borderId="0" xfId="0" applyNumberFormat="1" applyBorder="1"/>
    <xf numFmtId="0" fontId="2" fillId="0" borderId="0" xfId="0" applyFont="1" applyFill="1" applyAlignment="1">
      <alignment horizontal="center" vertical="center"/>
    </xf>
    <xf numFmtId="0" fontId="3" fillId="0" borderId="0" xfId="2" applyFont="1"/>
    <xf numFmtId="0" fontId="0" fillId="9" borderId="10" xfId="0" applyFill="1" applyBorder="1"/>
    <xf numFmtId="0" fontId="0" fillId="9" borderId="0" xfId="0" applyFill="1" applyBorder="1"/>
    <xf numFmtId="0" fontId="0" fillId="9" borderId="4" xfId="0" applyFill="1" applyBorder="1"/>
    <xf numFmtId="0" fontId="0" fillId="9" borderId="5" xfId="0" applyFill="1" applyBorder="1"/>
    <xf numFmtId="0" fontId="0" fillId="8" borderId="10" xfId="0" applyFill="1" applyBorder="1"/>
    <xf numFmtId="0" fontId="0" fillId="8" borderId="0" xfId="0" applyFill="1" applyBorder="1"/>
    <xf numFmtId="0" fontId="0" fillId="8" borderId="4" xfId="0" applyFill="1" applyBorder="1"/>
    <xf numFmtId="0" fontId="0" fillId="8" borderId="5" xfId="0" applyFill="1" applyBorder="1"/>
    <xf numFmtId="0" fontId="2" fillId="0" borderId="12" xfId="0" applyFont="1" applyBorder="1"/>
    <xf numFmtId="0" fontId="0" fillId="0" borderId="12" xfId="0" applyBorder="1"/>
    <xf numFmtId="44" fontId="0" fillId="0" borderId="12" xfId="1" applyFont="1" applyBorder="1"/>
    <xf numFmtId="2" fontId="0" fillId="0" borderId="12" xfId="0" applyNumberFormat="1" applyBorder="1"/>
    <xf numFmtId="44" fontId="0" fillId="0" borderId="12" xfId="0" applyNumberFormat="1" applyBorder="1"/>
    <xf numFmtId="0" fontId="5" fillId="0" borderId="12" xfId="2" applyBorder="1"/>
    <xf numFmtId="1" fontId="0" fillId="0" borderId="12" xfId="0" applyNumberFormat="1" applyBorder="1"/>
    <xf numFmtId="0" fontId="0" fillId="10" borderId="4" xfId="0" applyFill="1" applyBorder="1"/>
    <xf numFmtId="0" fontId="0" fillId="10" borderId="5" xfId="0" applyFill="1" applyBorder="1"/>
    <xf numFmtId="9" fontId="0" fillId="15" borderId="0" xfId="3" applyFont="1" applyFill="1"/>
    <xf numFmtId="0" fontId="2" fillId="10" borderId="10" xfId="0" applyFont="1" applyFill="1" applyBorder="1" applyAlignment="1">
      <alignment vertical="center"/>
    </xf>
    <xf numFmtId="9" fontId="2" fillId="10" borderId="0" xfId="0" applyNumberFormat="1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9" fontId="2" fillId="8" borderId="0" xfId="0" applyNumberFormat="1" applyFont="1" applyFill="1" applyBorder="1" applyAlignment="1">
      <alignment vertical="center"/>
    </xf>
    <xf numFmtId="0" fontId="2" fillId="9" borderId="10" xfId="0" applyFont="1" applyFill="1" applyBorder="1" applyAlignment="1">
      <alignment vertical="center"/>
    </xf>
    <xf numFmtId="9" fontId="2" fillId="9" borderId="0" xfId="0" applyNumberFormat="1" applyFont="1" applyFill="1" applyBorder="1" applyAlignment="1">
      <alignment vertical="center"/>
    </xf>
    <xf numFmtId="0" fontId="2" fillId="10" borderId="10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0" fillId="0" borderId="0" xfId="0" applyNumberFormat="1"/>
    <xf numFmtId="0" fontId="2" fillId="11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9" fontId="0" fillId="0" borderId="12" xfId="3" applyFont="1" applyBorder="1"/>
    <xf numFmtId="167" fontId="0" fillId="0" borderId="12" xfId="0" applyNumberFormat="1" applyBorder="1"/>
    <xf numFmtId="0" fontId="0" fillId="0" borderId="12" xfId="0" applyNumberFormat="1" applyBorder="1"/>
    <xf numFmtId="0" fontId="2" fillId="11" borderId="10" xfId="0" applyFont="1" applyFill="1" applyBorder="1" applyAlignment="1">
      <alignment horizontal="center" vertical="center"/>
    </xf>
    <xf numFmtId="0" fontId="0" fillId="0" borderId="14" xfId="0" applyBorder="1"/>
    <xf numFmtId="44" fontId="0" fillId="0" borderId="14" xfId="0" applyNumberFormat="1" applyBorder="1"/>
    <xf numFmtId="44" fontId="0" fillId="0" borderId="15" xfId="0" applyNumberFormat="1" applyBorder="1"/>
    <xf numFmtId="44" fontId="0" fillId="0" borderId="16" xfId="0" applyNumberFormat="1" applyBorder="1"/>
    <xf numFmtId="0" fontId="0" fillId="0" borderId="17" xfId="0" applyBorder="1"/>
    <xf numFmtId="44" fontId="0" fillId="0" borderId="17" xfId="0" applyNumberFormat="1" applyBorder="1"/>
    <xf numFmtId="0" fontId="0" fillId="0" borderId="15" xfId="0" applyBorder="1"/>
    <xf numFmtId="1" fontId="0" fillId="0" borderId="16" xfId="0" applyNumberFormat="1" applyBorder="1"/>
    <xf numFmtId="9" fontId="0" fillId="0" borderId="16" xfId="3" applyFont="1" applyBorder="1" applyAlignment="1">
      <alignment wrapText="1"/>
    </xf>
    <xf numFmtId="9" fontId="0" fillId="0" borderId="17" xfId="3" applyFont="1" applyBorder="1"/>
    <xf numFmtId="9" fontId="0" fillId="0" borderId="18" xfId="3" applyFont="1" applyBorder="1"/>
    <xf numFmtId="0" fontId="2" fillId="13" borderId="1" xfId="0" applyFont="1" applyFill="1" applyBorder="1" applyAlignment="1">
      <alignment horizontal="center" vertical="center"/>
    </xf>
    <xf numFmtId="0" fontId="0" fillId="13" borderId="10" xfId="0" applyFill="1" applyBorder="1"/>
    <xf numFmtId="0" fontId="0" fillId="0" borderId="16" xfId="0" applyNumberFormat="1" applyBorder="1"/>
    <xf numFmtId="0" fontId="0" fillId="13" borderId="4" xfId="0" applyFill="1" applyBorder="1"/>
    <xf numFmtId="0" fontId="0" fillId="0" borderId="18" xfId="0" applyBorder="1"/>
    <xf numFmtId="0" fontId="2" fillId="14" borderId="1" xfId="0" applyFont="1" applyFill="1" applyBorder="1" applyAlignment="1">
      <alignment horizontal="center" vertical="center"/>
    </xf>
    <xf numFmtId="0" fontId="0" fillId="0" borderId="14" xfId="0" applyNumberFormat="1" applyBorder="1"/>
    <xf numFmtId="0" fontId="2" fillId="14" borderId="4" xfId="0" applyFont="1" applyFill="1" applyBorder="1" applyAlignment="1">
      <alignment horizontal="center" vertical="center"/>
    </xf>
    <xf numFmtId="44" fontId="2" fillId="0" borderId="15" xfId="0" applyNumberFormat="1" applyFont="1" applyFill="1" applyBorder="1" applyAlignment="1">
      <alignment horizontal="center" vertical="center"/>
    </xf>
    <xf numFmtId="44" fontId="2" fillId="0" borderId="1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vertical="center"/>
    </xf>
    <xf numFmtId="11" fontId="0" fillId="0" borderId="16" xfId="0" applyNumberFormat="1" applyFont="1" applyFill="1" applyBorder="1" applyAlignment="1">
      <alignment horizontal="right" vertical="center"/>
    </xf>
    <xf numFmtId="9" fontId="0" fillId="0" borderId="16" xfId="3" applyFont="1" applyFill="1" applyBorder="1" applyAlignment="1">
      <alignment horizontal="right" vertical="center"/>
    </xf>
    <xf numFmtId="44" fontId="0" fillId="0" borderId="18" xfId="0" applyNumberFormat="1" applyFont="1" applyFill="1" applyBorder="1" applyAlignment="1">
      <alignment horizontal="right" vertical="center"/>
    </xf>
    <xf numFmtId="8" fontId="0" fillId="0" borderId="12" xfId="0" applyNumberFormat="1" applyBorder="1"/>
    <xf numFmtId="0" fontId="2" fillId="0" borderId="12" xfId="0" applyFont="1" applyFill="1" applyBorder="1" applyAlignment="1">
      <alignment horizontal="center" vertical="center"/>
    </xf>
    <xf numFmtId="9" fontId="2" fillId="0" borderId="12" xfId="3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8" fontId="0" fillId="0" borderId="15" xfId="0" applyNumberFormat="1" applyBorder="1"/>
    <xf numFmtId="8" fontId="0" fillId="0" borderId="18" xfId="0" applyNumberFormat="1" applyBorder="1"/>
    <xf numFmtId="44" fontId="0" fillId="0" borderId="15" xfId="1" applyFont="1" applyBorder="1"/>
    <xf numFmtId="44" fontId="0" fillId="0" borderId="16" xfId="1" applyFont="1" applyFill="1" applyBorder="1" applyAlignment="1">
      <alignment horizontal="center" vertical="center"/>
    </xf>
    <xf numFmtId="44" fontId="0" fillId="0" borderId="18" xfId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8" fontId="0" fillId="0" borderId="14" xfId="0" applyNumberFormat="1" applyBorder="1"/>
    <xf numFmtId="8" fontId="0" fillId="0" borderId="16" xfId="0" applyNumberFormat="1" applyBorder="1"/>
    <xf numFmtId="0" fontId="0" fillId="0" borderId="17" xfId="0" applyNumberFormat="1" applyBorder="1"/>
    <xf numFmtId="44" fontId="0" fillId="0" borderId="14" xfId="1" applyFont="1" applyFill="1" applyBorder="1"/>
    <xf numFmtId="0" fontId="0" fillId="0" borderId="19" xfId="0" applyBorder="1"/>
    <xf numFmtId="0" fontId="0" fillId="0" borderId="22" xfId="0" applyBorder="1"/>
    <xf numFmtId="0" fontId="0" fillId="0" borderId="21" xfId="0" applyBorder="1"/>
    <xf numFmtId="0" fontId="0" fillId="0" borderId="19" xfId="0" applyFill="1" applyBorder="1"/>
    <xf numFmtId="0" fontId="0" fillId="0" borderId="22" xfId="0" applyFill="1" applyBorder="1"/>
    <xf numFmtId="0" fontId="0" fillId="0" borderId="21" xfId="0" applyFill="1" applyBorder="1"/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9" fontId="2" fillId="8" borderId="11" xfId="3" applyFont="1" applyFill="1" applyBorder="1" applyAlignment="1">
      <alignment horizontal="center" vertical="center"/>
    </xf>
    <xf numFmtId="11" fontId="2" fillId="8" borderId="11" xfId="0" applyNumberFormat="1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9" fontId="2" fillId="9" borderId="11" xfId="3" applyFont="1" applyFill="1" applyBorder="1" applyAlignment="1">
      <alignment horizontal="center" vertical="center"/>
    </xf>
    <xf numFmtId="11" fontId="2" fillId="9" borderId="11" xfId="0" applyNumberFormat="1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9" fontId="2" fillId="10" borderId="11" xfId="3" applyFont="1" applyFill="1" applyBorder="1" applyAlignment="1">
      <alignment horizontal="center" vertical="center"/>
    </xf>
    <xf numFmtId="11" fontId="2" fillId="10" borderId="11" xfId="0" applyNumberFormat="1" applyFont="1" applyFill="1" applyBorder="1" applyAlignment="1">
      <alignment horizontal="center" vertical="center"/>
    </xf>
    <xf numFmtId="0" fontId="2" fillId="10" borderId="11" xfId="0" applyNumberFormat="1" applyFont="1" applyFill="1" applyBorder="1" applyAlignment="1">
      <alignment horizontal="center" vertical="center"/>
    </xf>
    <xf numFmtId="11" fontId="2" fillId="8" borderId="11" xfId="4" applyNumberFormat="1" applyFont="1" applyFill="1" applyBorder="1" applyAlignment="1">
      <alignment horizontal="center" vertical="center"/>
    </xf>
    <xf numFmtId="0" fontId="3" fillId="8" borderId="10" xfId="0" applyFont="1" applyFill="1" applyBorder="1"/>
    <xf numFmtId="0" fontId="3" fillId="8" borderId="11" xfId="0" applyFont="1" applyFill="1" applyBorder="1"/>
    <xf numFmtId="0" fontId="2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0" fillId="0" borderId="16" xfId="0" applyBorder="1"/>
    <xf numFmtId="0" fontId="4" fillId="8" borderId="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44" fontId="0" fillId="0" borderId="14" xfId="1" applyFont="1" applyBorder="1"/>
    <xf numFmtId="0" fontId="2" fillId="0" borderId="16" xfId="0" applyFont="1" applyFill="1" applyBorder="1" applyAlignment="1">
      <alignment horizontal="center" vertical="center"/>
    </xf>
    <xf numFmtId="9" fontId="2" fillId="0" borderId="16" xfId="3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8" borderId="6" xfId="0" applyFill="1" applyBorder="1"/>
    <xf numFmtId="44" fontId="0" fillId="0" borderId="17" xfId="1" applyFont="1" applyBorder="1"/>
    <xf numFmtId="44" fontId="0" fillId="0" borderId="16" xfId="1" applyFont="1" applyFill="1" applyBorder="1" applyAlignment="1">
      <alignment horizontal="right" vertical="center"/>
    </xf>
    <xf numFmtId="44" fontId="0" fillId="0" borderId="30" xfId="0" applyNumberFormat="1" applyFont="1" applyFill="1" applyBorder="1" applyAlignment="1">
      <alignment horizontal="right" vertical="center"/>
    </xf>
    <xf numFmtId="44" fontId="0" fillId="0" borderId="32" xfId="0" applyNumberFormat="1" applyBorder="1"/>
    <xf numFmtId="9" fontId="0" fillId="0" borderId="18" xfId="3" applyFont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2" fillId="0" borderId="12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9" borderId="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44" fontId="0" fillId="0" borderId="26" xfId="0" applyNumberFormat="1" applyBorder="1" applyAlignment="1">
      <alignment horizontal="center" vertical="center"/>
    </xf>
    <xf numFmtId="44" fontId="0" fillId="0" borderId="27" xfId="0" applyNumberFormat="1" applyBorder="1" applyAlignment="1">
      <alignment horizontal="center" vertical="center"/>
    </xf>
    <xf numFmtId="44" fontId="0" fillId="0" borderId="28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5" fillId="0" borderId="16" xfId="2" applyBorder="1"/>
    <xf numFmtId="0" fontId="0" fillId="0" borderId="36" xfId="0" applyBorder="1"/>
    <xf numFmtId="0" fontId="5" fillId="0" borderId="18" xfId="2" applyBorder="1"/>
    <xf numFmtId="0" fontId="0" fillId="0" borderId="37" xfId="0" applyBorder="1"/>
    <xf numFmtId="0" fontId="5" fillId="0" borderId="32" xfId="2" applyBorder="1"/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44" fontId="0" fillId="0" borderId="18" xfId="0" applyNumberFormat="1" applyBorder="1"/>
    <xf numFmtId="44" fontId="0" fillId="0" borderId="31" xfId="1" applyFont="1" applyBorder="1"/>
    <xf numFmtId="0" fontId="0" fillId="0" borderId="31" xfId="0" applyBorder="1"/>
    <xf numFmtId="44" fontId="0" fillId="0" borderId="31" xfId="0" applyNumberFormat="1" applyBorder="1"/>
    <xf numFmtId="0" fontId="0" fillId="0" borderId="38" xfId="0" applyBorder="1"/>
    <xf numFmtId="0" fontId="0" fillId="0" borderId="40" xfId="0" applyBorder="1"/>
    <xf numFmtId="0" fontId="0" fillId="0" borderId="39" xfId="0" applyBorder="1"/>
    <xf numFmtId="0" fontId="2" fillId="0" borderId="40" xfId="0" applyFont="1" applyBorder="1"/>
    <xf numFmtId="0" fontId="2" fillId="0" borderId="4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 vertical="center"/>
    </xf>
    <xf numFmtId="44" fontId="0" fillId="0" borderId="29" xfId="1" applyFont="1" applyBorder="1"/>
    <xf numFmtId="0" fontId="0" fillId="0" borderId="29" xfId="0" applyBorder="1"/>
    <xf numFmtId="44" fontId="0" fillId="0" borderId="29" xfId="0" applyNumberFormat="1" applyBorder="1"/>
    <xf numFmtId="44" fontId="2" fillId="0" borderId="39" xfId="1" applyFont="1" applyBorder="1"/>
    <xf numFmtId="0" fontId="2" fillId="0" borderId="23" xfId="0" applyFont="1" applyBorder="1" applyAlignment="1">
      <alignment horizontal="center" vertical="center" textRotation="45"/>
    </xf>
    <xf numFmtId="0" fontId="2" fillId="0" borderId="24" xfId="0" applyFont="1" applyBorder="1" applyAlignment="1">
      <alignment horizontal="center" vertical="center" textRotation="45"/>
    </xf>
    <xf numFmtId="0" fontId="2" fillId="0" borderId="25" xfId="0" applyFont="1" applyBorder="1" applyAlignment="1">
      <alignment horizontal="center" vertical="center" textRotation="45"/>
    </xf>
    <xf numFmtId="0" fontId="2" fillId="0" borderId="23" xfId="0" applyFont="1" applyBorder="1" applyAlignment="1">
      <alignment horizontal="center" vertical="center" textRotation="45" wrapText="1"/>
    </xf>
    <xf numFmtId="0" fontId="0" fillId="0" borderId="0" xfId="0" applyAlignment="1"/>
    <xf numFmtId="0" fontId="2" fillId="0" borderId="10" xfId="0" applyFont="1" applyBorder="1" applyAlignment="1">
      <alignment horizontal="center" vertical="center" textRotation="45" wrapText="1"/>
    </xf>
    <xf numFmtId="0" fontId="2" fillId="0" borderId="4" xfId="0" applyFont="1" applyBorder="1" applyAlignment="1">
      <alignment horizontal="center" vertical="center" textRotation="45" wrapText="1"/>
    </xf>
    <xf numFmtId="0" fontId="5" fillId="0" borderId="15" xfId="2" applyBorder="1"/>
    <xf numFmtId="0" fontId="2" fillId="0" borderId="0" xfId="0" applyFont="1" applyAlignment="1">
      <alignment horizontal="center" vertical="center"/>
    </xf>
    <xf numFmtId="0" fontId="2" fillId="0" borderId="41" xfId="0" applyFont="1" applyBorder="1" applyAlignment="1">
      <alignment horizontal="center" vertical="center" textRotation="45"/>
    </xf>
    <xf numFmtId="0" fontId="2" fillId="0" borderId="42" xfId="0" applyFont="1" applyBorder="1" applyAlignment="1">
      <alignment horizontal="center" vertical="center" textRotation="45"/>
    </xf>
    <xf numFmtId="0" fontId="2" fillId="0" borderId="43" xfId="0" applyFont="1" applyBorder="1" applyAlignment="1">
      <alignment horizontal="center" vertical="center" textRotation="45"/>
    </xf>
    <xf numFmtId="0" fontId="0" fillId="0" borderId="44" xfId="0" applyBorder="1"/>
    <xf numFmtId="0" fontId="0" fillId="0" borderId="32" xfId="0" applyBorder="1"/>
    <xf numFmtId="0" fontId="2" fillId="0" borderId="0" xfId="0" applyFont="1" applyBorder="1" applyAlignment="1">
      <alignment vertical="center" textRotation="45"/>
    </xf>
    <xf numFmtId="0" fontId="0" fillId="0" borderId="46" xfId="0" applyBorder="1"/>
    <xf numFmtId="0" fontId="0" fillId="0" borderId="47" xfId="0" applyBorder="1"/>
    <xf numFmtId="0" fontId="2" fillId="0" borderId="42" xfId="0" applyFont="1" applyBorder="1"/>
    <xf numFmtId="0" fontId="0" fillId="0" borderId="43" xfId="0" applyBorder="1"/>
    <xf numFmtId="0" fontId="0" fillId="0" borderId="48" xfId="0" applyBorder="1"/>
    <xf numFmtId="0" fontId="2" fillId="0" borderId="45" xfId="0" applyFont="1" applyBorder="1"/>
    <xf numFmtId="0" fontId="2" fillId="0" borderId="4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44" fontId="0" fillId="0" borderId="15" xfId="0" applyNumberFormat="1" applyBorder="1" applyAlignment="1">
      <alignment horizontal="center"/>
    </xf>
    <xf numFmtId="44" fontId="0" fillId="0" borderId="18" xfId="0" applyNumberFormat="1" applyBorder="1" applyAlignment="1">
      <alignment horizontal="center"/>
    </xf>
    <xf numFmtId="0" fontId="5" fillId="0" borderId="15" xfId="2" applyBorder="1" applyAlignment="1">
      <alignment horizontal="center"/>
    </xf>
    <xf numFmtId="0" fontId="5" fillId="0" borderId="16" xfId="2" applyBorder="1" applyAlignment="1">
      <alignment horizontal="center"/>
    </xf>
    <xf numFmtId="0" fontId="5" fillId="0" borderId="18" xfId="2" applyBorder="1" applyAlignment="1">
      <alignment horizontal="center"/>
    </xf>
    <xf numFmtId="0" fontId="5" fillId="0" borderId="12" xfId="2" applyBorder="1" applyAlignment="1">
      <alignment horizontal="center"/>
    </xf>
    <xf numFmtId="0" fontId="2" fillId="0" borderId="4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5" fillId="0" borderId="14" xfId="2" applyBorder="1" applyAlignment="1">
      <alignment horizontal="center"/>
    </xf>
    <xf numFmtId="0" fontId="5" fillId="0" borderId="17" xfId="2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44" xfId="2" applyBorder="1" applyAlignment="1">
      <alignment horizontal="center" wrapText="1"/>
    </xf>
    <xf numFmtId="0" fontId="5" fillId="0" borderId="22" xfId="2" applyBorder="1" applyAlignment="1">
      <alignment horizontal="center" wrapText="1"/>
    </xf>
    <xf numFmtId="0" fontId="2" fillId="0" borderId="41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2" fillId="0" borderId="42" xfId="0" applyFont="1" applyBorder="1" applyAlignment="1">
      <alignment horizontal="left"/>
    </xf>
    <xf numFmtId="0" fontId="2" fillId="0" borderId="43" xfId="0" applyFont="1" applyBorder="1" applyAlignment="1">
      <alignment horizontal="left"/>
    </xf>
    <xf numFmtId="0" fontId="2" fillId="0" borderId="3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6" xfId="0" applyFont="1" applyBorder="1"/>
    <xf numFmtId="6" fontId="0" fillId="0" borderId="12" xfId="0" applyNumberFormat="1" applyBorder="1"/>
    <xf numFmtId="166" fontId="0" fillId="0" borderId="12" xfId="0" applyNumberFormat="1" applyBorder="1"/>
    <xf numFmtId="17" fontId="0" fillId="0" borderId="22" xfId="0" applyNumberFormat="1" applyBorder="1"/>
    <xf numFmtId="6" fontId="0" fillId="0" borderId="31" xfId="0" applyNumberFormat="1" applyBorder="1"/>
    <xf numFmtId="8" fontId="0" fillId="0" borderId="31" xfId="0" applyNumberFormat="1" applyBorder="1"/>
    <xf numFmtId="0" fontId="0" fillId="0" borderId="50" xfId="0" applyBorder="1"/>
    <xf numFmtId="0" fontId="2" fillId="0" borderId="50" xfId="0" applyFont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0" fillId="0" borderId="42" xfId="0" applyFont="1" applyBorder="1" applyAlignment="1">
      <alignment horizontal="left" vertical="center"/>
    </xf>
    <xf numFmtId="0" fontId="0" fillId="0" borderId="51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0" fillId="0" borderId="45" xfId="0" applyFont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0" fontId="5" fillId="0" borderId="32" xfId="2" applyBorder="1" applyAlignment="1">
      <alignment wrapText="1"/>
    </xf>
    <xf numFmtId="0" fontId="0" fillId="0" borderId="16" xfId="0" applyBorder="1" applyAlignment="1">
      <alignment wrapText="1"/>
    </xf>
    <xf numFmtId="0" fontId="5" fillId="0" borderId="16" xfId="2" applyBorder="1" applyAlignment="1">
      <alignment wrapText="1"/>
    </xf>
    <xf numFmtId="0" fontId="5" fillId="0" borderId="18" xfId="2" applyBorder="1" applyAlignment="1">
      <alignment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41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44" fontId="0" fillId="0" borderId="40" xfId="1" applyFont="1" applyBorder="1"/>
    <xf numFmtId="166" fontId="0" fillId="0" borderId="14" xfId="0" applyNumberFormat="1" applyBorder="1"/>
    <xf numFmtId="166" fontId="0" fillId="0" borderId="17" xfId="0" applyNumberFormat="1" applyBorder="1"/>
    <xf numFmtId="0" fontId="5" fillId="0" borderId="14" xfId="2" applyBorder="1"/>
    <xf numFmtId="0" fontId="5" fillId="0" borderId="17" xfId="2" applyBorder="1"/>
    <xf numFmtId="0" fontId="5" fillId="0" borderId="39" xfId="2" applyBorder="1"/>
  </cellXfs>
  <cellStyles count="5">
    <cellStyle name="Lien hypertexte" xfId="2" builtinId="8"/>
    <cellStyle name="Milliers" xfId="4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9512248468941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05949256342957E-2"/>
                  <c:y val="-0.33558435403907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cutter'!$D$12:$D$18</c:f>
              <c:numCache>
                <c:formatCode>General</c:formatCode>
                <c:ptCount val="7"/>
                <c:pt idx="0">
                  <c:v>2.31</c:v>
                </c:pt>
                <c:pt idx="1">
                  <c:v>3.26</c:v>
                </c:pt>
                <c:pt idx="2">
                  <c:v>4.12</c:v>
                </c:pt>
                <c:pt idx="3">
                  <c:v>5.82</c:v>
                </c:pt>
                <c:pt idx="4">
                  <c:v>6.35</c:v>
                </c:pt>
                <c:pt idx="5">
                  <c:v>7.9379999999999997</c:v>
                </c:pt>
                <c:pt idx="6">
                  <c:v>9.5250000000000004</c:v>
                </c:pt>
              </c:numCache>
            </c:numRef>
          </c:xVal>
          <c:yVal>
            <c:numRef>
              <c:f>'Laser cutter'!$E$12:$E$18</c:f>
              <c:numCache>
                <c:formatCode>General</c:formatCode>
                <c:ptCount val="7"/>
                <c:pt idx="0">
                  <c:v>3175</c:v>
                </c:pt>
                <c:pt idx="1">
                  <c:v>2184.4</c:v>
                </c:pt>
                <c:pt idx="2">
                  <c:v>1879.6</c:v>
                </c:pt>
                <c:pt idx="3">
                  <c:v>1498.6</c:v>
                </c:pt>
                <c:pt idx="4">
                  <c:v>1270</c:v>
                </c:pt>
                <c:pt idx="5">
                  <c:v>762</c:v>
                </c:pt>
                <c:pt idx="6">
                  <c:v>584.19999999999993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9FF-B254-0D8DAEC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804024496937875E-3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cutter'!$D$19:$D$23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'Laser cutter'!$E$19:$E$23</c:f>
              <c:numCache>
                <c:formatCode>General</c:formatCode>
                <c:ptCount val="5"/>
                <c:pt idx="0">
                  <c:v>19812</c:v>
                </c:pt>
                <c:pt idx="1">
                  <c:v>5486.4</c:v>
                </c:pt>
                <c:pt idx="2">
                  <c:v>1879.6</c:v>
                </c:pt>
                <c:pt idx="3">
                  <c:v>1193.8</c:v>
                </c:pt>
                <c:pt idx="4">
                  <c:v>609.59999999999991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6-49EE-8B85-A3087D1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0384951881019E-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cutter'!$D$24:$D$26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'Laser cutter'!$E$24:$E$26</c:f>
              <c:numCache>
                <c:formatCode>General</c:formatCode>
                <c:ptCount val="3"/>
                <c:pt idx="0">
                  <c:v>7620</c:v>
                </c:pt>
                <c:pt idx="1">
                  <c:v>3048</c:v>
                </c:pt>
                <c:pt idx="2">
                  <c:v>711.19999999999993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ED3-9968-E380B51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4808"/>
        <c:axId val="578357760"/>
      </c:scatterChart>
      <c:valAx>
        <c:axId val="5783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7760"/>
        <c:crosses val="autoZero"/>
        <c:crossBetween val="midCat"/>
      </c:valAx>
      <c:valAx>
        <c:axId val="57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17</xdr:row>
      <xdr:rowOff>157162</xdr:rowOff>
    </xdr:from>
    <xdr:to>
      <xdr:col>18</xdr:col>
      <xdr:colOff>742950</xdr:colOff>
      <xdr:row>32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157162</xdr:rowOff>
    </xdr:from>
    <xdr:to>
      <xdr:col>11</xdr:col>
      <xdr:colOff>719137</xdr:colOff>
      <xdr:row>34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34</xdr:row>
      <xdr:rowOff>147637</xdr:rowOff>
    </xdr:from>
    <xdr:to>
      <xdr:col>11</xdr:col>
      <xdr:colOff>719137</xdr:colOff>
      <xdr:row>49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380E8-761B-438B-AD8E-A634996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deo.fr/p/outillage-et-equipements/oxygene-grande-bouteille-10-6m3-ref-g110-i1001l50r2a001-A1204487" TargetMode="External"/><Relationship Id="rId2" Type="http://schemas.openxmlformats.org/officeDocument/2006/relationships/hyperlink" Target="https://www.baileigh.com/cnc-laser-table-fl-510hd-500" TargetMode="External"/><Relationship Id="rId1" Type="http://schemas.openxmlformats.org/officeDocument/2006/relationships/hyperlink" Target="https://www.bosslaser.com/metal-cutting-product/" TargetMode="Externa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meca.com/soudage-et-accessoires/consommables-de-soudage/metaux-d-apport-soudage-tig/kg-de-metal-d-apport-aluminium-o-2-0-x-1000-mm" TargetMode="External"/><Relationship Id="rId2" Type="http://schemas.openxmlformats.org/officeDocument/2006/relationships/hyperlink" Target="https://www.promeca.com/soudage-et-accessoires/consommables-de-soudage/metaux-d-apport-soudage-tig" TargetMode="External"/><Relationship Id="rId1" Type="http://schemas.openxmlformats.org/officeDocument/2006/relationships/hyperlink" Target="https://www.siegmund.com/fr/1-Tables-de-soudure/98-Professional-Extreme/2400x1200x200/Panorama,101.php" TargetMode="External"/><Relationship Id="rId5" Type="http://schemas.openxmlformats.org/officeDocument/2006/relationships/hyperlink" Target="https://www.orexad.com/fr/mobiflex-200-m-systeme-d-aspiration-des-fumees/p-G1189001541" TargetMode="External"/><Relationship Id="rId4" Type="http://schemas.openxmlformats.org/officeDocument/2006/relationships/hyperlink" Target="https://www.promeca.com/poste-a-souder-tig220-ac-dc-ta34-ref-eau-esab-caddy-tig2200iac-dc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achineseeker.fr/mss/schaublin+13" TargetMode="External"/><Relationship Id="rId1" Type="http://schemas.openxmlformats.org/officeDocument/2006/relationships/hyperlink" Target="https://www.surplex.com/fr/vente/c/tours-paralleles-4340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uristique.org/social/duree-du-travail" TargetMode="External"/><Relationship Id="rId2" Type="http://schemas.openxmlformats.org/officeDocument/2006/relationships/hyperlink" Target="https://travail-emploi.gouv.fr/emploi/accompagnement-des-tpe-pme/tpe-pme/article/le-simulateur-du-cout-d-embauche" TargetMode="External"/><Relationship Id="rId1" Type="http://schemas.openxmlformats.org/officeDocument/2006/relationships/hyperlink" Target="https://www.gestionnaire-paie.com/convention-collective-automobile-salaires-minima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ournisseurs-electricite.com/edf/pro/tarifs-reglementes/jaune" TargetMode="External"/><Relationship Id="rId2" Type="http://schemas.openxmlformats.org/officeDocument/2006/relationships/hyperlink" Target="https://www.kelwatt.fr/guide/prix-electricite-entreprise" TargetMode="External"/><Relationship Id="rId1" Type="http://schemas.openxmlformats.org/officeDocument/2006/relationships/hyperlink" Target="http://www.eau-direct.fr/gestion/prix.html" TargetMode="External"/><Relationship Id="rId4" Type="http://schemas.openxmlformats.org/officeDocument/2006/relationships/hyperlink" Target="https://www.fournisseurs-electricite.com/guides/compteur/puissance/estimation?fbclid=IwAR0M9rlabDNFJxLa_aehdEGtK33qlQUwFO2xf_a1OlrFo_cEoo8_Df1M5h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mitutoyo.fr/web/mitutoyo/fr_FR/mitutoyo/01.05.033/Base%20magn%C3%A9tique%20avec%20r%C3%A9glage%20fin/$catalogue/mitutoyoData/PR/7011SN/index.xhtml" TargetMode="External"/><Relationship Id="rId13" Type="http://schemas.openxmlformats.org/officeDocument/2006/relationships/hyperlink" Target="https://shop.mitutoyo.fr/web/mitutoyo/fr_FR/mitutoyo/01.02.01.031/Microm.%20d%27ext%C3%A9rieur%20col%20de%20cygne/$catalogue/mitutoyoData/PR/103-141-10/index.xhtml" TargetMode="External"/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7" Type="http://schemas.openxmlformats.org/officeDocument/2006/relationships/hyperlink" Target="https://shop.mitutoyo.fr/web/mitutoyo/fr_FR/mitutoyo/01.05.03/Support%20articul%C3%A9%20magn%C3%A9ti/$catalogue/mitutoyoData/PR/7019B/index.xhtml" TargetMode="External"/><Relationship Id="rId12" Type="http://schemas.openxmlformats.org/officeDocument/2006/relationships/hyperlink" Target="https://shop.mitutoyo.fr/web/mitutoyo/fr_FR/mitutoyo/01.02.01.032/Microm.%20d%27ext%C3%A9rieur%20col%20de%20cygne%20en%20jeu/$catalogue/mitutoyoData/PR/103-915-10/index.xhtml" TargetMode="External"/><Relationship Id="rId17" Type="http://schemas.openxmlformats.org/officeDocument/2006/relationships/hyperlink" Target="https://www.orexad.com/fr/colonne-de-mesure-817clm-cap-600-770-pupitre-2d/p-G1197000019" TargetMode="External"/><Relationship Id="rId2" Type="http://schemas.openxmlformats.org/officeDocument/2006/relationships/hyperlink" Target="http://www.starrett.com/metrology/product-detail/3753A-8~200" TargetMode="External"/><Relationship Id="rId16" Type="http://schemas.openxmlformats.org/officeDocument/2006/relationships/hyperlink" Target="https://www.orexad.com/fr/projecteur-de-profil-pj-h30/p-G1213001821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Relationship Id="rId6" Type="http://schemas.openxmlformats.org/officeDocument/2006/relationships/hyperlink" Target="https://shop.mitutoyo.fr/web/mitutoyo/fr_FR/mitutoyo/01.05.0331/Base%20pneumatique/index.xhtml" TargetMode="External"/><Relationship Id="rId11" Type="http://schemas.openxmlformats.org/officeDocument/2006/relationships/hyperlink" Target="https://shop.mitutoyo.fr/web/mitutoyo/fr_FR/mitutoyo/01.02.01.0/Microm%C3%A8tre%20DIGIMATIC%20IP65%20en%20jeu%200-100%20mm/$catalogue/mitutoyoData/PR/293-963/index.xhtml" TargetMode="External"/><Relationship Id="rId5" Type="http://schemas.openxmlformats.org/officeDocument/2006/relationships/hyperlink" Target="https://shop.mitutoyo.fr/web/mitutoyo/fr_FR/mitutoyo/1300888710750/Comparateur%20m%C3%A9canique%2C%20dos%20plat/$catalogue/mitutoyoData/PR/2044SB/index.xhtml" TargetMode="External"/><Relationship Id="rId15" Type="http://schemas.openxmlformats.org/officeDocument/2006/relationships/hyperlink" Target="https://shop.mitutoyo.fr/web/mitutoyo/fr_FR/mitutoyo/1355993040307/Microm%C3%A8tre%20d%27int%C3%A9rieur%20Holtest%20en%20jeu/$catalogue/mitutoyoData/PR/368-991/index.xhtml" TargetMode="External"/><Relationship Id="rId10" Type="http://schemas.openxmlformats.org/officeDocument/2006/relationships/hyperlink" Target="https://shop.mitutoyo.fr/web/mitutoyo/fr_FR/mitutoyo/01.07.01/Jeu%20de%20cales%20-%20m%C3%A9trique%20-%20Cert.%20Insp.%20-%20ISO/$catalogue/mitutoyoData/PR/516-942-10/index.xhtml" TargetMode="External"/><Relationship Id="rId4" Type="http://schemas.openxmlformats.org/officeDocument/2006/relationships/hyperlink" Target="https://shop.mitutoyo.fr/web/mitutoyo/fr_FR/mitutoyo/1305198758390/Comparateur%20%C3%A0%20palpeur%20orientable%2C%20mod%C3%A8le%20horizontal/$catalogue/mitutoyoData/PR/513-908/index.xhtml" TargetMode="External"/><Relationship Id="rId9" Type="http://schemas.openxmlformats.org/officeDocument/2006/relationships/hyperlink" Target="https://shop.mitutoyo.fr/web/mitutoyo/fr_FR/mitutoyo/01.05.077/Paire%20de%20v%C3%A9s/$catalogue/mitutoyoData/PR/911-111/index.xhtml" TargetMode="External"/><Relationship Id="rId14" Type="http://schemas.openxmlformats.org/officeDocument/2006/relationships/hyperlink" Target="https://shop.mitutoyo.fr/web/mitutoyo/fr_FR/mitutoyo/01.02.01.031/Microm.%20d%27ext%C3%A9rieur%20col%20de%20cygne/$catalogue/mitutoyoData/PR/103-142-10/index.x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e.hp.com/FranceStore/Merch/Product.aspx?id=2ZC41ET&amp;opt=ABF&amp;mastersku=2ZC41ET&amp;masteropt=ABF&amp;sel=NTB&amp;" TargetMode="External"/><Relationship Id="rId13" Type="http://schemas.openxmlformats.org/officeDocument/2006/relationships/hyperlink" Target="https://store.hp.com/FranceStore/Merch/Product.aspx?id=T6T83AA&amp;opt=ABF&amp;mastersku=T6T83AA&amp;masteropt=ABF&amp;sel=ACC&amp;" TargetMode="External"/><Relationship Id="rId3" Type="http://schemas.openxmlformats.org/officeDocument/2006/relationships/hyperlink" Target="https://store.hp.com/FranceStore/Merch/Product.aspx?id=G5J38A&amp;opt=A80&amp;sel=PRN" TargetMode="External"/><Relationship Id="rId7" Type="http://schemas.openxmlformats.org/officeDocument/2006/relationships/hyperlink" Target="https://www.officedepot.fr/a/pb/Papier-Office-Depot-A3-80-g-m2-Blanc-Everyday-2500-Feuilles/pr=&amp;id=3057842/" TargetMode="External"/><Relationship Id="rId12" Type="http://schemas.openxmlformats.org/officeDocument/2006/relationships/hyperlink" Target="https://store.hp.com/FranceStore/Merch/Product.aspx?id=1KM17AA&amp;opt=&amp;mastersku=1KM17AA&amp;masteropt=&amp;sel=DEF&amp;" TargetMode="External"/><Relationship Id="rId2" Type="http://schemas.openxmlformats.org/officeDocument/2006/relationships/hyperlink" Target="https://products.office.com/fr-fr/compare-all-microsoft-office-products?tab=2" TargetMode="External"/><Relationship Id="rId16" Type="http://schemas.openxmlformats.org/officeDocument/2006/relationships/hyperlink" Target="https://www.telecomsupplier.fr/avaya-1608-i-ip-telephone-paquet-de-4.html" TargetMode="External"/><Relationship Id="rId1" Type="http://schemas.openxmlformats.org/officeDocument/2006/relationships/hyperlink" Target="https://www.autodesk.fr/products/fusion-360/subscribe?plc=F360&amp;term=1-YEAR&amp;support=ADVANCED&amp;quantity=1" TargetMode="External"/><Relationship Id="rId6" Type="http://schemas.openxmlformats.org/officeDocument/2006/relationships/hyperlink" Target="https://www.officedepot.fr/a/pb/Papier-Office-Depot-A4-80-g-m2-Blanc-Business-2500-Feuilles/pr=&amp;id=1456200/" TargetMode="External"/><Relationship Id="rId11" Type="http://schemas.openxmlformats.org/officeDocument/2006/relationships/hyperlink" Target="https://store.hp.com/FranceStore/Merch/Product.aspx?id=3ML21AT&amp;opt=ABB&amp;mastersku=3ML21AT&amp;masteropt=ABB&amp;sel=MTO&amp;" TargetMode="External"/><Relationship Id="rId5" Type="http://schemas.openxmlformats.org/officeDocument/2006/relationships/hyperlink" Target="https://store.hp.com/FranceStore/Merch/Product.aspx?id=3HZ52AE&amp;opt=&amp;mastersku=3HZ52AE&amp;masteropt=&amp;sel=SUP&amp;" TargetMode="External"/><Relationship Id="rId15" Type="http://schemas.openxmlformats.org/officeDocument/2006/relationships/hyperlink" Target="https://www.telecomsupplier.fr/avaya-3730-dect-combine.html" TargetMode="External"/><Relationship Id="rId10" Type="http://schemas.openxmlformats.org/officeDocument/2006/relationships/hyperlink" Target="https://store.hp.com/FranceStore/Merch/Product.aspx?id=4CZ83ET&amp;opt=ABF&amp;mastersku=4CZ83ET&amp;masteropt=ABF&amp;sel=DTP&amp;" TargetMode="External"/><Relationship Id="rId4" Type="http://schemas.openxmlformats.org/officeDocument/2006/relationships/hyperlink" Target="https://store.hp.com/FranceStore/Merch/Product.aspx?id=L0S70AE&amp;opt=&amp;mastersku=L0S70AE&amp;masteropt=&amp;sel=SUP&amp;" TargetMode="External"/><Relationship Id="rId9" Type="http://schemas.openxmlformats.org/officeDocument/2006/relationships/hyperlink" Target="https://store.hp.com/FranceStore/Merch/Product.aspx?id=6QN64ET&amp;opt=ABF&amp;sel=DTP" TargetMode="External"/><Relationship Id="rId14" Type="http://schemas.openxmlformats.org/officeDocument/2006/relationships/hyperlink" Target="https://store.hp.com/FranceStore/Merch/Product.aspx?id=1MK33AA&amp;opt=ABB&amp;mastersku=1MK33AA&amp;masteropt=ABB&amp;sel=ACC&amp;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ancebureau.com/media/catalogue-mobilier/bureau-modulaire-kibo.pdf" TargetMode="External"/><Relationship Id="rId7" Type="http://schemas.openxmlformats.org/officeDocument/2006/relationships/hyperlink" Target="https://www.francebureau.com/alto-16.html" TargetMode="External"/><Relationship Id="rId2" Type="http://schemas.openxmlformats.org/officeDocument/2006/relationships/hyperlink" Target="https://www.francebureau.com/media/catalogue-mobilier/bureau-modulaire-kibo.pdf" TargetMode="External"/><Relationship Id="rId1" Type="http://schemas.openxmlformats.org/officeDocument/2006/relationships/hyperlink" Target="https://www.francebureau.com/media/catalogue-mobilier/bureau-modulaire-kibo.pdf" TargetMode="External"/><Relationship Id="rId6" Type="http://schemas.openxmlformats.org/officeDocument/2006/relationships/hyperlink" Target="https://www.francebureau.com/media/catalogue-mobilier/table-reunion-modulable-arc-reunion.pdf" TargetMode="External"/><Relationship Id="rId5" Type="http://schemas.openxmlformats.org/officeDocument/2006/relationships/hyperlink" Target="https://www.francebureau.com/media/catalogue-mobilier/bureau-direction-etretat.pdf" TargetMode="External"/><Relationship Id="rId4" Type="http://schemas.openxmlformats.org/officeDocument/2006/relationships/hyperlink" Target="https://www.francebureau.com/media/catalogue-mobilier/bureau-modulaire-kibo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rexad.com/fr/compresseur-a-vis-lubrifie-serie-l/p-G3697000582" TargetMode="External"/><Relationship Id="rId13" Type="http://schemas.openxmlformats.org/officeDocument/2006/relationships/hyperlink" Target="https://www.orexad.com/fr/armoire-a-portes-battantes/p-G1359000412" TargetMode="External"/><Relationship Id="rId18" Type="http://schemas.openxmlformats.org/officeDocument/2006/relationships/hyperlink" Target="https://www.manutan.fr/fr/maf/aspirateur-eau-et-poussieres-nt-70-2-me-tc-karcher" TargetMode="External"/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orexad.com/fr/etabli-standard/p-G1359000830" TargetMode="External"/><Relationship Id="rId12" Type="http://schemas.openxmlformats.org/officeDocument/2006/relationships/hyperlink" Target="https://www.orexad.com/fr/systemes-cn/p-G1359000803" TargetMode="External"/><Relationship Id="rId17" Type="http://schemas.openxmlformats.org/officeDocument/2006/relationships/hyperlink" Target="https://www.orexad.com/fr/transpalette-galvanise-2-5t/p-G3019000006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6" Type="http://schemas.openxmlformats.org/officeDocument/2006/relationships/hyperlink" Target="https://www.manutan.fr/fr/maf/pack-portique-d-atelier-chariot-palan-force-1600-kg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orexad.com/fr/etabli-standard/p-G1359000849" TargetMode="External"/><Relationship Id="rId11" Type="http://schemas.openxmlformats.org/officeDocument/2006/relationships/hyperlink" Target="https://www.orexad.com/fr/desserte-de-transport/p-G1359000463" TargetMode="External"/><Relationship Id="rId5" Type="http://schemas.openxmlformats.org/officeDocument/2006/relationships/hyperlink" Target="https://www.baileigh.com/semi-auto-band-saw-bs-330sa" TargetMode="External"/><Relationship Id="rId15" Type="http://schemas.openxmlformats.org/officeDocument/2006/relationships/hyperlink" Target="https://www.orexad.com/fr/vestiaire-ventile-sur-socle/r-PR_1012867?" TargetMode="External"/><Relationship Id="rId10" Type="http://schemas.openxmlformats.org/officeDocument/2006/relationships/hyperlink" Target="https://www.orexad.com/fr/rayonnage-mi-lourd-double-face-horizontale-g-lever/r-PR_G1408014469?" TargetMode="External"/><Relationship Id="rId4" Type="http://schemas.openxmlformats.org/officeDocument/2006/relationships/hyperlink" Target="https://www.baileigh.com/hydraulic-shop-press-hsp-10h" TargetMode="External"/><Relationship Id="rId9" Type="http://schemas.openxmlformats.org/officeDocument/2006/relationships/hyperlink" Target="https://www.orexad.com/fr/fond-tole-rayonnage-a-tablettes-tolees-g-robust/p-G1408010697" TargetMode="External"/><Relationship Id="rId14" Type="http://schemas.openxmlformats.org/officeDocument/2006/relationships/hyperlink" Target="https://www.orexad.com/fr/bac-rako/p-G1383000092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4" Type="http://schemas.openxmlformats.org/officeDocument/2006/relationships/hyperlink" Target="https://www.hoffmann-group.com/FR/fr/hof/Accessoires-machines/Porte-outils/c/3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8"/>
  <sheetViews>
    <sheetView tabSelected="1" zoomScale="59" zoomScaleNormal="59" workbookViewId="0">
      <selection activeCell="U26" sqref="U26"/>
    </sheetView>
  </sheetViews>
  <sheetFormatPr baseColWidth="10" defaultRowHeight="15" x14ac:dyDescent="0.25"/>
  <cols>
    <col min="1" max="1" width="14.7109375" bestFit="1" customWidth="1"/>
    <col min="2" max="2" width="33" customWidth="1"/>
    <col min="3" max="3" width="13.42578125" bestFit="1" customWidth="1"/>
    <col min="4" max="4" width="66.28515625" bestFit="1" customWidth="1"/>
    <col min="5" max="5" width="4.85546875" customWidth="1"/>
    <col min="6" max="6" width="21.140625" bestFit="1" customWidth="1"/>
    <col min="7" max="7" width="86.28515625" bestFit="1" customWidth="1"/>
    <col min="8" max="8" width="13.42578125" bestFit="1" customWidth="1"/>
    <col min="9" max="9" width="14.7109375" bestFit="1" customWidth="1"/>
    <col min="10" max="10" width="12.42578125" bestFit="1" customWidth="1"/>
    <col min="11" max="11" width="4.5703125" customWidth="1"/>
    <col min="12" max="12" width="87.5703125" bestFit="1" customWidth="1"/>
    <col min="13" max="13" width="14.28515625" customWidth="1"/>
    <col min="14" max="14" width="29.85546875" customWidth="1"/>
    <col min="15" max="15" width="11.42578125" customWidth="1"/>
    <col min="16" max="16" width="32.28515625" customWidth="1"/>
    <col min="17" max="18" width="21.140625" customWidth="1"/>
    <col min="19" max="19" width="20.85546875" customWidth="1"/>
    <col min="20" max="20" width="4.7109375" customWidth="1"/>
    <col min="21" max="21" width="29.42578125" bestFit="1" customWidth="1"/>
    <col min="22" max="22" width="14.5703125" bestFit="1" customWidth="1"/>
    <col min="24" max="24" width="4.85546875" customWidth="1"/>
  </cols>
  <sheetData>
    <row r="1" spans="1:19" x14ac:dyDescent="0.25">
      <c r="A1" s="194" t="s">
        <v>41</v>
      </c>
      <c r="B1" s="195"/>
      <c r="C1" s="195"/>
      <c r="D1" s="48"/>
      <c r="F1" s="188" t="s">
        <v>14</v>
      </c>
      <c r="G1" s="189"/>
      <c r="H1" s="189"/>
      <c r="I1" s="189"/>
      <c r="J1" s="190"/>
      <c r="L1" s="191" t="s">
        <v>209</v>
      </c>
      <c r="M1" s="192"/>
      <c r="N1" s="192"/>
      <c r="O1" s="192"/>
      <c r="P1" s="192"/>
      <c r="Q1" s="192"/>
      <c r="R1" s="192"/>
      <c r="S1" s="193"/>
    </row>
    <row r="2" spans="1:19" ht="30.75" thickBot="1" x14ac:dyDescent="0.3">
      <c r="A2" s="57" t="s">
        <v>28</v>
      </c>
      <c r="B2" s="52" t="s">
        <v>16</v>
      </c>
      <c r="C2" s="52" t="s">
        <v>42</v>
      </c>
      <c r="D2" s="53" t="s">
        <v>227</v>
      </c>
      <c r="F2" s="92" t="s">
        <v>28</v>
      </c>
      <c r="G2" s="93" t="s">
        <v>25</v>
      </c>
      <c r="H2" s="93" t="s">
        <v>17</v>
      </c>
      <c r="I2" s="94" t="s">
        <v>375</v>
      </c>
      <c r="J2" s="95" t="s">
        <v>207</v>
      </c>
      <c r="L2" s="118" t="s">
        <v>15</v>
      </c>
      <c r="M2" s="119"/>
      <c r="N2" s="119" t="s">
        <v>16</v>
      </c>
      <c r="O2" s="119" t="s">
        <v>212</v>
      </c>
      <c r="P2" s="119" t="s">
        <v>217</v>
      </c>
      <c r="Q2" s="119" t="s">
        <v>17</v>
      </c>
      <c r="R2" s="120" t="s">
        <v>375</v>
      </c>
      <c r="S2" s="121" t="s">
        <v>207</v>
      </c>
    </row>
    <row r="3" spans="1:19" x14ac:dyDescent="0.25">
      <c r="A3" s="49" t="s">
        <v>43</v>
      </c>
      <c r="B3" s="58" t="s">
        <v>26</v>
      </c>
      <c r="C3" s="59">
        <f>'Manpower &amp; time'!D8</f>
        <v>21376</v>
      </c>
      <c r="D3" s="205" t="s">
        <v>509</v>
      </c>
      <c r="F3" s="106" t="s">
        <v>29</v>
      </c>
      <c r="G3" s="100" t="s">
        <v>199</v>
      </c>
      <c r="H3" s="96">
        <f>SUM(Metrology!E14:E17)</f>
        <v>2320</v>
      </c>
      <c r="I3" s="75">
        <v>10</v>
      </c>
      <c r="J3" s="87">
        <f>H3/I3</f>
        <v>232</v>
      </c>
      <c r="L3" s="169" t="s">
        <v>476</v>
      </c>
      <c r="M3" s="170"/>
      <c r="N3" s="100" t="s">
        <v>208</v>
      </c>
      <c r="O3" s="58" t="s">
        <v>213</v>
      </c>
      <c r="P3" s="58"/>
      <c r="Q3" s="59">
        <f>'CNC mill'!B22</f>
        <v>108020</v>
      </c>
      <c r="R3" s="58">
        <v>10</v>
      </c>
      <c r="S3" s="60">
        <f>Q3/R3</f>
        <v>10802</v>
      </c>
    </row>
    <row r="4" spans="1:19" x14ac:dyDescent="0.25">
      <c r="A4" s="50"/>
      <c r="B4" s="26" t="s">
        <v>44</v>
      </c>
      <c r="C4" s="29">
        <f>'Manpower &amp; time'!D9</f>
        <v>39809</v>
      </c>
      <c r="D4" s="206"/>
      <c r="F4" s="107"/>
      <c r="G4" s="101" t="s">
        <v>198</v>
      </c>
      <c r="H4" s="83">
        <f>SUM(Metrology!E18:E19)</f>
        <v>1838.4</v>
      </c>
      <c r="I4" s="56">
        <v>10</v>
      </c>
      <c r="J4" s="97">
        <f t="shared" ref="J4:J35" si="0">H4/I4</f>
        <v>183.84</v>
      </c>
      <c r="L4" s="44" t="s">
        <v>260</v>
      </c>
      <c r="M4" s="124">
        <v>22.4</v>
      </c>
      <c r="N4" s="101" t="s">
        <v>210</v>
      </c>
      <c r="O4" s="26" t="s">
        <v>213</v>
      </c>
      <c r="P4" s="26"/>
      <c r="Q4" s="29">
        <f>'CNC mill'!B23*'CNC mill'!C23</f>
        <v>4000</v>
      </c>
      <c r="R4" s="26">
        <v>5</v>
      </c>
      <c r="S4" s="61">
        <f t="shared" ref="S4:S6" si="1">Q4/R4</f>
        <v>800</v>
      </c>
    </row>
    <row r="5" spans="1:19" x14ac:dyDescent="0.25">
      <c r="A5" s="50"/>
      <c r="B5" s="26" t="s">
        <v>45</v>
      </c>
      <c r="C5" s="29">
        <f>'Manpower &amp; time'!D11</f>
        <v>69843</v>
      </c>
      <c r="D5" s="206"/>
      <c r="F5" s="107"/>
      <c r="G5" s="101" t="s">
        <v>197</v>
      </c>
      <c r="H5" s="83">
        <f>SUM(Metrology!E2:E8)+Metrology!E2+Metrology!E4+Metrology!E3+Metrology!E7+Metrology!E8</f>
        <v>1272</v>
      </c>
      <c r="I5" s="56">
        <v>10</v>
      </c>
      <c r="J5" s="97">
        <f t="shared" si="0"/>
        <v>127.2</v>
      </c>
      <c r="L5" s="44" t="s">
        <v>225</v>
      </c>
      <c r="M5" s="125">
        <f>C9</f>
        <v>0.8</v>
      </c>
      <c r="N5" s="101" t="s">
        <v>211</v>
      </c>
      <c r="O5" s="26" t="s">
        <v>213</v>
      </c>
      <c r="P5" s="26"/>
      <c r="Q5" s="29">
        <f>'CNC mill'!B24</f>
        <v>2500</v>
      </c>
      <c r="R5" s="26">
        <v>5</v>
      </c>
      <c r="S5" s="61">
        <f t="shared" si="1"/>
        <v>500</v>
      </c>
    </row>
    <row r="6" spans="1:19" ht="15.75" thickBot="1" x14ac:dyDescent="0.3">
      <c r="A6" s="51"/>
      <c r="B6" s="62" t="s">
        <v>46</v>
      </c>
      <c r="C6" s="63">
        <f>'Manpower &amp; time'!D9</f>
        <v>39809</v>
      </c>
      <c r="D6" s="207"/>
      <c r="F6" s="107"/>
      <c r="G6" s="101" t="s">
        <v>32</v>
      </c>
      <c r="H6" s="29">
        <f>Metrology!E23</f>
        <v>48334.81</v>
      </c>
      <c r="I6" s="56">
        <v>10</v>
      </c>
      <c r="J6" s="97">
        <f t="shared" si="0"/>
        <v>4833.4809999999998</v>
      </c>
      <c r="L6" s="44" t="s">
        <v>226</v>
      </c>
      <c r="M6" s="124">
        <v>5</v>
      </c>
      <c r="N6" s="101" t="s">
        <v>22</v>
      </c>
      <c r="O6" s="26" t="s">
        <v>213</v>
      </c>
      <c r="P6" s="26" t="s">
        <v>218</v>
      </c>
      <c r="Q6" s="29">
        <f>0.05*Q3</f>
        <v>5401</v>
      </c>
      <c r="R6" s="26">
        <v>1</v>
      </c>
      <c r="S6" s="61">
        <f t="shared" si="1"/>
        <v>5401</v>
      </c>
    </row>
    <row r="7" spans="1:19" x14ac:dyDescent="0.25">
      <c r="A7" s="49" t="s">
        <v>47</v>
      </c>
      <c r="B7" s="58" t="s">
        <v>48</v>
      </c>
      <c r="C7" s="58">
        <v>35</v>
      </c>
      <c r="D7" s="64"/>
      <c r="F7" s="107"/>
      <c r="G7" s="101" t="s">
        <v>200</v>
      </c>
      <c r="H7" s="83">
        <f>SUM(Metrology!E10:E12)</f>
        <v>3209.6000000000004</v>
      </c>
      <c r="I7" s="56">
        <v>10</v>
      </c>
      <c r="J7" s="97">
        <f t="shared" si="0"/>
        <v>320.96000000000004</v>
      </c>
      <c r="L7" s="44" t="s">
        <v>477</v>
      </c>
      <c r="M7" s="126">
        <f>1/10000</f>
        <v>1E-4</v>
      </c>
      <c r="N7" s="101" t="s">
        <v>19</v>
      </c>
      <c r="O7" s="26" t="s">
        <v>214</v>
      </c>
      <c r="P7" s="26" t="s">
        <v>261</v>
      </c>
      <c r="Q7" s="55">
        <f>M4*0.8*C12</f>
        <v>1.4031359999999997</v>
      </c>
      <c r="R7" s="26"/>
      <c r="S7" s="141"/>
    </row>
    <row r="8" spans="1:19" x14ac:dyDescent="0.25">
      <c r="A8" s="50"/>
      <c r="B8" s="26" t="s">
        <v>49</v>
      </c>
      <c r="C8" s="31">
        <f>'Manpower &amp; time'!C21</f>
        <v>45.6</v>
      </c>
      <c r="D8" s="65"/>
      <c r="F8" s="107"/>
      <c r="G8" s="101" t="s">
        <v>201</v>
      </c>
      <c r="H8" s="83">
        <f>2*Metrology!E21</f>
        <v>492.90039304557206</v>
      </c>
      <c r="I8" s="56">
        <v>10</v>
      </c>
      <c r="J8" s="97">
        <f t="shared" si="0"/>
        <v>49.290039304557205</v>
      </c>
      <c r="L8" s="44" t="s">
        <v>516</v>
      </c>
      <c r="M8" s="126">
        <f>M7*0.5</f>
        <v>5.0000000000000002E-5</v>
      </c>
      <c r="N8" s="101" t="s">
        <v>216</v>
      </c>
      <c r="O8" s="26" t="s">
        <v>214</v>
      </c>
      <c r="P8" s="26" t="s">
        <v>266</v>
      </c>
      <c r="Q8" s="27">
        <v>20</v>
      </c>
      <c r="R8" s="26"/>
      <c r="S8" s="141"/>
    </row>
    <row r="9" spans="1:19" ht="30.75" thickBot="1" x14ac:dyDescent="0.3">
      <c r="A9" s="50"/>
      <c r="B9" s="26" t="s">
        <v>50</v>
      </c>
      <c r="C9" s="54">
        <v>0.8</v>
      </c>
      <c r="D9" s="66" t="s">
        <v>255</v>
      </c>
      <c r="F9" s="108"/>
      <c r="G9" s="102" t="s">
        <v>487</v>
      </c>
      <c r="H9" s="63">
        <f>Metrology!E25</f>
        <v>5390</v>
      </c>
      <c r="I9" s="98">
        <v>10</v>
      </c>
      <c r="J9" s="88">
        <f t="shared" si="0"/>
        <v>539</v>
      </c>
      <c r="L9" s="44" t="s">
        <v>377</v>
      </c>
      <c r="M9" s="126">
        <f>M7*0.4</f>
        <v>4.0000000000000003E-5</v>
      </c>
      <c r="N9" s="101" t="s">
        <v>215</v>
      </c>
      <c r="O9" s="26" t="s">
        <v>214</v>
      </c>
      <c r="P9" s="26" t="s">
        <v>306</v>
      </c>
      <c r="Q9" s="29">
        <f>1*'CNC mill'!F31</f>
        <v>88.025599999999997</v>
      </c>
      <c r="R9" s="26">
        <v>1</v>
      </c>
      <c r="S9" s="61">
        <f t="shared" ref="S9" si="2">Q9/R9</f>
        <v>88.025599999999997</v>
      </c>
    </row>
    <row r="10" spans="1:19" ht="15.75" thickBot="1" x14ac:dyDescent="0.3">
      <c r="A10" s="51"/>
      <c r="B10" s="62" t="s">
        <v>245</v>
      </c>
      <c r="C10" s="67">
        <v>0.95</v>
      </c>
      <c r="D10" s="156" t="s">
        <v>256</v>
      </c>
      <c r="F10" s="109" t="s">
        <v>33</v>
      </c>
      <c r="G10" s="103" t="s">
        <v>262</v>
      </c>
      <c r="H10" s="59">
        <f>Energies!B7</f>
        <v>2874.8160000000003</v>
      </c>
      <c r="I10" s="58">
        <v>1</v>
      </c>
      <c r="J10" s="87">
        <f t="shared" si="0"/>
        <v>2874.8160000000003</v>
      </c>
      <c r="L10" s="142" t="s">
        <v>244</v>
      </c>
      <c r="M10" s="143">
        <v>20</v>
      </c>
      <c r="N10" s="102"/>
      <c r="O10" s="62"/>
      <c r="P10" s="62"/>
      <c r="Q10" s="62"/>
      <c r="R10" s="62"/>
      <c r="S10" s="73"/>
    </row>
    <row r="11" spans="1:19" x14ac:dyDescent="0.25">
      <c r="A11" s="69" t="s">
        <v>308</v>
      </c>
      <c r="B11" s="58" t="s">
        <v>153</v>
      </c>
      <c r="C11" s="59">
        <f>Energies!B7</f>
        <v>2874.8160000000003</v>
      </c>
      <c r="D11" s="60"/>
      <c r="F11" s="110"/>
      <c r="G11" s="157" t="s">
        <v>263</v>
      </c>
      <c r="H11" s="27">
        <f>16*C7*C8*C12</f>
        <v>1999.4687999999999</v>
      </c>
      <c r="I11" s="26">
        <v>1</v>
      </c>
      <c r="J11" s="97">
        <f t="shared" si="0"/>
        <v>1999.4687999999999</v>
      </c>
      <c r="L11" s="164" t="s">
        <v>18</v>
      </c>
      <c r="M11" s="203"/>
      <c r="N11" s="100" t="s">
        <v>318</v>
      </c>
      <c r="O11" s="58" t="s">
        <v>213</v>
      </c>
      <c r="P11" s="58"/>
      <c r="Q11" s="144">
        <f>'CNC lathe'!B2</f>
        <v>133720</v>
      </c>
      <c r="R11" s="58">
        <v>10</v>
      </c>
      <c r="S11" s="60">
        <f>Q11/R11</f>
        <v>13372</v>
      </c>
    </row>
    <row r="12" spans="1:19" ht="15.75" thickBot="1" x14ac:dyDescent="0.3">
      <c r="A12" s="70"/>
      <c r="B12" s="26" t="s">
        <v>154</v>
      </c>
      <c r="C12" s="55">
        <f>Energies!B8</f>
        <v>7.8299999999999995E-2</v>
      </c>
      <c r="D12" s="71"/>
      <c r="F12" s="110"/>
      <c r="G12" s="104" t="s">
        <v>408</v>
      </c>
      <c r="H12" s="27">
        <f>Energies!C12*60</f>
        <v>132.96</v>
      </c>
      <c r="I12" s="26">
        <v>1</v>
      </c>
      <c r="J12" s="97">
        <f t="shared" si="0"/>
        <v>132.96</v>
      </c>
      <c r="L12" s="42" t="s">
        <v>260</v>
      </c>
      <c r="M12" s="129">
        <v>29.8</v>
      </c>
      <c r="N12" s="101" t="s">
        <v>307</v>
      </c>
      <c r="O12" s="26" t="s">
        <v>213</v>
      </c>
      <c r="P12" s="26"/>
      <c r="Q12" s="29">
        <f>12*'CNC lathe'!B6+6*'CNC lathe'!B7</f>
        <v>19200</v>
      </c>
      <c r="R12" s="26">
        <v>10</v>
      </c>
      <c r="S12" s="61">
        <f>Q12/R12</f>
        <v>1920</v>
      </c>
    </row>
    <row r="13" spans="1:19" ht="18" thickBot="1" x14ac:dyDescent="0.3">
      <c r="A13" s="72"/>
      <c r="B13" s="62" t="s">
        <v>511</v>
      </c>
      <c r="C13" s="63">
        <f>Energies!C12</f>
        <v>2.2160000000000002</v>
      </c>
      <c r="D13" s="73"/>
      <c r="F13" s="112" t="s">
        <v>258</v>
      </c>
      <c r="G13" s="100" t="s">
        <v>140</v>
      </c>
      <c r="H13" s="59">
        <f>C6</f>
        <v>39809</v>
      </c>
      <c r="I13" s="75">
        <v>1</v>
      </c>
      <c r="J13" s="87">
        <f t="shared" si="0"/>
        <v>39809</v>
      </c>
      <c r="L13" s="42" t="s">
        <v>225</v>
      </c>
      <c r="M13" s="130">
        <f>C9</f>
        <v>0.8</v>
      </c>
      <c r="N13" s="101" t="s">
        <v>320</v>
      </c>
      <c r="O13" s="26" t="s">
        <v>213</v>
      </c>
      <c r="P13" s="26"/>
      <c r="Q13" s="29">
        <f>'CNC lathe'!B8*30</f>
        <v>4800</v>
      </c>
      <c r="R13" s="26">
        <v>5</v>
      </c>
      <c r="S13" s="61">
        <f t="shared" ref="S13:S14" si="3">Q13/R13</f>
        <v>960</v>
      </c>
    </row>
    <row r="14" spans="1:19" x14ac:dyDescent="0.25">
      <c r="A14" s="74" t="s">
        <v>309</v>
      </c>
      <c r="B14" s="58" t="s">
        <v>470</v>
      </c>
      <c r="C14" s="75">
        <v>1.12964</v>
      </c>
      <c r="D14" s="64"/>
      <c r="F14" s="113"/>
      <c r="G14" s="101" t="s">
        <v>251</v>
      </c>
      <c r="H14" s="29">
        <f>C5*0.4</f>
        <v>27937.200000000001</v>
      </c>
      <c r="I14" s="56">
        <v>1</v>
      </c>
      <c r="J14" s="97">
        <f t="shared" si="0"/>
        <v>27937.200000000001</v>
      </c>
      <c r="L14" s="42" t="s">
        <v>226</v>
      </c>
      <c r="M14" s="129">
        <v>5</v>
      </c>
      <c r="N14" s="101" t="s">
        <v>22</v>
      </c>
      <c r="O14" s="26" t="s">
        <v>213</v>
      </c>
      <c r="P14" s="26" t="s">
        <v>218</v>
      </c>
      <c r="Q14" s="27">
        <f>0.05*Q11</f>
        <v>6686</v>
      </c>
      <c r="R14" s="26">
        <v>1</v>
      </c>
      <c r="S14" s="61">
        <f t="shared" si="3"/>
        <v>6686</v>
      </c>
    </row>
    <row r="15" spans="1:19" ht="15.75" thickBot="1" x14ac:dyDescent="0.3">
      <c r="A15" s="76"/>
      <c r="B15" s="62" t="s">
        <v>182</v>
      </c>
      <c r="C15" s="67">
        <v>0.2</v>
      </c>
      <c r="D15" s="68"/>
      <c r="F15" s="113"/>
      <c r="G15" s="101" t="s">
        <v>488</v>
      </c>
      <c r="H15" s="29">
        <f>'Manpower &amp; time'!G12</f>
        <v>11403.29000000001</v>
      </c>
      <c r="I15" s="56">
        <v>1</v>
      </c>
      <c r="J15" s="97">
        <f t="shared" si="0"/>
        <v>11403.29000000001</v>
      </c>
      <c r="L15" s="42" t="s">
        <v>477</v>
      </c>
      <c r="M15" s="131">
        <f>1/10000</f>
        <v>1E-4</v>
      </c>
      <c r="N15" s="101" t="s">
        <v>19</v>
      </c>
      <c r="O15" s="26" t="s">
        <v>214</v>
      </c>
      <c r="P15" s="26" t="s">
        <v>261</v>
      </c>
      <c r="Q15" s="55">
        <f>M12*0.8*C12</f>
        <v>1.8666720000000001</v>
      </c>
      <c r="R15" s="26"/>
      <c r="S15" s="141"/>
    </row>
    <row r="16" spans="1:19" ht="15.75" thickBot="1" x14ac:dyDescent="0.3">
      <c r="F16" s="114"/>
      <c r="G16" s="102" t="s">
        <v>259</v>
      </c>
      <c r="H16" s="63">
        <f>'Manpower &amp; time'!C36</f>
        <v>13837.053999999998</v>
      </c>
      <c r="I16" s="98">
        <v>1</v>
      </c>
      <c r="J16" s="88">
        <f t="shared" si="0"/>
        <v>13837.053999999998</v>
      </c>
      <c r="L16" s="42" t="s">
        <v>515</v>
      </c>
      <c r="M16" s="131">
        <f>M15*0.5</f>
        <v>5.0000000000000002E-5</v>
      </c>
      <c r="N16" s="101" t="s">
        <v>216</v>
      </c>
      <c r="O16" s="26" t="s">
        <v>214</v>
      </c>
      <c r="P16" s="26" t="s">
        <v>261</v>
      </c>
      <c r="Q16" s="27">
        <v>10</v>
      </c>
      <c r="R16" s="26"/>
      <c r="S16" s="141"/>
    </row>
    <row r="17" spans="6:19" x14ac:dyDescent="0.25">
      <c r="F17" s="115" t="s">
        <v>34</v>
      </c>
      <c r="G17" s="100" t="s">
        <v>35</v>
      </c>
      <c r="H17" s="59">
        <f>IT!E12+2*IT!E13+IT!E14+6*IT!E16+IT!E17+4*IT!E18+IT!E19</f>
        <v>6843.36</v>
      </c>
      <c r="I17" s="75">
        <v>3</v>
      </c>
      <c r="J17" s="87">
        <f t="shared" si="0"/>
        <v>2281.12</v>
      </c>
      <c r="L17" s="42" t="s">
        <v>377</v>
      </c>
      <c r="M17" s="131">
        <f>M15*0.4</f>
        <v>4.0000000000000003E-5</v>
      </c>
      <c r="N17" s="101" t="s">
        <v>215</v>
      </c>
      <c r="O17" s="26" t="s">
        <v>214</v>
      </c>
      <c r="P17" s="26" t="s">
        <v>306</v>
      </c>
      <c r="Q17" s="29">
        <f>'CNC lathe'!F14</f>
        <v>88.025599999999997</v>
      </c>
      <c r="R17" s="26">
        <v>1</v>
      </c>
      <c r="S17" s="61">
        <f>Q17/R17</f>
        <v>88.025599999999997</v>
      </c>
    </row>
    <row r="18" spans="6:19" ht="15.75" thickBot="1" x14ac:dyDescent="0.3">
      <c r="F18" s="116"/>
      <c r="G18" s="101" t="s">
        <v>206</v>
      </c>
      <c r="H18" s="29">
        <f>IT!E6</f>
        <v>192.96</v>
      </c>
      <c r="I18" s="56">
        <v>3</v>
      </c>
      <c r="J18" s="97">
        <f t="shared" si="0"/>
        <v>64.320000000000007</v>
      </c>
      <c r="L18" s="139" t="s">
        <v>244</v>
      </c>
      <c r="M18" s="140">
        <v>15</v>
      </c>
      <c r="N18" s="102"/>
      <c r="O18" s="62"/>
      <c r="P18" s="62"/>
      <c r="Q18" s="62"/>
      <c r="R18" s="62"/>
      <c r="S18" s="73"/>
    </row>
    <row r="19" spans="6:19" ht="30" x14ac:dyDescent="0.25">
      <c r="F19" s="116"/>
      <c r="G19" s="159" t="s">
        <v>512</v>
      </c>
      <c r="H19" s="29">
        <f>2*IT!E7+IT!E8+2*IT!E9+IT!E10</f>
        <v>277.54199999999997</v>
      </c>
      <c r="I19" s="56">
        <v>1</v>
      </c>
      <c r="J19" s="97">
        <f t="shared" si="0"/>
        <v>277.54199999999997</v>
      </c>
      <c r="L19" s="171" t="s">
        <v>20</v>
      </c>
      <c r="M19" s="172"/>
      <c r="N19" s="100" t="s">
        <v>21</v>
      </c>
      <c r="O19" s="58" t="s">
        <v>213</v>
      </c>
      <c r="P19" s="58"/>
      <c r="Q19" s="59">
        <f>'Laser cutter'!G4</f>
        <v>185010.26875818847</v>
      </c>
      <c r="R19" s="58">
        <v>10</v>
      </c>
      <c r="S19" s="60">
        <f>Q19/R19</f>
        <v>18501.026875818847</v>
      </c>
    </row>
    <row r="20" spans="6:19" x14ac:dyDescent="0.25">
      <c r="F20" s="116"/>
      <c r="G20" s="101" t="s">
        <v>183</v>
      </c>
      <c r="H20" s="29">
        <f>IT!E4*12*3</f>
        <v>316.8</v>
      </c>
      <c r="I20" s="56">
        <v>1</v>
      </c>
      <c r="J20" s="97">
        <f t="shared" si="0"/>
        <v>316.8</v>
      </c>
      <c r="L20" s="41" t="s">
        <v>260</v>
      </c>
      <c r="M20" s="132">
        <v>7.5</v>
      </c>
      <c r="N20" s="101" t="s">
        <v>22</v>
      </c>
      <c r="O20" s="26" t="s">
        <v>213</v>
      </c>
      <c r="P20" s="26" t="s">
        <v>218</v>
      </c>
      <c r="Q20" s="29">
        <f>0.05*Q19</f>
        <v>9250.5134379094234</v>
      </c>
      <c r="R20" s="26">
        <v>1</v>
      </c>
      <c r="S20" s="61">
        <f>Q20/R20</f>
        <v>9250.5134379094234</v>
      </c>
    </row>
    <row r="21" spans="6:19" x14ac:dyDescent="0.25">
      <c r="F21" s="116"/>
      <c r="G21" s="101" t="s">
        <v>184</v>
      </c>
      <c r="H21" s="29">
        <f>IT!E3*2</f>
        <v>796.80000000000007</v>
      </c>
      <c r="I21" s="56">
        <v>1</v>
      </c>
      <c r="J21" s="97">
        <f t="shared" si="0"/>
        <v>796.80000000000007</v>
      </c>
      <c r="L21" s="41" t="s">
        <v>225</v>
      </c>
      <c r="M21" s="133">
        <v>0.7</v>
      </c>
      <c r="N21" s="101" t="s">
        <v>23</v>
      </c>
      <c r="O21" s="26" t="s">
        <v>214</v>
      </c>
      <c r="P21" s="26" t="s">
        <v>261</v>
      </c>
      <c r="Q21" s="55">
        <f>M20*0.8*C12</f>
        <v>0.4698</v>
      </c>
      <c r="R21" s="26"/>
      <c r="S21" s="141"/>
    </row>
    <row r="22" spans="6:19" x14ac:dyDescent="0.25">
      <c r="F22" s="116"/>
      <c r="G22" s="101" t="s">
        <v>36</v>
      </c>
      <c r="H22" s="29">
        <f>12*IT!E21</f>
        <v>1224</v>
      </c>
      <c r="I22" s="56">
        <v>1</v>
      </c>
      <c r="J22" s="97">
        <f t="shared" si="0"/>
        <v>1224</v>
      </c>
      <c r="L22" s="41" t="s">
        <v>226</v>
      </c>
      <c r="M22" s="132">
        <v>5</v>
      </c>
      <c r="N22" s="101" t="s">
        <v>404</v>
      </c>
      <c r="O22" s="26" t="s">
        <v>214</v>
      </c>
      <c r="P22" s="26" t="s">
        <v>261</v>
      </c>
      <c r="Q22" s="29">
        <f>'Laser cutter'!G5/20</f>
        <v>5.0728</v>
      </c>
      <c r="R22" s="26"/>
      <c r="S22" s="141"/>
    </row>
    <row r="23" spans="6:19" ht="15.75" thickBot="1" x14ac:dyDescent="0.3">
      <c r="F23" s="117"/>
      <c r="G23" s="102" t="s">
        <v>376</v>
      </c>
      <c r="H23" s="63">
        <f>IT!E24+IT!E23</f>
        <v>381</v>
      </c>
      <c r="I23" s="98">
        <v>3</v>
      </c>
      <c r="J23" s="88">
        <f t="shared" si="0"/>
        <v>127</v>
      </c>
      <c r="L23" s="41" t="s">
        <v>478</v>
      </c>
      <c r="M23" s="134">
        <v>4.6000000000000001E-4</v>
      </c>
      <c r="N23" s="122"/>
      <c r="O23" s="84"/>
      <c r="P23" s="84"/>
      <c r="Q23" s="84"/>
      <c r="R23" s="84"/>
      <c r="S23" s="145"/>
    </row>
    <row r="24" spans="6:19" x14ac:dyDescent="0.25">
      <c r="F24" s="106" t="s">
        <v>370</v>
      </c>
      <c r="G24" s="100" t="s">
        <v>37</v>
      </c>
      <c r="H24" s="99">
        <v>200</v>
      </c>
      <c r="I24" s="75">
        <v>1</v>
      </c>
      <c r="J24" s="87">
        <f t="shared" si="0"/>
        <v>200</v>
      </c>
      <c r="L24" s="41" t="s">
        <v>501</v>
      </c>
      <c r="M24" s="135">
        <v>1.5</v>
      </c>
      <c r="N24" s="122"/>
      <c r="O24" s="85"/>
      <c r="P24" s="84"/>
      <c r="Q24" s="85"/>
      <c r="R24" s="84"/>
      <c r="S24" s="146"/>
    </row>
    <row r="25" spans="6:19" ht="15.75" thickBot="1" x14ac:dyDescent="0.3">
      <c r="F25" s="108"/>
      <c r="G25" s="102" t="s">
        <v>310</v>
      </c>
      <c r="H25" s="63">
        <f>Office!D2*2+Office!D3*2+Office!D4*2+Office!D5*2+Office!D6+Office!D7+Office!D8*10</f>
        <v>10550</v>
      </c>
      <c r="I25" s="62">
        <v>10</v>
      </c>
      <c r="J25" s="88">
        <f>H25/I25</f>
        <v>1055</v>
      </c>
      <c r="L25" s="41" t="s">
        <v>502</v>
      </c>
      <c r="M25" s="135">
        <v>1</v>
      </c>
      <c r="N25" s="123"/>
      <c r="O25" s="86"/>
      <c r="P25" s="86"/>
      <c r="Q25" s="86"/>
      <c r="R25" s="86"/>
      <c r="S25" s="147"/>
    </row>
    <row r="26" spans="6:19" ht="15.75" thickBot="1" x14ac:dyDescent="0.3">
      <c r="F26" s="109" t="s">
        <v>39</v>
      </c>
      <c r="G26" s="158" t="s">
        <v>390</v>
      </c>
      <c r="H26" s="59">
        <f>SUM(Manufacturing!G3:G8)+Manufacturing!G9*4</f>
        <v>19442.431854396091</v>
      </c>
      <c r="I26" s="58">
        <v>10</v>
      </c>
      <c r="J26" s="87">
        <f t="shared" si="0"/>
        <v>1944.2431854396091</v>
      </c>
      <c r="L26" s="148" t="s">
        <v>344</v>
      </c>
      <c r="M26" s="149">
        <v>8</v>
      </c>
      <c r="N26" s="102"/>
      <c r="O26" s="62"/>
      <c r="P26" s="62"/>
      <c r="Q26" s="62"/>
      <c r="R26" s="62"/>
      <c r="S26" s="73"/>
    </row>
    <row r="27" spans="6:19" x14ac:dyDescent="0.25">
      <c r="F27" s="110"/>
      <c r="G27" s="101" t="s">
        <v>378</v>
      </c>
      <c r="H27" s="29">
        <f>Manufacturing!G26</f>
        <v>3259</v>
      </c>
      <c r="I27" s="26">
        <v>10</v>
      </c>
      <c r="J27" s="97">
        <f t="shared" si="0"/>
        <v>325.89999999999998</v>
      </c>
      <c r="L27" s="46" t="s">
        <v>24</v>
      </c>
      <c r="M27" s="150"/>
      <c r="N27" s="100" t="s">
        <v>238</v>
      </c>
      <c r="O27" s="58" t="s">
        <v>213</v>
      </c>
      <c r="P27" s="58"/>
      <c r="Q27" s="59">
        <f>Welding!F2+Welding!F3</f>
        <v>5308.6</v>
      </c>
      <c r="R27" s="58">
        <v>10</v>
      </c>
      <c r="S27" s="60">
        <f>Q27/R27</f>
        <v>530.86</v>
      </c>
    </row>
    <row r="28" spans="6:19" x14ac:dyDescent="0.25">
      <c r="F28" s="110"/>
      <c r="G28" s="101" t="s">
        <v>484</v>
      </c>
      <c r="H28" s="29">
        <f>Manufacturing!G27</f>
        <v>1031.54</v>
      </c>
      <c r="I28" s="26">
        <v>10</v>
      </c>
      <c r="J28" s="97">
        <f t="shared" si="0"/>
        <v>103.154</v>
      </c>
      <c r="L28" s="44"/>
      <c r="M28" s="124"/>
      <c r="N28" s="101" t="s">
        <v>38</v>
      </c>
      <c r="O28" s="26" t="s">
        <v>213</v>
      </c>
      <c r="P28" s="26"/>
      <c r="Q28" s="29">
        <f>Welding!F4</f>
        <v>3859.6</v>
      </c>
      <c r="R28" s="26">
        <v>10</v>
      </c>
      <c r="S28" s="61">
        <f t="shared" ref="S28:S32" si="4">Q28/R28</f>
        <v>385.96</v>
      </c>
    </row>
    <row r="29" spans="6:19" x14ac:dyDescent="0.25">
      <c r="F29" s="110"/>
      <c r="G29" s="101" t="s">
        <v>299</v>
      </c>
      <c r="H29" s="29">
        <f>Manufacturing!G11*3+Manufacturing!G12*3</f>
        <v>8137.4519999999993</v>
      </c>
      <c r="I29" s="26">
        <v>10</v>
      </c>
      <c r="J29" s="97">
        <f t="shared" si="0"/>
        <v>813.74519999999995</v>
      </c>
      <c r="L29" s="44" t="s">
        <v>225</v>
      </c>
      <c r="M29" s="125">
        <f>C9</f>
        <v>0.8</v>
      </c>
      <c r="N29" s="101" t="s">
        <v>243</v>
      </c>
      <c r="O29" s="26" t="s">
        <v>213</v>
      </c>
      <c r="P29" s="26"/>
      <c r="Q29" s="29">
        <f>Welding!F6</f>
        <v>146</v>
      </c>
      <c r="R29" s="26">
        <v>5</v>
      </c>
      <c r="S29" s="61">
        <f t="shared" si="4"/>
        <v>29.2</v>
      </c>
    </row>
    <row r="30" spans="6:19" x14ac:dyDescent="0.25">
      <c r="F30" s="110"/>
      <c r="G30" s="159" t="s">
        <v>353</v>
      </c>
      <c r="H30" s="29">
        <f>0.5*H29</f>
        <v>4068.7259999999997</v>
      </c>
      <c r="I30" s="26">
        <v>10</v>
      </c>
      <c r="J30" s="97">
        <f t="shared" si="0"/>
        <v>406.87259999999998</v>
      </c>
      <c r="L30" s="44" t="s">
        <v>452</v>
      </c>
      <c r="M30" s="136">
        <f>Welding!B32</f>
        <v>140.43083213990764</v>
      </c>
      <c r="N30" s="101" t="s">
        <v>27</v>
      </c>
      <c r="O30" s="26" t="s">
        <v>213</v>
      </c>
      <c r="P30" s="26"/>
      <c r="Q30" s="29">
        <f>Welding!F6+Welding!F7</f>
        <v>196</v>
      </c>
      <c r="R30" s="26">
        <v>2</v>
      </c>
      <c r="S30" s="61">
        <f t="shared" si="4"/>
        <v>98</v>
      </c>
    </row>
    <row r="31" spans="6:19" x14ac:dyDescent="0.25">
      <c r="F31" s="110"/>
      <c r="G31" s="101" t="s">
        <v>354</v>
      </c>
      <c r="H31" s="29">
        <v>4000</v>
      </c>
      <c r="I31" s="26">
        <v>5</v>
      </c>
      <c r="J31" s="97">
        <f t="shared" si="0"/>
        <v>800</v>
      </c>
      <c r="L31" s="44"/>
      <c r="M31" s="124"/>
      <c r="N31" s="101" t="s">
        <v>230</v>
      </c>
      <c r="O31" s="26" t="s">
        <v>213</v>
      </c>
      <c r="P31" s="26"/>
      <c r="Q31" s="29">
        <f>Welding!F5</f>
        <v>8579</v>
      </c>
      <c r="R31" s="26">
        <v>10</v>
      </c>
      <c r="S31" s="61">
        <f t="shared" si="4"/>
        <v>857.9</v>
      </c>
    </row>
    <row r="32" spans="6:19" x14ac:dyDescent="0.25">
      <c r="F32" s="110"/>
      <c r="G32" s="101" t="s">
        <v>355</v>
      </c>
      <c r="H32" s="29">
        <v>3000</v>
      </c>
      <c r="I32" s="26">
        <v>1</v>
      </c>
      <c r="J32" s="97">
        <f t="shared" si="0"/>
        <v>3000</v>
      </c>
      <c r="L32" s="44"/>
      <c r="M32" s="124"/>
      <c r="N32" s="101" t="s">
        <v>22</v>
      </c>
      <c r="O32" s="26" t="s">
        <v>213</v>
      </c>
      <c r="P32" s="26" t="s">
        <v>242</v>
      </c>
      <c r="Q32" s="29">
        <f>0.03*(Q27+Q28)</f>
        <v>275.04599999999999</v>
      </c>
      <c r="R32" s="26">
        <v>1</v>
      </c>
      <c r="S32" s="61">
        <f t="shared" si="4"/>
        <v>275.04599999999999</v>
      </c>
    </row>
    <row r="33" spans="6:19" x14ac:dyDescent="0.25">
      <c r="F33" s="110"/>
      <c r="G33" s="101" t="s">
        <v>359</v>
      </c>
      <c r="H33" s="29">
        <f>Manufacturing!G24</f>
        <v>2302.5700000000002</v>
      </c>
      <c r="I33" s="26">
        <v>10</v>
      </c>
      <c r="J33" s="97">
        <f t="shared" si="0"/>
        <v>230.25700000000001</v>
      </c>
      <c r="L33" s="44"/>
      <c r="M33" s="124"/>
      <c r="N33" s="101" t="s">
        <v>19</v>
      </c>
      <c r="O33" s="26" t="s">
        <v>214</v>
      </c>
      <c r="P33" s="26" t="s">
        <v>510</v>
      </c>
      <c r="Q33" s="55">
        <f>(0.75+0.5)*C12</f>
        <v>9.787499999999999E-2</v>
      </c>
      <c r="R33" s="26"/>
      <c r="S33" s="141"/>
    </row>
    <row r="34" spans="6:19" x14ac:dyDescent="0.25">
      <c r="F34" s="110"/>
      <c r="G34" s="101" t="s">
        <v>40</v>
      </c>
      <c r="H34" s="29">
        <f>Manufacturing!G22*6+Manufacturing!G23*3</f>
        <v>7066.95</v>
      </c>
      <c r="I34" s="26">
        <v>10</v>
      </c>
      <c r="J34" s="97">
        <f t="shared" si="0"/>
        <v>706.69499999999994</v>
      </c>
      <c r="L34" s="127"/>
      <c r="M34" s="128"/>
      <c r="N34" s="101" t="s">
        <v>450</v>
      </c>
      <c r="O34" s="208" t="s">
        <v>214</v>
      </c>
      <c r="P34" s="209" t="s">
        <v>449</v>
      </c>
      <c r="Q34" s="29">
        <f>Welding!B29</f>
        <v>8.5247116655159064E-2</v>
      </c>
      <c r="R34" s="26"/>
      <c r="S34" s="141"/>
    </row>
    <row r="35" spans="6:19" x14ac:dyDescent="0.25">
      <c r="F35" s="110"/>
      <c r="G35" s="101" t="s">
        <v>371</v>
      </c>
      <c r="H35" s="29">
        <f>Manufacturing!G16*5+Manufacturing!G17+Manufacturing!G18+Manufacturing!G19+Manufacturing!G20*3+Manufacturing!G21*30</f>
        <v>7110.13</v>
      </c>
      <c r="I35" s="26">
        <v>10</v>
      </c>
      <c r="J35" s="97">
        <f t="shared" si="0"/>
        <v>711.01300000000003</v>
      </c>
      <c r="L35" s="137"/>
      <c r="M35" s="138"/>
      <c r="N35" s="101" t="s">
        <v>451</v>
      </c>
      <c r="O35" s="208"/>
      <c r="P35" s="209"/>
      <c r="Q35" s="29">
        <f>Welding!B23</f>
        <v>5.0185057685504804E-2</v>
      </c>
      <c r="R35" s="26"/>
      <c r="S35" s="141"/>
    </row>
    <row r="36" spans="6:19" ht="15.75" thickBot="1" x14ac:dyDescent="0.3">
      <c r="F36" s="110"/>
      <c r="G36" s="104" t="s">
        <v>351</v>
      </c>
      <c r="H36" s="29">
        <f>Manufacturing!G14</f>
        <v>12999</v>
      </c>
      <c r="I36" s="26">
        <v>10</v>
      </c>
      <c r="J36" s="97">
        <f>H36/I36</f>
        <v>1299.9000000000001</v>
      </c>
      <c r="L36" s="23"/>
      <c r="M36" s="151"/>
      <c r="N36" s="102" t="s">
        <v>231</v>
      </c>
      <c r="O36" s="62" t="s">
        <v>214</v>
      </c>
      <c r="P36" s="62" t="s">
        <v>449</v>
      </c>
      <c r="Q36" s="63">
        <f>Welding!B17</f>
        <v>14.354066985645932</v>
      </c>
      <c r="R36" s="62"/>
      <c r="S36" s="73"/>
    </row>
    <row r="37" spans="6:19" x14ac:dyDescent="0.25">
      <c r="F37" s="110"/>
      <c r="G37" s="104" t="s">
        <v>352</v>
      </c>
      <c r="H37" s="29">
        <f>15*C12*C7*C8</f>
        <v>1874.5019999999997</v>
      </c>
      <c r="I37" s="26">
        <v>1</v>
      </c>
      <c r="J37" s="97">
        <f>H37/I37</f>
        <v>1874.5019999999997</v>
      </c>
      <c r="L37" s="164" t="s">
        <v>391</v>
      </c>
      <c r="M37" s="203"/>
      <c r="N37" s="100" t="s">
        <v>455</v>
      </c>
      <c r="O37" s="58" t="s">
        <v>213</v>
      </c>
      <c r="P37" s="58"/>
      <c r="Q37" s="144">
        <f>'Conventionnal machinning'!B2</f>
        <v>15000</v>
      </c>
      <c r="R37" s="58">
        <v>10</v>
      </c>
      <c r="S37" s="60">
        <f>Q37/R37</f>
        <v>1500</v>
      </c>
    </row>
    <row r="38" spans="6:19" ht="15.75" thickBot="1" x14ac:dyDescent="0.3">
      <c r="F38" s="111"/>
      <c r="G38" s="105" t="s">
        <v>486</v>
      </c>
      <c r="H38" s="63">
        <f>2*Manufacturing!G29</f>
        <v>2150</v>
      </c>
      <c r="I38" s="62">
        <v>10</v>
      </c>
      <c r="J38" s="88">
        <f>H38/I38</f>
        <v>215</v>
      </c>
      <c r="L38" s="42" t="s">
        <v>260</v>
      </c>
      <c r="M38" s="129">
        <v>6</v>
      </c>
      <c r="N38" s="101" t="s">
        <v>461</v>
      </c>
      <c r="O38" s="26" t="s">
        <v>213</v>
      </c>
      <c r="P38" s="26"/>
      <c r="Q38" s="29">
        <f>'Conventionnal machinning'!B3</f>
        <v>10000</v>
      </c>
      <c r="R38" s="26">
        <v>10</v>
      </c>
      <c r="S38" s="61">
        <f>Q38/R38</f>
        <v>1000</v>
      </c>
    </row>
    <row r="39" spans="6:19" ht="15.75" thickBot="1" x14ac:dyDescent="0.3">
      <c r="F39" s="15"/>
      <c r="G39" s="11"/>
      <c r="J39" s="6"/>
      <c r="L39" s="42" t="s">
        <v>225</v>
      </c>
      <c r="M39" s="130">
        <v>0.44</v>
      </c>
      <c r="N39" s="101" t="s">
        <v>469</v>
      </c>
      <c r="O39" s="26" t="s">
        <v>213</v>
      </c>
      <c r="P39" s="26"/>
      <c r="Q39" s="29">
        <f>(Q5+Q4+Q12+Q13)*0.25</f>
        <v>7625</v>
      </c>
      <c r="R39" s="26">
        <v>5</v>
      </c>
      <c r="S39" s="61">
        <f t="shared" ref="S39:S40" si="5">Q39/R39</f>
        <v>1525</v>
      </c>
    </row>
    <row r="40" spans="6:19" ht="15.75" thickBot="1" x14ac:dyDescent="0.3">
      <c r="F40" s="197" t="s">
        <v>513</v>
      </c>
      <c r="G40" s="198"/>
      <c r="H40" s="198"/>
      <c r="I40" s="198"/>
      <c r="J40" s="199"/>
      <c r="L40" s="42" t="s">
        <v>226</v>
      </c>
      <c r="M40" s="129">
        <v>5</v>
      </c>
      <c r="N40" s="101" t="s">
        <v>22</v>
      </c>
      <c r="O40" s="26" t="s">
        <v>213</v>
      </c>
      <c r="P40" s="26" t="s">
        <v>462</v>
      </c>
      <c r="Q40" s="27">
        <f>0.03*(Q38+Q37)</f>
        <v>750</v>
      </c>
      <c r="R40" s="26">
        <v>1</v>
      </c>
      <c r="S40" s="61">
        <f t="shared" si="5"/>
        <v>750</v>
      </c>
    </row>
    <row r="41" spans="6:19" x14ac:dyDescent="0.25">
      <c r="F41" s="178" t="s">
        <v>311</v>
      </c>
      <c r="G41" s="201" t="s">
        <v>472</v>
      </c>
      <c r="H41" s="201"/>
      <c r="I41" s="202"/>
      <c r="J41" s="87">
        <f>SUM(J3:J38)*1.05</f>
        <v>129206.09501598139</v>
      </c>
      <c r="L41" s="42" t="s">
        <v>479</v>
      </c>
      <c r="M41" s="131">
        <f>3*1/10000</f>
        <v>2.9999999999999997E-4</v>
      </c>
      <c r="N41" s="101" t="s">
        <v>19</v>
      </c>
      <c r="O41" s="26" t="s">
        <v>214</v>
      </c>
      <c r="P41" s="26" t="s">
        <v>261</v>
      </c>
      <c r="Q41" s="55">
        <f>M38*0.8*C12</f>
        <v>0.37584000000000001</v>
      </c>
      <c r="R41" s="26"/>
      <c r="S41" s="141"/>
    </row>
    <row r="42" spans="6:19" ht="15.75" thickBot="1" x14ac:dyDescent="0.3">
      <c r="F42" s="179"/>
      <c r="G42" s="200" t="s">
        <v>271</v>
      </c>
      <c r="H42" s="200"/>
      <c r="I42" s="186"/>
      <c r="J42" s="88">
        <f>J41/SUM('Manpower &amp; time'!C32:J32)</f>
        <v>11.853030729824322</v>
      </c>
      <c r="L42" s="139" t="s">
        <v>244</v>
      </c>
      <c r="M42" s="140">
        <v>10</v>
      </c>
      <c r="N42" s="102" t="s">
        <v>463</v>
      </c>
      <c r="O42" s="62" t="s">
        <v>214</v>
      </c>
      <c r="P42" s="62" t="s">
        <v>261</v>
      </c>
      <c r="Q42" s="152">
        <v>10</v>
      </c>
      <c r="R42" s="62"/>
      <c r="S42" s="73"/>
    </row>
    <row r="43" spans="6:19" ht="15.75" thickBot="1" x14ac:dyDescent="0.3">
      <c r="F43" s="180" t="s">
        <v>312</v>
      </c>
      <c r="G43" s="202" t="s">
        <v>313</v>
      </c>
      <c r="H43" s="204"/>
      <c r="I43" s="204"/>
      <c r="J43" s="89">
        <f>'Manpower &amp; time'!H8</f>
        <v>13.393483709273182</v>
      </c>
    </row>
    <row r="44" spans="6:19" ht="15.75" thickBot="1" x14ac:dyDescent="0.3">
      <c r="F44" s="181"/>
      <c r="G44" s="176" t="s">
        <v>324</v>
      </c>
      <c r="H44" s="177"/>
      <c r="I44" s="177"/>
      <c r="J44" s="90">
        <f>'Manpower &amp; time'!H9</f>
        <v>24.942982456140346</v>
      </c>
      <c r="L44" s="183" t="s">
        <v>514</v>
      </c>
      <c r="M44" s="184"/>
      <c r="N44" s="184"/>
      <c r="O44" s="184"/>
      <c r="P44" s="184"/>
      <c r="Q44" s="184"/>
      <c r="R44" s="185"/>
    </row>
    <row r="45" spans="6:19" x14ac:dyDescent="0.25">
      <c r="F45" s="181"/>
      <c r="G45" s="176" t="s">
        <v>466</v>
      </c>
      <c r="H45" s="177"/>
      <c r="I45" s="177"/>
      <c r="J45" s="90">
        <f>'Manpower &amp; time'!H10</f>
        <v>31.427944862155385</v>
      </c>
      <c r="L45" s="169" t="s">
        <v>476</v>
      </c>
      <c r="M45" s="196"/>
      <c r="N45" s="166" t="s">
        <v>280</v>
      </c>
      <c r="O45" s="166"/>
      <c r="P45" s="166"/>
      <c r="Q45" s="166"/>
      <c r="R45" s="77">
        <f>SUM(S3:S6)+S9</f>
        <v>17591.025600000001</v>
      </c>
    </row>
    <row r="46" spans="6:19" ht="15.75" thickBot="1" x14ac:dyDescent="0.3">
      <c r="F46" s="182"/>
      <c r="G46" s="186" t="s">
        <v>314</v>
      </c>
      <c r="H46" s="187"/>
      <c r="I46" s="187"/>
      <c r="J46" s="91">
        <f>'Manpower &amp; time'!H11</f>
        <v>43.761278195488714</v>
      </c>
      <c r="L46" s="161" t="s">
        <v>480</v>
      </c>
      <c r="M46" s="162"/>
      <c r="N46" s="160" t="s">
        <v>281</v>
      </c>
      <c r="O46" s="160"/>
      <c r="P46" s="160"/>
      <c r="Q46" s="160"/>
      <c r="R46" s="78">
        <f>R45/(M5*C7*C8)+J42</f>
        <v>25.63046306065139</v>
      </c>
    </row>
    <row r="47" spans="6:19" x14ac:dyDescent="0.25">
      <c r="J47" s="14"/>
      <c r="L47" s="37" t="s">
        <v>483</v>
      </c>
      <c r="M47" s="38">
        <v>2.5</v>
      </c>
      <c r="N47" s="160" t="s">
        <v>282</v>
      </c>
      <c r="O47" s="160"/>
      <c r="P47" s="160"/>
      <c r="Q47" s="160"/>
      <c r="R47" s="78">
        <f>R46+Q8+Q7</f>
        <v>47.03359906065139</v>
      </c>
    </row>
    <row r="48" spans="6:19" x14ac:dyDescent="0.25">
      <c r="J48" s="14"/>
      <c r="L48" s="37" t="s">
        <v>508</v>
      </c>
      <c r="M48" s="38">
        <v>0.5</v>
      </c>
      <c r="N48" s="160"/>
      <c r="O48" s="160"/>
      <c r="P48" s="160"/>
      <c r="Q48" s="160"/>
      <c r="R48" s="79"/>
    </row>
    <row r="49" spans="6:18" x14ac:dyDescent="0.25">
      <c r="I49" s="10"/>
      <c r="J49" s="14"/>
      <c r="L49" s="21"/>
      <c r="M49" s="22"/>
      <c r="N49" s="160" t="s">
        <v>267</v>
      </c>
      <c r="O49" s="160"/>
      <c r="P49" s="160"/>
      <c r="Q49" s="160"/>
      <c r="R49" s="80">
        <f>('Manpower &amp; time'!H8+R47)*M7/60</f>
        <v>1.0071180461654096E-4</v>
      </c>
    </row>
    <row r="50" spans="6:18" x14ac:dyDescent="0.25">
      <c r="I50" s="47"/>
      <c r="J50" s="14"/>
      <c r="L50" s="21"/>
      <c r="M50" s="22"/>
      <c r="N50" s="160" t="s">
        <v>471</v>
      </c>
      <c r="O50" s="160"/>
      <c r="P50" s="160"/>
      <c r="Q50" s="160"/>
      <c r="R50" s="81">
        <f>('Manpower &amp; time'!H8)*M7/60/R49</f>
        <v>0.22164703466273092</v>
      </c>
    </row>
    <row r="51" spans="6:18" x14ac:dyDescent="0.25">
      <c r="I51" s="1"/>
      <c r="J51" s="14"/>
      <c r="L51" s="21"/>
      <c r="M51" s="22"/>
      <c r="N51" s="160"/>
      <c r="O51" s="160"/>
      <c r="P51" s="160"/>
      <c r="Q51" s="160"/>
      <c r="R51" s="80"/>
    </row>
    <row r="52" spans="6:18" x14ac:dyDescent="0.25">
      <c r="L52" s="21"/>
      <c r="M52" s="22"/>
      <c r="N52" s="160" t="s">
        <v>270</v>
      </c>
      <c r="O52" s="160"/>
      <c r="P52" s="160"/>
      <c r="Q52" s="160"/>
      <c r="R52" s="80">
        <f>('Manpower &amp; time'!H8+J42)*M8/60</f>
        <v>2.1038762032581253E-5</v>
      </c>
    </row>
    <row r="53" spans="6:18" x14ac:dyDescent="0.25">
      <c r="J53" s="8"/>
      <c r="L53" s="21"/>
      <c r="M53" s="22"/>
      <c r="N53" s="160" t="s">
        <v>268</v>
      </c>
      <c r="O53" s="160"/>
      <c r="P53" s="160"/>
      <c r="Q53" s="160"/>
      <c r="R53" s="80">
        <f>('Manpower &amp; time'!H9+J42)*M8/60</f>
        <v>3.0663344321637223E-5</v>
      </c>
    </row>
    <row r="54" spans="6:18" x14ac:dyDescent="0.25">
      <c r="J54" s="7"/>
      <c r="L54" s="21"/>
      <c r="M54" s="22"/>
      <c r="N54" s="160" t="s">
        <v>269</v>
      </c>
      <c r="O54" s="160"/>
      <c r="P54" s="160"/>
      <c r="Q54" s="160"/>
      <c r="R54" s="80">
        <f>('Manpower &amp; time'!H11+J42)*M8/60</f>
        <v>4.6345257437760865E-5</v>
      </c>
    </row>
    <row r="55" spans="6:18" x14ac:dyDescent="0.25">
      <c r="J55" s="7"/>
      <c r="L55" s="21"/>
      <c r="M55" s="22"/>
      <c r="N55" s="160" t="s">
        <v>315</v>
      </c>
      <c r="O55" s="160"/>
      <c r="P55" s="160"/>
      <c r="Q55" s="160"/>
      <c r="R55" s="80">
        <f>('Manpower &amp; time'!H8+J42)*M$9/60</f>
        <v>1.6831009626065002E-5</v>
      </c>
    </row>
    <row r="56" spans="6:18" x14ac:dyDescent="0.25">
      <c r="J56" s="7"/>
      <c r="L56" s="21"/>
      <c r="M56" s="22"/>
      <c r="N56" s="160" t="s">
        <v>316</v>
      </c>
      <c r="O56" s="160"/>
      <c r="P56" s="160"/>
      <c r="Q56" s="160"/>
      <c r="R56" s="80">
        <f>('Manpower &amp; time'!H9+J42)*M$9/60</f>
        <v>2.4530675457309782E-5</v>
      </c>
    </row>
    <row r="57" spans="6:18" x14ac:dyDescent="0.25">
      <c r="J57" s="5"/>
      <c r="L57" s="21"/>
      <c r="M57" s="22"/>
      <c r="N57" s="160" t="s">
        <v>317</v>
      </c>
      <c r="O57" s="160"/>
      <c r="P57" s="160"/>
      <c r="Q57" s="160"/>
      <c r="R57" s="80">
        <f>('Manpower &amp; time'!H11+J42)*M$9/60</f>
        <v>3.7076205950208699E-5</v>
      </c>
    </row>
    <row r="58" spans="6:18" ht="15.75" thickBot="1" x14ac:dyDescent="0.3">
      <c r="L58" s="23"/>
      <c r="M58" s="24"/>
      <c r="N58" s="163" t="s">
        <v>279</v>
      </c>
      <c r="O58" s="163"/>
      <c r="P58" s="163"/>
      <c r="Q58" s="163"/>
      <c r="R58" s="82">
        <f>('Manpower &amp; time'!H8+R46)*(M10+M6)/60</f>
        <v>16.259977820801904</v>
      </c>
    </row>
    <row r="59" spans="6:18" x14ac:dyDescent="0.25">
      <c r="L59" s="164" t="s">
        <v>18</v>
      </c>
      <c r="M59" s="165"/>
      <c r="N59" s="166" t="s">
        <v>280</v>
      </c>
      <c r="O59" s="166"/>
      <c r="P59" s="166"/>
      <c r="Q59" s="166"/>
      <c r="R59" s="77">
        <f>SUM(S11:S14)+S17</f>
        <v>23026.025600000001</v>
      </c>
    </row>
    <row r="60" spans="6:18" x14ac:dyDescent="0.25">
      <c r="L60" s="174" t="s">
        <v>480</v>
      </c>
      <c r="M60" s="175"/>
      <c r="N60" s="160" t="s">
        <v>281</v>
      </c>
      <c r="O60" s="160"/>
      <c r="P60" s="160"/>
      <c r="Q60" s="160"/>
      <c r="R60" s="78">
        <f>R59/(M13*C7*C8)+J42</f>
        <v>29.887198649623823</v>
      </c>
    </row>
    <row r="61" spans="6:18" x14ac:dyDescent="0.25">
      <c r="J61" s="7"/>
      <c r="L61" s="39" t="s">
        <v>483</v>
      </c>
      <c r="M61" s="40">
        <v>2.5</v>
      </c>
      <c r="N61" s="160" t="s">
        <v>282</v>
      </c>
      <c r="O61" s="160"/>
      <c r="P61" s="160"/>
      <c r="Q61" s="160"/>
      <c r="R61" s="78">
        <f>R60+Q16+Q15</f>
        <v>41.753870649623828</v>
      </c>
    </row>
    <row r="62" spans="6:18" x14ac:dyDescent="0.25">
      <c r="L62" s="39" t="s">
        <v>508</v>
      </c>
      <c r="M62" s="40">
        <v>0.5</v>
      </c>
      <c r="N62" s="160"/>
      <c r="O62" s="160"/>
      <c r="P62" s="160"/>
      <c r="Q62" s="160"/>
      <c r="R62" s="79"/>
    </row>
    <row r="63" spans="6:18" x14ac:dyDescent="0.25">
      <c r="F63" s="11"/>
      <c r="L63" s="17"/>
      <c r="M63" s="18"/>
      <c r="N63" s="160" t="s">
        <v>267</v>
      </c>
      <c r="O63" s="160"/>
      <c r="P63" s="160"/>
      <c r="Q63" s="160"/>
      <c r="R63" s="80">
        <f>(J43+R61)*M15/60</f>
        <v>9.1912257264828361E-5</v>
      </c>
    </row>
    <row r="64" spans="6:18" x14ac:dyDescent="0.25">
      <c r="L64" s="17"/>
      <c r="M64" s="18"/>
      <c r="N64" s="160" t="s">
        <v>471</v>
      </c>
      <c r="O64" s="160"/>
      <c r="P64" s="160"/>
      <c r="Q64" s="160"/>
      <c r="R64" s="81">
        <f>(J43)*M15/60/R63</f>
        <v>0.24286720305944087</v>
      </c>
    </row>
    <row r="65" spans="12:18" x14ac:dyDescent="0.25">
      <c r="L65" s="17"/>
      <c r="M65" s="18"/>
      <c r="N65" s="160"/>
      <c r="O65" s="160"/>
      <c r="P65" s="160"/>
      <c r="Q65" s="160"/>
      <c r="R65" s="80"/>
    </row>
    <row r="66" spans="12:18" x14ac:dyDescent="0.25">
      <c r="L66" s="17"/>
      <c r="M66" s="18"/>
      <c r="N66" s="160" t="s">
        <v>270</v>
      </c>
      <c r="O66" s="160"/>
      <c r="P66" s="160"/>
      <c r="Q66" s="160"/>
      <c r="R66" s="80">
        <f>(J43+J42)*M$16/60</f>
        <v>2.1038762032581253E-5</v>
      </c>
    </row>
    <row r="67" spans="12:18" x14ac:dyDescent="0.25">
      <c r="L67" s="17"/>
      <c r="M67" s="18"/>
      <c r="N67" s="160" t="s">
        <v>268</v>
      </c>
      <c r="O67" s="160"/>
      <c r="P67" s="160"/>
      <c r="Q67" s="160"/>
      <c r="R67" s="80">
        <f>(J44+J42)*M$16/60</f>
        <v>3.0663344321637223E-5</v>
      </c>
    </row>
    <row r="68" spans="12:18" x14ac:dyDescent="0.25">
      <c r="L68" s="17"/>
      <c r="M68" s="18"/>
      <c r="N68" s="160" t="s">
        <v>269</v>
      </c>
      <c r="O68" s="160"/>
      <c r="P68" s="160"/>
      <c r="Q68" s="160"/>
      <c r="R68" s="80">
        <f>(J46+J42)*M$16/60</f>
        <v>4.6345257437760865E-5</v>
      </c>
    </row>
    <row r="69" spans="12:18" x14ac:dyDescent="0.25">
      <c r="L69" s="17"/>
      <c r="M69" s="18"/>
      <c r="N69" s="160" t="s">
        <v>315</v>
      </c>
      <c r="O69" s="160"/>
      <c r="P69" s="160"/>
      <c r="Q69" s="160"/>
      <c r="R69" s="80">
        <f>(J43+J42)*M$17/60</f>
        <v>1.6831009626065002E-5</v>
      </c>
    </row>
    <row r="70" spans="12:18" x14ac:dyDescent="0.25">
      <c r="L70" s="17"/>
      <c r="M70" s="18"/>
      <c r="N70" s="160" t="s">
        <v>316</v>
      </c>
      <c r="O70" s="160"/>
      <c r="P70" s="160"/>
      <c r="Q70" s="160"/>
      <c r="R70" s="80">
        <f>(J44+J42)*M$17/60</f>
        <v>2.4530675457309782E-5</v>
      </c>
    </row>
    <row r="71" spans="12:18" x14ac:dyDescent="0.25">
      <c r="L71" s="17"/>
      <c r="M71" s="18"/>
      <c r="N71" s="160" t="s">
        <v>317</v>
      </c>
      <c r="O71" s="160"/>
      <c r="P71" s="160"/>
      <c r="Q71" s="160"/>
      <c r="R71" s="80">
        <f>(J46+J42)*M$17/60</f>
        <v>3.7076205950208699E-5</v>
      </c>
    </row>
    <row r="72" spans="12:18" ht="15.75" thickBot="1" x14ac:dyDescent="0.3">
      <c r="L72" s="17"/>
      <c r="M72" s="18"/>
      <c r="N72" s="210" t="s">
        <v>279</v>
      </c>
      <c r="O72" s="210"/>
      <c r="P72" s="210"/>
      <c r="Q72" s="210"/>
      <c r="R72" s="154">
        <f>(J43+R60)*(M14+M18)/60</f>
        <v>14.426894119632333</v>
      </c>
    </row>
    <row r="73" spans="12:18" x14ac:dyDescent="0.25">
      <c r="L73" s="171" t="s">
        <v>405</v>
      </c>
      <c r="M73" s="173"/>
      <c r="N73" s="166" t="s">
        <v>280</v>
      </c>
      <c r="O73" s="166"/>
      <c r="P73" s="166"/>
      <c r="Q73" s="166"/>
      <c r="R73" s="77">
        <f>S19+S20</f>
        <v>27751.54031372827</v>
      </c>
    </row>
    <row r="74" spans="12:18" x14ac:dyDescent="0.25">
      <c r="L74" s="167" t="s">
        <v>481</v>
      </c>
      <c r="M74" s="168"/>
      <c r="N74" s="160" t="s">
        <v>281</v>
      </c>
      <c r="O74" s="160"/>
      <c r="P74" s="160"/>
      <c r="Q74" s="160"/>
      <c r="R74" s="78">
        <f>R73/(M21*C7*C8)+J42</f>
        <v>36.693292378345866</v>
      </c>
    </row>
    <row r="75" spans="12:18" x14ac:dyDescent="0.25">
      <c r="L75" s="35" t="s">
        <v>482</v>
      </c>
      <c r="M75" s="36">
        <f>'Laser cutter'!J14</f>
        <v>0.71739130434782605</v>
      </c>
      <c r="N75" s="160" t="s">
        <v>282</v>
      </c>
      <c r="O75" s="160"/>
      <c r="P75" s="160"/>
      <c r="Q75" s="160"/>
      <c r="R75" s="78">
        <f>R74+Q21+Q22</f>
        <v>42.235892378345866</v>
      </c>
    </row>
    <row r="76" spans="12:18" x14ac:dyDescent="0.25">
      <c r="L76" s="167"/>
      <c r="M76" s="168"/>
      <c r="N76" s="160"/>
      <c r="O76" s="160"/>
      <c r="P76" s="160"/>
      <c r="Q76" s="160"/>
      <c r="R76" s="79"/>
    </row>
    <row r="77" spans="12:18" x14ac:dyDescent="0.25">
      <c r="L77" s="167"/>
      <c r="M77" s="168"/>
      <c r="N77" s="160" t="s">
        <v>406</v>
      </c>
      <c r="O77" s="160"/>
      <c r="P77" s="160"/>
      <c r="Q77" s="160"/>
      <c r="R77" s="80">
        <f>(J43*0.4+R75)*M23/60</f>
        <v>3.6488185827575608E-4</v>
      </c>
    </row>
    <row r="78" spans="12:18" x14ac:dyDescent="0.25">
      <c r="L78" s="167"/>
      <c r="M78" s="168"/>
      <c r="N78" s="160" t="s">
        <v>471</v>
      </c>
      <c r="O78" s="160"/>
      <c r="P78" s="160"/>
      <c r="Q78" s="160"/>
      <c r="R78" s="81">
        <f>(J43)*M23/60/R77</f>
        <v>0.28141540275435051</v>
      </c>
    </row>
    <row r="79" spans="12:18" x14ac:dyDescent="0.25">
      <c r="L79" s="167"/>
      <c r="M79" s="168"/>
      <c r="N79" s="160"/>
      <c r="O79" s="160"/>
      <c r="P79" s="160"/>
      <c r="Q79" s="160"/>
      <c r="R79" s="141"/>
    </row>
    <row r="80" spans="12:18" x14ac:dyDescent="0.25">
      <c r="L80" s="167"/>
      <c r="M80" s="168"/>
      <c r="N80" s="160" t="s">
        <v>503</v>
      </c>
      <c r="O80" s="160"/>
      <c r="P80" s="160"/>
      <c r="Q80" s="160"/>
      <c r="R80" s="153">
        <f>(J43+J42)*M24/60</f>
        <v>0.63116286097743768</v>
      </c>
    </row>
    <row r="81" spans="12:19" x14ac:dyDescent="0.25">
      <c r="L81" s="167"/>
      <c r="M81" s="168"/>
      <c r="N81" s="160" t="s">
        <v>504</v>
      </c>
      <c r="O81" s="160"/>
      <c r="P81" s="160"/>
      <c r="Q81" s="160"/>
      <c r="R81" s="153">
        <f>(J44+J42)*M24/60</f>
        <v>0.91990032964911672</v>
      </c>
    </row>
    <row r="82" spans="12:19" x14ac:dyDescent="0.25">
      <c r="L82" s="167"/>
      <c r="M82" s="168"/>
      <c r="N82" s="160" t="s">
        <v>505</v>
      </c>
      <c r="O82" s="160"/>
      <c r="P82" s="160"/>
      <c r="Q82" s="160"/>
      <c r="R82" s="153">
        <f>(J43+J42)*M25/60</f>
        <v>0.42077524065162503</v>
      </c>
    </row>
    <row r="83" spans="12:19" x14ac:dyDescent="0.25">
      <c r="L83" s="167"/>
      <c r="M83" s="168"/>
      <c r="N83" s="160" t="s">
        <v>506</v>
      </c>
      <c r="O83" s="160"/>
      <c r="P83" s="160"/>
      <c r="Q83" s="160"/>
      <c r="R83" s="153">
        <f>(J44+J42)*M$25/60</f>
        <v>0.61326688643274452</v>
      </c>
    </row>
    <row r="84" spans="12:19" ht="15.75" thickBot="1" x14ac:dyDescent="0.3">
      <c r="L84" s="32"/>
      <c r="M84" s="33"/>
      <c r="N84" s="163" t="s">
        <v>279</v>
      </c>
      <c r="O84" s="163"/>
      <c r="P84" s="163"/>
      <c r="Q84" s="163"/>
      <c r="R84" s="82">
        <f>(J43+R74)*(M26+M22)/60</f>
        <v>10.852134818984128</v>
      </c>
    </row>
    <row r="85" spans="12:19" x14ac:dyDescent="0.25">
      <c r="L85" s="161" t="s">
        <v>24</v>
      </c>
      <c r="M85" s="162"/>
      <c r="N85" s="211" t="s">
        <v>280</v>
      </c>
      <c r="O85" s="211"/>
      <c r="P85" s="211"/>
      <c r="Q85" s="211"/>
      <c r="R85" s="155">
        <f>SUM(S27:S32)</f>
        <v>2176.9659999999999</v>
      </c>
    </row>
    <row r="86" spans="12:19" x14ac:dyDescent="0.25">
      <c r="L86" s="44"/>
      <c r="M86" s="45"/>
      <c r="N86" s="160" t="s">
        <v>281</v>
      </c>
      <c r="O86" s="160"/>
      <c r="P86" s="160"/>
      <c r="Q86" s="160"/>
      <c r="R86" s="97">
        <f>R85/(M29*C7*C8)+J42</f>
        <v>13.558047960400764</v>
      </c>
      <c r="S86" s="6"/>
    </row>
    <row r="87" spans="12:19" x14ac:dyDescent="0.25">
      <c r="L87" s="21"/>
      <c r="M87" s="22"/>
      <c r="N87" s="160" t="s">
        <v>282</v>
      </c>
      <c r="O87" s="160"/>
      <c r="P87" s="160"/>
      <c r="Q87" s="160"/>
      <c r="R87" s="97">
        <f>R86+Q33</f>
        <v>13.655922960400764</v>
      </c>
    </row>
    <row r="88" spans="12:19" x14ac:dyDescent="0.25">
      <c r="L88" s="21"/>
      <c r="M88" s="22"/>
      <c r="N88" s="160"/>
      <c r="O88" s="160"/>
      <c r="P88" s="160"/>
      <c r="Q88" s="160"/>
      <c r="R88" s="141"/>
    </row>
    <row r="89" spans="12:19" x14ac:dyDescent="0.25">
      <c r="L89" s="21"/>
      <c r="M89" s="22"/>
      <c r="N89" s="160" t="s">
        <v>453</v>
      </c>
      <c r="O89" s="160"/>
      <c r="P89" s="160"/>
      <c r="Q89" s="160"/>
      <c r="R89" s="61">
        <f>Q34+Q36+(R87+J45)*M30/60</f>
        <v>119.9587320090872</v>
      </c>
    </row>
    <row r="90" spans="12:19" x14ac:dyDescent="0.25">
      <c r="L90" s="21"/>
      <c r="M90" s="22"/>
      <c r="N90" s="160" t="s">
        <v>454</v>
      </c>
      <c r="O90" s="160"/>
      <c r="P90" s="160"/>
      <c r="Q90" s="160"/>
      <c r="R90" s="97">
        <f>Q35+Q36+(R87+J45)*M30/60</f>
        <v>119.92366995011754</v>
      </c>
    </row>
    <row r="91" spans="12:19" ht="15.75" thickBot="1" x14ac:dyDescent="0.3">
      <c r="L91" s="23"/>
      <c r="M91" s="24"/>
      <c r="N91" s="163"/>
      <c r="O91" s="163"/>
      <c r="P91" s="163"/>
      <c r="Q91" s="163"/>
      <c r="R91" s="73"/>
    </row>
    <row r="92" spans="12:19" x14ac:dyDescent="0.25">
      <c r="L92" s="164" t="s">
        <v>391</v>
      </c>
      <c r="M92" s="165"/>
      <c r="N92" s="166" t="s">
        <v>280</v>
      </c>
      <c r="O92" s="166"/>
      <c r="P92" s="166"/>
      <c r="Q92" s="166"/>
      <c r="R92" s="77">
        <f>SUM(S37:S40)</f>
        <v>4775</v>
      </c>
    </row>
    <row r="93" spans="12:19" x14ac:dyDescent="0.25">
      <c r="L93" s="42"/>
      <c r="M93" s="43"/>
      <c r="N93" s="160" t="s">
        <v>281</v>
      </c>
      <c r="O93" s="160"/>
      <c r="P93" s="160"/>
      <c r="Q93" s="160"/>
      <c r="R93" s="78">
        <f>R92/(M39*C7*C8)+J42</f>
        <v>18.652700358441319</v>
      </c>
    </row>
    <row r="94" spans="12:19" x14ac:dyDescent="0.25">
      <c r="L94" s="17"/>
      <c r="M94" s="18"/>
      <c r="N94" s="160" t="s">
        <v>282</v>
      </c>
      <c r="O94" s="160"/>
      <c r="P94" s="160"/>
      <c r="Q94" s="160"/>
      <c r="R94" s="78">
        <f>R93+Q42+Q41</f>
        <v>29.028540358441319</v>
      </c>
    </row>
    <row r="95" spans="12:19" x14ac:dyDescent="0.25">
      <c r="L95" s="17"/>
      <c r="M95" s="18"/>
      <c r="N95" s="160"/>
      <c r="O95" s="160"/>
      <c r="P95" s="160"/>
      <c r="Q95" s="160"/>
      <c r="R95" s="79"/>
    </row>
    <row r="96" spans="12:19" x14ac:dyDescent="0.25">
      <c r="L96" s="17"/>
      <c r="M96" s="18"/>
      <c r="N96" s="160" t="s">
        <v>267</v>
      </c>
      <c r="O96" s="160"/>
      <c r="P96" s="160"/>
      <c r="Q96" s="160"/>
      <c r="R96" s="80">
        <f>(J43+R94)*M41/60</f>
        <v>2.1211012033857249E-4</v>
      </c>
    </row>
    <row r="97" spans="12:18" ht="15.75" thickBot="1" x14ac:dyDescent="0.3">
      <c r="L97" s="19"/>
      <c r="M97" s="20"/>
      <c r="N97" s="163" t="s">
        <v>279</v>
      </c>
      <c r="O97" s="163"/>
      <c r="P97" s="163"/>
      <c r="Q97" s="163"/>
      <c r="R97" s="82">
        <f>(J43+R93)*(M40+M42)/60</f>
        <v>8.0115460169286248</v>
      </c>
    </row>
    <row r="118" ht="56.25" customHeight="1" x14ac:dyDescent="0.25"/>
  </sheetData>
  <mergeCells count="89">
    <mergeCell ref="N63:Q63"/>
    <mergeCell ref="N74:Q74"/>
    <mergeCell ref="N75:Q75"/>
    <mergeCell ref="N76:Q76"/>
    <mergeCell ref="N82:Q82"/>
    <mergeCell ref="N77:Q77"/>
    <mergeCell ref="N78:Q78"/>
    <mergeCell ref="N79:Q79"/>
    <mergeCell ref="N80:Q80"/>
    <mergeCell ref="N81:Q81"/>
    <mergeCell ref="N48:Q48"/>
    <mergeCell ref="N49:Q49"/>
    <mergeCell ref="N58:Q58"/>
    <mergeCell ref="N52:Q52"/>
    <mergeCell ref="N97:Q97"/>
    <mergeCell ref="N96:Q96"/>
    <mergeCell ref="N90:Q90"/>
    <mergeCell ref="N91:Q91"/>
    <mergeCell ref="N89:Q89"/>
    <mergeCell ref="N71:Q71"/>
    <mergeCell ref="N72:Q72"/>
    <mergeCell ref="N70:Q70"/>
    <mergeCell ref="N57:Q57"/>
    <mergeCell ref="N85:Q85"/>
    <mergeCell ref="N86:Q86"/>
    <mergeCell ref="N68:Q68"/>
    <mergeCell ref="F1:J1"/>
    <mergeCell ref="L1:S1"/>
    <mergeCell ref="A1:C1"/>
    <mergeCell ref="L45:M45"/>
    <mergeCell ref="F40:J40"/>
    <mergeCell ref="G42:I42"/>
    <mergeCell ref="G41:I41"/>
    <mergeCell ref="L37:M37"/>
    <mergeCell ref="G43:I43"/>
    <mergeCell ref="G44:I44"/>
    <mergeCell ref="D3:D6"/>
    <mergeCell ref="L11:M11"/>
    <mergeCell ref="O34:O35"/>
    <mergeCell ref="P34:P35"/>
    <mergeCell ref="N47:Q47"/>
    <mergeCell ref="G45:I45"/>
    <mergeCell ref="F41:F42"/>
    <mergeCell ref="F43:F46"/>
    <mergeCell ref="L44:R44"/>
    <mergeCell ref="G46:I46"/>
    <mergeCell ref="N45:Q45"/>
    <mergeCell ref="N46:Q46"/>
    <mergeCell ref="N73:Q73"/>
    <mergeCell ref="N50:Q50"/>
    <mergeCell ref="N51:Q51"/>
    <mergeCell ref="N64:Q64"/>
    <mergeCell ref="N65:Q65"/>
    <mergeCell ref="N53:Q53"/>
    <mergeCell ref="N54:Q54"/>
    <mergeCell ref="N55:Q55"/>
    <mergeCell ref="N56:Q56"/>
    <mergeCell ref="N66:Q66"/>
    <mergeCell ref="N67:Q67"/>
    <mergeCell ref="N69:Q69"/>
    <mergeCell ref="N59:Q59"/>
    <mergeCell ref="N60:Q60"/>
    <mergeCell ref="N61:Q61"/>
    <mergeCell ref="N62:Q62"/>
    <mergeCell ref="L80:M80"/>
    <mergeCell ref="L81:M81"/>
    <mergeCell ref="L82:M82"/>
    <mergeCell ref="L83:M83"/>
    <mergeCell ref="L3:M3"/>
    <mergeCell ref="L19:M19"/>
    <mergeCell ref="L73:M73"/>
    <mergeCell ref="L60:M60"/>
    <mergeCell ref="L46:M46"/>
    <mergeCell ref="L59:M59"/>
    <mergeCell ref="L74:M74"/>
    <mergeCell ref="L76:M76"/>
    <mergeCell ref="L77:M77"/>
    <mergeCell ref="L78:M78"/>
    <mergeCell ref="L79:M79"/>
    <mergeCell ref="N83:Q83"/>
    <mergeCell ref="N84:Q84"/>
    <mergeCell ref="L92:M92"/>
    <mergeCell ref="N92:Q92"/>
    <mergeCell ref="N93:Q93"/>
    <mergeCell ref="N94:Q94"/>
    <mergeCell ref="N95:Q95"/>
    <mergeCell ref="L85:M85"/>
    <mergeCell ref="N87:Q87"/>
    <mergeCell ref="N88:Q8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</sheetPr>
  <dimension ref="A1:S26"/>
  <sheetViews>
    <sheetView workbookViewId="0">
      <selection activeCell="H4" sqref="H4"/>
    </sheetView>
  </sheetViews>
  <sheetFormatPr baseColWidth="10" defaultRowHeight="15" x14ac:dyDescent="0.25"/>
  <cols>
    <col min="2" max="2" width="13.140625" bestFit="1" customWidth="1"/>
    <col min="3" max="3" width="20" bestFit="1" customWidth="1"/>
    <col min="5" max="5" width="9.5703125" bestFit="1" customWidth="1"/>
    <col min="7" max="7" width="12.85546875" bestFit="1" customWidth="1"/>
    <col min="9" max="10" width="25.28515625" bestFit="1" customWidth="1"/>
    <col min="15" max="15" width="20.7109375" bestFit="1" customWidth="1"/>
  </cols>
  <sheetData>
    <row r="1" spans="1:19" x14ac:dyDescent="0.25">
      <c r="A1" s="3" t="s">
        <v>13</v>
      </c>
    </row>
    <row r="3" spans="1:19" x14ac:dyDescent="0.25">
      <c r="A3" t="s">
        <v>89</v>
      </c>
      <c r="C3" t="s">
        <v>221</v>
      </c>
      <c r="D3" t="s">
        <v>220</v>
      </c>
      <c r="E3" t="s">
        <v>219</v>
      </c>
      <c r="F3" t="s">
        <v>193</v>
      </c>
      <c r="G3" t="s">
        <v>194</v>
      </c>
    </row>
    <row r="4" spans="1:19" x14ac:dyDescent="0.25">
      <c r="A4" t="s">
        <v>87</v>
      </c>
      <c r="B4" t="s">
        <v>326</v>
      </c>
      <c r="C4" t="s">
        <v>325</v>
      </c>
      <c r="E4">
        <v>208995</v>
      </c>
      <c r="G4" s="2">
        <f>E4/Summary!C14</f>
        <v>185010.26875818847</v>
      </c>
      <c r="H4" s="3" t="s">
        <v>88</v>
      </c>
      <c r="P4" t="s">
        <v>396</v>
      </c>
      <c r="Q4" t="s">
        <v>395</v>
      </c>
      <c r="R4" t="s">
        <v>397</v>
      </c>
      <c r="S4" t="s">
        <v>398</v>
      </c>
    </row>
    <row r="5" spans="1:19" x14ac:dyDescent="0.25">
      <c r="A5" t="s">
        <v>400</v>
      </c>
      <c r="B5" t="s">
        <v>402</v>
      </c>
      <c r="C5" t="s">
        <v>403</v>
      </c>
      <c r="F5">
        <v>126.82</v>
      </c>
      <c r="G5" s="2">
        <f>(1-Summary!C15)*'Laser cutter'!F5</f>
        <v>101.456</v>
      </c>
      <c r="H5" s="3" t="s">
        <v>399</v>
      </c>
      <c r="O5" t="s">
        <v>394</v>
      </c>
      <c r="P5">
        <v>76.5</v>
      </c>
      <c r="Q5">
        <v>6.2</v>
      </c>
      <c r="R5">
        <f>P5/3600</f>
        <v>2.1250000000000002E-2</v>
      </c>
      <c r="S5">
        <f>Q5/10</f>
        <v>0.62</v>
      </c>
    </row>
    <row r="6" spans="1:19" x14ac:dyDescent="0.25">
      <c r="O6" t="s">
        <v>401</v>
      </c>
      <c r="R6">
        <v>10.6</v>
      </c>
      <c r="S6">
        <v>20</v>
      </c>
    </row>
    <row r="7" spans="1:19" x14ac:dyDescent="0.25">
      <c r="R7">
        <f>R6*S6/S7</f>
        <v>341.93548387096774</v>
      </c>
      <c r="S7">
        <v>0.62</v>
      </c>
    </row>
    <row r="8" spans="1:19" x14ac:dyDescent="0.25">
      <c r="R8">
        <f>R7/R5/3600</f>
        <v>4.4697448872021921</v>
      </c>
    </row>
    <row r="9" spans="1:19" x14ac:dyDescent="0.25">
      <c r="B9" t="s">
        <v>338</v>
      </c>
      <c r="C9" t="s">
        <v>337</v>
      </c>
      <c r="D9" t="s">
        <v>339</v>
      </c>
      <c r="E9" t="s">
        <v>340</v>
      </c>
    </row>
    <row r="10" spans="1:19" x14ac:dyDescent="0.25">
      <c r="A10" t="s">
        <v>327</v>
      </c>
      <c r="B10" t="s">
        <v>328</v>
      </c>
      <c r="C10">
        <v>780</v>
      </c>
      <c r="D10">
        <v>0.81</v>
      </c>
      <c r="E10">
        <f>C10*25.4</f>
        <v>19812</v>
      </c>
      <c r="F10">
        <f t="shared" ref="F10:F11" si="0">1/E10</f>
        <v>5.0474459923278822E-5</v>
      </c>
    </row>
    <row r="11" spans="1:19" x14ac:dyDescent="0.25">
      <c r="B11" t="s">
        <v>329</v>
      </c>
      <c r="C11">
        <v>230</v>
      </c>
      <c r="D11">
        <v>1.63</v>
      </c>
      <c r="E11">
        <f t="shared" ref="E11:E26" si="1">C11*25.4</f>
        <v>5842</v>
      </c>
      <c r="F11">
        <f t="shared" si="0"/>
        <v>1.7117425539198904E-4</v>
      </c>
    </row>
    <row r="12" spans="1:19" x14ac:dyDescent="0.25">
      <c r="B12" t="s">
        <v>330</v>
      </c>
      <c r="C12">
        <v>125</v>
      </c>
      <c r="D12">
        <v>2.31</v>
      </c>
      <c r="E12">
        <f t="shared" si="1"/>
        <v>3175</v>
      </c>
      <c r="F12">
        <f>1/E12</f>
        <v>3.1496062992125983E-4</v>
      </c>
      <c r="I12" t="s">
        <v>473</v>
      </c>
      <c r="J12" t="s">
        <v>474</v>
      </c>
    </row>
    <row r="13" spans="1:19" x14ac:dyDescent="0.25">
      <c r="B13" t="s">
        <v>331</v>
      </c>
      <c r="C13">
        <v>86</v>
      </c>
      <c r="D13">
        <v>3.26</v>
      </c>
      <c r="E13">
        <f t="shared" si="1"/>
        <v>2184.4</v>
      </c>
      <c r="F13">
        <f t="shared" ref="F13:F26" si="2">1/E13</f>
        <v>4.5779161325764511E-4</v>
      </c>
      <c r="I13">
        <v>4.6000000000000001E-4</v>
      </c>
      <c r="J13">
        <v>3.3E-4</v>
      </c>
    </row>
    <row r="14" spans="1:19" x14ac:dyDescent="0.25">
      <c r="B14" t="s">
        <v>332</v>
      </c>
      <c r="C14">
        <v>74</v>
      </c>
      <c r="D14">
        <v>4.12</v>
      </c>
      <c r="E14">
        <f t="shared" si="1"/>
        <v>1879.6</v>
      </c>
      <c r="F14">
        <f t="shared" si="2"/>
        <v>5.3202809108320926E-4</v>
      </c>
      <c r="I14" t="s">
        <v>475</v>
      </c>
      <c r="J14" s="34">
        <f>J13/I13</f>
        <v>0.71739130434782605</v>
      </c>
    </row>
    <row r="15" spans="1:19" x14ac:dyDescent="0.25">
      <c r="B15" t="s">
        <v>333</v>
      </c>
      <c r="C15">
        <v>59</v>
      </c>
      <c r="D15">
        <v>5.82</v>
      </c>
      <c r="E15">
        <f t="shared" si="1"/>
        <v>1498.6</v>
      </c>
      <c r="F15">
        <f t="shared" si="2"/>
        <v>6.672894701721607E-4</v>
      </c>
    </row>
    <row r="16" spans="1:19" x14ac:dyDescent="0.25">
      <c r="B16" t="s">
        <v>334</v>
      </c>
      <c r="C16">
        <v>50</v>
      </c>
      <c r="D16">
        <v>6.35</v>
      </c>
      <c r="E16">
        <f t="shared" si="1"/>
        <v>1270</v>
      </c>
      <c r="F16">
        <f t="shared" si="2"/>
        <v>7.874015748031496E-4</v>
      </c>
    </row>
    <row r="17" spans="1:6" x14ac:dyDescent="0.25">
      <c r="B17" t="s">
        <v>335</v>
      </c>
      <c r="C17">
        <v>30</v>
      </c>
      <c r="D17">
        <v>7.9379999999999997</v>
      </c>
      <c r="E17">
        <f t="shared" si="1"/>
        <v>762</v>
      </c>
      <c r="F17">
        <f t="shared" si="2"/>
        <v>1.3123359580052493E-3</v>
      </c>
    </row>
    <row r="18" spans="1:6" x14ac:dyDescent="0.25">
      <c r="B18" t="s">
        <v>336</v>
      </c>
      <c r="C18">
        <v>23</v>
      </c>
      <c r="D18">
        <v>9.5250000000000004</v>
      </c>
      <c r="E18">
        <f t="shared" si="1"/>
        <v>584.19999999999993</v>
      </c>
      <c r="F18">
        <f t="shared" si="2"/>
        <v>1.7117425539198907E-3</v>
      </c>
    </row>
    <row r="19" spans="1:6" x14ac:dyDescent="0.25">
      <c r="A19" t="s">
        <v>341</v>
      </c>
      <c r="B19" t="s">
        <v>328</v>
      </c>
      <c r="C19">
        <v>780</v>
      </c>
      <c r="D19">
        <v>0.81</v>
      </c>
      <c r="E19">
        <f t="shared" si="1"/>
        <v>19812</v>
      </c>
      <c r="F19">
        <f t="shared" si="2"/>
        <v>5.0474459923278822E-5</v>
      </c>
    </row>
    <row r="20" spans="1:6" x14ac:dyDescent="0.25">
      <c r="B20" t="s">
        <v>329</v>
      </c>
      <c r="C20">
        <v>216</v>
      </c>
      <c r="D20">
        <v>1.63</v>
      </c>
      <c r="E20">
        <f t="shared" si="1"/>
        <v>5486.4</v>
      </c>
      <c r="F20">
        <f t="shared" si="2"/>
        <v>1.8226888305628464E-4</v>
      </c>
    </row>
    <row r="21" spans="1:6" x14ac:dyDescent="0.25">
      <c r="B21" t="s">
        <v>330</v>
      </c>
      <c r="C21">
        <v>74</v>
      </c>
      <c r="D21">
        <v>2.31</v>
      </c>
      <c r="E21">
        <f t="shared" si="1"/>
        <v>1879.6</v>
      </c>
      <c r="F21">
        <f t="shared" si="2"/>
        <v>5.3202809108320926E-4</v>
      </c>
    </row>
    <row r="22" spans="1:6" x14ac:dyDescent="0.25">
      <c r="B22" t="s">
        <v>331</v>
      </c>
      <c r="C22">
        <v>47</v>
      </c>
      <c r="D22">
        <v>3.26</v>
      </c>
      <c r="E22">
        <f t="shared" si="1"/>
        <v>1193.8</v>
      </c>
      <c r="F22">
        <f t="shared" si="2"/>
        <v>8.3766124979058477E-4</v>
      </c>
    </row>
    <row r="23" spans="1:6" x14ac:dyDescent="0.25">
      <c r="B23" t="s">
        <v>332</v>
      </c>
      <c r="C23">
        <v>24</v>
      </c>
      <c r="D23">
        <v>4.12</v>
      </c>
      <c r="E23">
        <f t="shared" si="1"/>
        <v>609.59999999999991</v>
      </c>
      <c r="F23">
        <f t="shared" si="2"/>
        <v>1.6404199475065619E-3</v>
      </c>
    </row>
    <row r="24" spans="1:6" x14ac:dyDescent="0.25">
      <c r="A24" t="s">
        <v>343</v>
      </c>
      <c r="B24" t="s">
        <v>342</v>
      </c>
      <c r="C24">
        <v>300</v>
      </c>
      <c r="D24">
        <v>0.81</v>
      </c>
      <c r="E24">
        <f t="shared" si="1"/>
        <v>7620</v>
      </c>
      <c r="F24">
        <f t="shared" si="2"/>
        <v>1.3123359580052493E-4</v>
      </c>
    </row>
    <row r="25" spans="1:6" x14ac:dyDescent="0.25">
      <c r="B25" t="s">
        <v>329</v>
      </c>
      <c r="C25">
        <v>120</v>
      </c>
      <c r="D25">
        <v>1.63</v>
      </c>
      <c r="E25">
        <f t="shared" si="1"/>
        <v>3048</v>
      </c>
      <c r="F25">
        <f t="shared" si="2"/>
        <v>3.2808398950131233E-4</v>
      </c>
    </row>
    <row r="26" spans="1:6" x14ac:dyDescent="0.25">
      <c r="B26" t="s">
        <v>330</v>
      </c>
      <c r="C26">
        <v>28</v>
      </c>
      <c r="D26">
        <v>2.31</v>
      </c>
      <c r="E26">
        <f t="shared" si="1"/>
        <v>711.19999999999993</v>
      </c>
      <c r="F26">
        <f t="shared" si="2"/>
        <v>1.4060742407199101E-3</v>
      </c>
    </row>
  </sheetData>
  <hyperlinks>
    <hyperlink ref="A1" r:id="rId1" xr:uid="{00000000-0004-0000-0900-000000000000}"/>
    <hyperlink ref="H4" r:id="rId2" xr:uid="{00000000-0004-0000-0900-000001000000}"/>
    <hyperlink ref="H5" r:id="rId3" xr:uid="{00000000-0004-0000-0900-000002000000}"/>
  </hyperlink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79998168889431442"/>
  </sheetPr>
  <dimension ref="A1:G34"/>
  <sheetViews>
    <sheetView workbookViewId="0">
      <selection activeCell="C17" sqref="C17"/>
    </sheetView>
  </sheetViews>
  <sheetFormatPr baseColWidth="10" defaultRowHeight="15" x14ac:dyDescent="0.25"/>
  <cols>
    <col min="1" max="1" width="56" bestFit="1" customWidth="1"/>
    <col min="2" max="2" width="19" customWidth="1"/>
  </cols>
  <sheetData>
    <row r="1" spans="1:7" x14ac:dyDescent="0.25">
      <c r="A1" t="s">
        <v>25</v>
      </c>
      <c r="B1" t="s">
        <v>221</v>
      </c>
      <c r="C1" t="s">
        <v>220</v>
      </c>
      <c r="D1" t="s">
        <v>219</v>
      </c>
      <c r="E1" t="s">
        <v>193</v>
      </c>
      <c r="F1" t="s">
        <v>194</v>
      </c>
      <c r="G1" t="s">
        <v>204</v>
      </c>
    </row>
    <row r="2" spans="1:7" x14ac:dyDescent="0.25">
      <c r="A2" t="s">
        <v>96</v>
      </c>
      <c r="F2" s="2">
        <v>4386</v>
      </c>
      <c r="G2" s="3" t="s">
        <v>97</v>
      </c>
    </row>
    <row r="3" spans="1:7" x14ac:dyDescent="0.25">
      <c r="A3" t="s">
        <v>239</v>
      </c>
      <c r="F3" s="2">
        <v>922.6</v>
      </c>
      <c r="G3" t="s">
        <v>240</v>
      </c>
    </row>
    <row r="4" spans="1:7" x14ac:dyDescent="0.25">
      <c r="A4" t="s">
        <v>38</v>
      </c>
      <c r="F4" s="2">
        <v>3859.6</v>
      </c>
      <c r="G4" s="3" t="s">
        <v>241</v>
      </c>
    </row>
    <row r="5" spans="1:7" x14ac:dyDescent="0.25">
      <c r="A5" t="s">
        <v>176</v>
      </c>
      <c r="F5" s="2">
        <v>8579</v>
      </c>
      <c r="G5" s="3" t="s">
        <v>177</v>
      </c>
    </row>
    <row r="6" spans="1:7" x14ac:dyDescent="0.25">
      <c r="A6" t="s">
        <v>101</v>
      </c>
      <c r="F6" s="2">
        <v>146</v>
      </c>
      <c r="G6" t="s">
        <v>100</v>
      </c>
    </row>
    <row r="7" spans="1:7" x14ac:dyDescent="0.25">
      <c r="A7" t="s">
        <v>103</v>
      </c>
      <c r="F7" s="2">
        <v>50</v>
      </c>
      <c r="G7" t="s">
        <v>102</v>
      </c>
    </row>
    <row r="8" spans="1:7" x14ac:dyDescent="0.25">
      <c r="F8" s="2"/>
    </row>
    <row r="9" spans="1:7" x14ac:dyDescent="0.25">
      <c r="A9" t="s">
        <v>105</v>
      </c>
      <c r="F9" s="2"/>
      <c r="G9" s="3" t="s">
        <v>104</v>
      </c>
    </row>
    <row r="12" spans="1:7" x14ac:dyDescent="0.25">
      <c r="A12" s="25" t="s">
        <v>409</v>
      </c>
      <c r="B12" s="25"/>
      <c r="C12" s="25" t="s">
        <v>204</v>
      </c>
    </row>
    <row r="13" spans="1:7" x14ac:dyDescent="0.25">
      <c r="A13" s="26" t="s">
        <v>410</v>
      </c>
      <c r="B13" s="27">
        <v>200</v>
      </c>
      <c r="C13" s="26" t="s">
        <v>411</v>
      </c>
    </row>
    <row r="14" spans="1:7" x14ac:dyDescent="0.25">
      <c r="A14" s="26" t="s">
        <v>412</v>
      </c>
      <c r="B14" s="26">
        <v>18</v>
      </c>
      <c r="C14" s="26" t="s">
        <v>411</v>
      </c>
    </row>
    <row r="15" spans="1:7" x14ac:dyDescent="0.25">
      <c r="A15" s="26" t="s">
        <v>413</v>
      </c>
      <c r="B15" s="28">
        <f>B14*5/228</f>
        <v>0.39473684210526316</v>
      </c>
      <c r="C15" s="26"/>
    </row>
    <row r="16" spans="1:7" x14ac:dyDescent="0.25">
      <c r="A16" s="26" t="s">
        <v>414</v>
      </c>
      <c r="B16" s="26">
        <v>5.5</v>
      </c>
      <c r="C16" s="26"/>
    </row>
    <row r="17" spans="1:4" x14ac:dyDescent="0.25">
      <c r="A17" s="26" t="s">
        <v>415</v>
      </c>
      <c r="B17" s="29">
        <f>B15*B13/B16</f>
        <v>14.354066985645932</v>
      </c>
      <c r="C17" s="26"/>
      <c r="D17" s="5"/>
    </row>
    <row r="19" spans="1:4" x14ac:dyDescent="0.25">
      <c r="A19" s="25" t="s">
        <v>416</v>
      </c>
      <c r="B19" s="25"/>
      <c r="C19" s="25" t="s">
        <v>204</v>
      </c>
    </row>
    <row r="20" spans="1:4" x14ac:dyDescent="0.25">
      <c r="A20" s="26" t="s">
        <v>417</v>
      </c>
      <c r="B20" s="26">
        <v>12.8</v>
      </c>
      <c r="C20" s="26" t="s">
        <v>411</v>
      </c>
    </row>
    <row r="21" spans="1:4" x14ac:dyDescent="0.25">
      <c r="A21" s="26" t="s">
        <v>418</v>
      </c>
      <c r="B21" s="26">
        <v>11</v>
      </c>
      <c r="C21" s="26" t="s">
        <v>411</v>
      </c>
    </row>
    <row r="22" spans="1:4" x14ac:dyDescent="0.25">
      <c r="A22" s="26" t="s">
        <v>419</v>
      </c>
      <c r="B22" s="26">
        <f>PI()*0.04*0.04*100*7.8</f>
        <v>3.9207076316800622</v>
      </c>
      <c r="C22" s="26"/>
    </row>
    <row r="23" spans="1:4" x14ac:dyDescent="0.25">
      <c r="A23" s="26" t="s">
        <v>420</v>
      </c>
      <c r="B23" s="27">
        <f>B20*B22/1000</f>
        <v>5.0185057685504804E-2</v>
      </c>
      <c r="C23" s="26"/>
    </row>
    <row r="25" spans="1:4" x14ac:dyDescent="0.25">
      <c r="A25" s="25" t="s">
        <v>421</v>
      </c>
      <c r="B25" s="25"/>
      <c r="C25" s="25" t="s">
        <v>204</v>
      </c>
    </row>
    <row r="26" spans="1:4" x14ac:dyDescent="0.25">
      <c r="A26" s="26" t="s">
        <v>417</v>
      </c>
      <c r="B26" s="26">
        <v>10.050000000000001</v>
      </c>
      <c r="C26" s="30" t="s">
        <v>422</v>
      </c>
    </row>
    <row r="27" spans="1:4" x14ac:dyDescent="0.25">
      <c r="A27" s="26" t="s">
        <v>423</v>
      </c>
      <c r="B27" s="26">
        <v>2</v>
      </c>
      <c r="C27" s="26" t="s">
        <v>411</v>
      </c>
    </row>
    <row r="28" spans="1:4" x14ac:dyDescent="0.25">
      <c r="A28" s="26" t="s">
        <v>419</v>
      </c>
      <c r="B28" s="26">
        <f>PI()*0.1*0.1*100*2.7</f>
        <v>8.4823001646924432</v>
      </c>
      <c r="C28" s="26"/>
    </row>
    <row r="29" spans="1:4" x14ac:dyDescent="0.25">
      <c r="A29" s="26" t="s">
        <v>420</v>
      </c>
      <c r="B29" s="27">
        <f>B26*B28/1000</f>
        <v>8.5247116655159064E-2</v>
      </c>
      <c r="C29" s="26"/>
    </row>
    <row r="30" spans="1:4" x14ac:dyDescent="0.25">
      <c r="C30" s="25"/>
    </row>
    <row r="31" spans="1:4" x14ac:dyDescent="0.25">
      <c r="A31" s="26" t="s">
        <v>445</v>
      </c>
      <c r="B31" s="26"/>
      <c r="C31" s="25" t="s">
        <v>204</v>
      </c>
    </row>
    <row r="32" spans="1:4" x14ac:dyDescent="0.25">
      <c r="A32" s="26" t="s">
        <v>446</v>
      </c>
      <c r="B32" s="31">
        <f>30/(2*PI()*0.034)</f>
        <v>140.43083213990764</v>
      </c>
      <c r="C32" s="26" t="s">
        <v>411</v>
      </c>
    </row>
    <row r="33" spans="1:3" x14ac:dyDescent="0.25">
      <c r="A33" s="26" t="s">
        <v>447</v>
      </c>
      <c r="B33" s="29">
        <f>'Manpower &amp; time'!H9/60</f>
        <v>0.41571637426900576</v>
      </c>
      <c r="C33" s="26"/>
    </row>
    <row r="34" spans="1:3" x14ac:dyDescent="0.25">
      <c r="A34" s="26" t="s">
        <v>448</v>
      </c>
      <c r="B34" s="29">
        <f>B33*B32</f>
        <v>58.37939637278177</v>
      </c>
      <c r="C34" s="26"/>
    </row>
  </sheetData>
  <hyperlinks>
    <hyperlink ref="G5" r:id="rId1" xr:uid="{00000000-0004-0000-0A00-000000000000}"/>
    <hyperlink ref="G9" r:id="rId2" xr:uid="{00000000-0004-0000-0A00-000001000000}"/>
    <hyperlink ref="C26" r:id="rId3" xr:uid="{00000000-0004-0000-0A00-000002000000}"/>
    <hyperlink ref="G2" r:id="rId4" xr:uid="{00000000-0004-0000-0A00-000003000000}"/>
    <hyperlink ref="G4" r:id="rId5" xr:uid="{00000000-0004-0000-0A00-000004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C3"/>
  <sheetViews>
    <sheetView workbookViewId="0">
      <selection activeCell="C6" sqref="C6"/>
    </sheetView>
  </sheetViews>
  <sheetFormatPr baseColWidth="10" defaultRowHeight="15" x14ac:dyDescent="0.25"/>
  <cols>
    <col min="1" max="1" width="35.140625" bestFit="1" customWidth="1"/>
    <col min="2" max="2" width="12.7109375" bestFit="1" customWidth="1"/>
    <col min="3" max="3" width="59.28515625" customWidth="1"/>
  </cols>
  <sheetData>
    <row r="1" spans="1:3" ht="15.75" thickBot="1" x14ac:dyDescent="0.3">
      <c r="A1" s="219" t="s">
        <v>25</v>
      </c>
      <c r="B1" s="231" t="s">
        <v>460</v>
      </c>
      <c r="C1" s="220" t="s">
        <v>204</v>
      </c>
    </row>
    <row r="2" spans="1:3" x14ac:dyDescent="0.25">
      <c r="A2" s="217" t="s">
        <v>458</v>
      </c>
      <c r="B2" s="222">
        <v>15000</v>
      </c>
      <c r="C2" s="218" t="s">
        <v>456</v>
      </c>
    </row>
    <row r="3" spans="1:3" ht="15.75" thickBot="1" x14ac:dyDescent="0.3">
      <c r="A3" s="215" t="s">
        <v>459</v>
      </c>
      <c r="B3" s="152">
        <v>10000</v>
      </c>
      <c r="C3" s="216" t="s">
        <v>457</v>
      </c>
    </row>
  </sheetData>
  <hyperlinks>
    <hyperlink ref="C3" r:id="rId1" xr:uid="{00000000-0004-0000-0B00-000000000000}"/>
    <hyperlink ref="C2" r:id="rId2" xr:uid="{A760E0EB-F23D-4561-BC97-F696B4CA42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69"/>
  <sheetViews>
    <sheetView workbookViewId="0">
      <selection activeCell="C73" sqref="C73"/>
    </sheetView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  <col min="13" max="13" width="13.5703125" customWidth="1"/>
    <col min="14" max="14" width="15.28515625" customWidth="1"/>
    <col min="15" max="15" width="12.5703125" customWidth="1"/>
    <col min="17" max="17" width="21.28515625" customWidth="1"/>
    <col min="19" max="19" width="15" customWidth="1"/>
    <col min="20" max="20" width="13.85546875" customWidth="1"/>
    <col min="21" max="22" width="14.42578125" customWidth="1"/>
    <col min="23" max="23" width="22.28515625" customWidth="1"/>
  </cols>
  <sheetData>
    <row r="1" spans="1:23" x14ac:dyDescent="0.25">
      <c r="A1" s="3" t="s">
        <v>5</v>
      </c>
      <c r="S1" s="3" t="s">
        <v>302</v>
      </c>
    </row>
    <row r="2" spans="1:23" x14ac:dyDescent="0.25">
      <c r="A2" t="s">
        <v>0</v>
      </c>
      <c r="G2" t="s">
        <v>9</v>
      </c>
      <c r="M2" t="s">
        <v>6</v>
      </c>
      <c r="S2" s="13">
        <v>5754</v>
      </c>
    </row>
    <row r="3" spans="1:23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300</v>
      </c>
      <c r="S3" t="s">
        <v>4</v>
      </c>
      <c r="T3" t="s">
        <v>1</v>
      </c>
      <c r="U3" t="s">
        <v>301</v>
      </c>
      <c r="V3" t="s">
        <v>7</v>
      </c>
      <c r="W3" t="s">
        <v>3</v>
      </c>
    </row>
    <row r="4" spans="1:23" x14ac:dyDescent="0.25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25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25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25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25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25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25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25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25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25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25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25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272</v>
      </c>
      <c r="S15" t="s">
        <v>6</v>
      </c>
      <c r="T15" t="s">
        <v>272</v>
      </c>
      <c r="U15" t="s">
        <v>489</v>
      </c>
    </row>
    <row r="16" spans="1:23" x14ac:dyDescent="0.25">
      <c r="D16" t="s">
        <v>8</v>
      </c>
      <c r="E16" s="1">
        <f>AVERAGE(E4:E15)</f>
        <v>3.7201299982926756E-5</v>
      </c>
      <c r="N16" t="s">
        <v>273</v>
      </c>
      <c r="O16" t="s">
        <v>2</v>
      </c>
      <c r="P16" t="s">
        <v>76</v>
      </c>
      <c r="Q16" t="s">
        <v>3</v>
      </c>
      <c r="S16" t="s">
        <v>490</v>
      </c>
      <c r="T16" t="s">
        <v>491</v>
      </c>
      <c r="U16" t="s">
        <v>492</v>
      </c>
      <c r="V16" t="s">
        <v>493</v>
      </c>
    </row>
    <row r="17" spans="1:22" x14ac:dyDescent="0.25">
      <c r="N17">
        <v>5</v>
      </c>
      <c r="O17">
        <v>500</v>
      </c>
      <c r="P17" s="2">
        <v>1.61</v>
      </c>
      <c r="Q17" s="12">
        <f>P17/(PI()*(N17/2)^2*O17)</f>
        <v>1.6399325336188895E-4</v>
      </c>
      <c r="S17">
        <v>40</v>
      </c>
      <c r="T17">
        <v>30</v>
      </c>
      <c r="U17" s="2">
        <v>39.020000000000003</v>
      </c>
      <c r="V17" s="1">
        <f>U17/(PI()*((S17/2)*(S17/2)-(T17/2)*(T17/2))*1000)</f>
        <v>7.0974010050808657E-5</v>
      </c>
    </row>
    <row r="18" spans="1:22" x14ac:dyDescent="0.25">
      <c r="N18">
        <v>10</v>
      </c>
      <c r="O18">
        <v>500</v>
      </c>
      <c r="P18" s="2">
        <v>4.5</v>
      </c>
      <c r="Q18" s="12">
        <f>P18/(PI()*(N18/2)^2*O18)</f>
        <v>1.1459155902616463E-4</v>
      </c>
      <c r="S18">
        <v>50</v>
      </c>
      <c r="T18">
        <v>30</v>
      </c>
      <c r="U18" s="2">
        <v>72.239999999999995</v>
      </c>
      <c r="V18" s="1">
        <f>U18/(PI()*((S18/2)*(S18/2)-(T18/2)*(T18/2))*1000)</f>
        <v>5.7486765444792583E-5</v>
      </c>
    </row>
    <row r="19" spans="1:22" x14ac:dyDescent="0.25">
      <c r="A19" t="s">
        <v>274</v>
      </c>
      <c r="B19" t="s">
        <v>272</v>
      </c>
      <c r="N19">
        <v>15</v>
      </c>
      <c r="O19">
        <v>500</v>
      </c>
      <c r="P19" s="2">
        <v>4.8</v>
      </c>
      <c r="Q19" s="12">
        <f t="shared" ref="Q19:Q21" si="5">P19/(PI()*(N19/2)^2*O19)</f>
        <v>5.432488724203361E-5</v>
      </c>
      <c r="S19">
        <v>50</v>
      </c>
      <c r="T19">
        <v>40</v>
      </c>
      <c r="U19" s="2">
        <v>37.700000000000003</v>
      </c>
      <c r="V19" s="1">
        <f>U19/(PI()*((S19/2)*(S19/2)-(T19/2)*(T19/2))*1000)</f>
        <v>5.333458981835071E-5</v>
      </c>
    </row>
    <row r="20" spans="1:22" x14ac:dyDescent="0.25">
      <c r="B20" t="s">
        <v>273</v>
      </c>
      <c r="C20" t="s">
        <v>2</v>
      </c>
      <c r="D20" t="s">
        <v>76</v>
      </c>
      <c r="E20" t="s">
        <v>3</v>
      </c>
      <c r="N20">
        <v>18</v>
      </c>
      <c r="O20">
        <v>500</v>
      </c>
      <c r="P20" s="2">
        <v>6.36</v>
      </c>
      <c r="Q20" s="12">
        <f t="shared" si="5"/>
        <v>4.9986441385898987E-5</v>
      </c>
      <c r="S20">
        <v>60</v>
      </c>
      <c r="T20">
        <v>50</v>
      </c>
      <c r="U20" s="2">
        <v>41.96</v>
      </c>
      <c r="V20" s="1">
        <f>U20/(PI()*((S20/2)*(S20/2)-(T20/2)*(T20/2))*1000)</f>
        <v>4.8568301179170389E-5</v>
      </c>
    </row>
    <row r="21" spans="1:22" x14ac:dyDescent="0.25">
      <c r="B21">
        <v>10</v>
      </c>
      <c r="C21">
        <v>500</v>
      </c>
      <c r="D21" s="2">
        <v>5.14</v>
      </c>
      <c r="E21" s="12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12">
        <f t="shared" si="5"/>
        <v>4.4195091635435405E-5</v>
      </c>
      <c r="S21">
        <v>100</v>
      </c>
      <c r="T21">
        <v>60</v>
      </c>
      <c r="U21" s="2">
        <v>330</v>
      </c>
      <c r="V21" s="1">
        <f>U21/(PI()*((S21/2)*(S21/2)-(T21/2)*(T21/2))*1000)</f>
        <v>6.5651414025406826E-5</v>
      </c>
    </row>
    <row r="22" spans="1:22" x14ac:dyDescent="0.25">
      <c r="B22">
        <v>20</v>
      </c>
      <c r="C22">
        <v>500</v>
      </c>
      <c r="D22" s="2">
        <v>8.35</v>
      </c>
      <c r="E22" s="12">
        <f t="shared" si="6"/>
        <v>5.3157750992693033E-5</v>
      </c>
      <c r="P22" t="s">
        <v>8</v>
      </c>
      <c r="Q22" s="12">
        <f>AVERAGE(Q17:Q21)</f>
        <v>8.541824653028432E-5</v>
      </c>
      <c r="U22" t="s">
        <v>8</v>
      </c>
      <c r="V22" s="1">
        <f>AVERAGE(V17:V21)</f>
        <v>5.9203016103705834E-5</v>
      </c>
    </row>
    <row r="23" spans="1:22" x14ac:dyDescent="0.25">
      <c r="B23">
        <v>20</v>
      </c>
      <c r="C23">
        <v>990</v>
      </c>
      <c r="D23" s="2">
        <v>17.13</v>
      </c>
      <c r="E23" s="12">
        <f t="shared" si="6"/>
        <v>5.5077256063922563E-5</v>
      </c>
      <c r="P23" s="2"/>
      <c r="S23">
        <v>6060</v>
      </c>
      <c r="T23" t="s">
        <v>494</v>
      </c>
    </row>
    <row r="24" spans="1:22" x14ac:dyDescent="0.25">
      <c r="B24">
        <v>25</v>
      </c>
      <c r="C24">
        <v>500</v>
      </c>
      <c r="D24" s="2">
        <v>13.11</v>
      </c>
      <c r="E24" s="12">
        <f t="shared" si="6"/>
        <v>5.3414945380729545E-5</v>
      </c>
      <c r="S24">
        <v>12</v>
      </c>
      <c r="T24">
        <v>11</v>
      </c>
      <c r="U24" s="2">
        <f>1.93*2</f>
        <v>3.86</v>
      </c>
      <c r="V24" s="1">
        <f>U24/(PI()*((S24/2)*(S24/2)-(T24/2)*(T24/2))*1000)</f>
        <v>2.1368281055120556E-4</v>
      </c>
    </row>
    <row r="25" spans="1:22" x14ac:dyDescent="0.25">
      <c r="B25">
        <v>25</v>
      </c>
      <c r="C25">
        <v>990</v>
      </c>
      <c r="D25" s="2">
        <v>26.99</v>
      </c>
      <c r="E25" s="12">
        <f t="shared" si="6"/>
        <v>5.5538966161457841E-5</v>
      </c>
      <c r="S25">
        <v>50</v>
      </c>
      <c r="T25">
        <v>46</v>
      </c>
      <c r="U25" s="2">
        <f>11.26*2</f>
        <v>22.52</v>
      </c>
      <c r="V25" s="1">
        <f>U25/(PI()*((S25/2)*(S25/2)-(T25/2)*(T25/2))*1000)</f>
        <v>7.4670194133947567E-5</v>
      </c>
    </row>
    <row r="26" spans="1:22" x14ac:dyDescent="0.25">
      <c r="B26">
        <v>30</v>
      </c>
      <c r="C26">
        <v>500</v>
      </c>
      <c r="D26" s="2">
        <v>16.059999999999999</v>
      </c>
      <c r="E26" s="12">
        <f t="shared" si="6"/>
        <v>4.5440504640992695E-5</v>
      </c>
      <c r="U26" s="2"/>
      <c r="V26" s="1"/>
    </row>
    <row r="27" spans="1:22" x14ac:dyDescent="0.25">
      <c r="B27">
        <v>35</v>
      </c>
      <c r="C27">
        <v>500</v>
      </c>
      <c r="D27" s="2">
        <v>16.059999999999999</v>
      </c>
      <c r="E27" s="12">
        <f t="shared" si="6"/>
        <v>3.338486055256606E-5</v>
      </c>
      <c r="U27" s="2"/>
      <c r="V27" s="1"/>
    </row>
    <row r="28" spans="1:22" x14ac:dyDescent="0.25">
      <c r="D28" t="s">
        <v>8</v>
      </c>
      <c r="E28" s="12">
        <f>AVERAGE(E21:E27)</f>
        <v>6.0986186998733781E-5</v>
      </c>
      <c r="U28" s="2"/>
      <c r="V28" s="1"/>
    </row>
    <row r="29" spans="1:22" x14ac:dyDescent="0.25">
      <c r="V29" s="1"/>
    </row>
    <row r="30" spans="1:22" x14ac:dyDescent="0.25">
      <c r="A30" s="3" t="s">
        <v>305</v>
      </c>
      <c r="G30" s="3" t="s">
        <v>304</v>
      </c>
      <c r="N30" s="3" t="s">
        <v>424</v>
      </c>
    </row>
    <row r="31" spans="1:22" x14ac:dyDescent="0.25">
      <c r="A31" t="s">
        <v>303</v>
      </c>
      <c r="B31" t="s">
        <v>272</v>
      </c>
      <c r="G31" t="s">
        <v>303</v>
      </c>
      <c r="H31" t="s">
        <v>272</v>
      </c>
      <c r="N31" t="s">
        <v>425</v>
      </c>
      <c r="O31" t="s">
        <v>272</v>
      </c>
    </row>
    <row r="32" spans="1:22" x14ac:dyDescent="0.25">
      <c r="B32" t="s">
        <v>273</v>
      </c>
      <c r="C32" t="s">
        <v>2</v>
      </c>
      <c r="D32" t="s">
        <v>76</v>
      </c>
      <c r="E32" t="s">
        <v>3</v>
      </c>
      <c r="H32" t="s">
        <v>273</v>
      </c>
      <c r="I32" t="s">
        <v>2</v>
      </c>
      <c r="J32" t="s">
        <v>76</v>
      </c>
      <c r="K32" t="s">
        <v>3</v>
      </c>
      <c r="O32" t="s">
        <v>273</v>
      </c>
      <c r="P32" t="s">
        <v>2</v>
      </c>
      <c r="Q32" t="s">
        <v>76</v>
      </c>
      <c r="R32" t="s">
        <v>495</v>
      </c>
    </row>
    <row r="33" spans="1:18" x14ac:dyDescent="0.25">
      <c r="B33">
        <v>10</v>
      </c>
      <c r="C33">
        <v>1000</v>
      </c>
      <c r="D33" s="2">
        <v>20.5</v>
      </c>
      <c r="E33" s="12">
        <f t="shared" ref="E33:E39" si="7">D33/(PI()*(B33/2)^2*C33)</f>
        <v>2.6101410667070835E-4</v>
      </c>
      <c r="H33">
        <v>10</v>
      </c>
      <c r="I33">
        <v>300</v>
      </c>
      <c r="J33" s="2">
        <v>9.41</v>
      </c>
      <c r="K33" s="12">
        <f t="shared" ref="K33:K36" si="8">J33/(PI()*(H33/2)^2*I33)</f>
        <v>3.9937280386526271E-4</v>
      </c>
      <c r="O33">
        <v>16</v>
      </c>
      <c r="P33">
        <v>1000</v>
      </c>
      <c r="Q33" s="2">
        <v>5.89</v>
      </c>
      <c r="R33" s="12">
        <f t="shared" ref="R33:R38" si="9">Q33/(PI()*(O33/2)^2*P33)</f>
        <v>2.9294456712851987E-5</v>
      </c>
    </row>
    <row r="34" spans="1:18" x14ac:dyDescent="0.25">
      <c r="B34">
        <v>16</v>
      </c>
      <c r="C34">
        <v>1000</v>
      </c>
      <c r="D34" s="2">
        <v>44.5</v>
      </c>
      <c r="E34" s="12">
        <f t="shared" si="7"/>
        <v>2.2132484273716698E-4</v>
      </c>
      <c r="H34">
        <v>16</v>
      </c>
      <c r="I34">
        <v>300</v>
      </c>
      <c r="J34" s="2">
        <v>15.77</v>
      </c>
      <c r="K34" s="12">
        <f t="shared" si="8"/>
        <v>2.6144515130824893E-4</v>
      </c>
      <c r="O34">
        <v>20</v>
      </c>
      <c r="P34">
        <v>1000</v>
      </c>
      <c r="Q34" s="2">
        <v>9.23</v>
      </c>
      <c r="R34" s="12">
        <f t="shared" si="9"/>
        <v>2.938000249476388E-5</v>
      </c>
    </row>
    <row r="35" spans="1:18" x14ac:dyDescent="0.25">
      <c r="B35">
        <v>20</v>
      </c>
      <c r="C35">
        <v>1000</v>
      </c>
      <c r="D35" s="2">
        <v>66.75</v>
      </c>
      <c r="E35" s="12">
        <f t="shared" si="7"/>
        <v>2.1247184902768027E-4</v>
      </c>
      <c r="H35">
        <v>20</v>
      </c>
      <c r="I35">
        <v>300</v>
      </c>
      <c r="J35" s="2">
        <v>23.4</v>
      </c>
      <c r="K35" s="12">
        <f t="shared" si="8"/>
        <v>2.4828171122335673E-4</v>
      </c>
      <c r="O35">
        <v>25</v>
      </c>
      <c r="P35">
        <v>1000</v>
      </c>
      <c r="Q35" s="2">
        <v>14.44</v>
      </c>
      <c r="R35" s="12">
        <f t="shared" si="9"/>
        <v>2.9416926441561197E-5</v>
      </c>
    </row>
    <row r="36" spans="1:18" x14ac:dyDescent="0.25">
      <c r="B36">
        <v>40</v>
      </c>
      <c r="C36">
        <v>1000</v>
      </c>
      <c r="D36" s="2">
        <v>251.5</v>
      </c>
      <c r="E36" s="12">
        <f t="shared" si="7"/>
        <v>2.0013734093805838E-4</v>
      </c>
      <c r="H36">
        <v>40</v>
      </c>
      <c r="I36">
        <v>300</v>
      </c>
      <c r="J36" s="2">
        <v>81.7</v>
      </c>
      <c r="K36" s="12">
        <f t="shared" si="8"/>
        <v>2.1671598084346415E-4</v>
      </c>
      <c r="O36">
        <v>40</v>
      </c>
      <c r="P36">
        <v>1000</v>
      </c>
      <c r="Q36" s="2">
        <v>34.869999999999997</v>
      </c>
      <c r="R36" s="12">
        <f t="shared" si="9"/>
        <v>2.7748664328071946E-5</v>
      </c>
    </row>
    <row r="37" spans="1:18" x14ac:dyDescent="0.25">
      <c r="B37">
        <v>50</v>
      </c>
      <c r="C37">
        <v>1000</v>
      </c>
      <c r="D37" s="2">
        <v>390</v>
      </c>
      <c r="E37" s="12">
        <f t="shared" si="7"/>
        <v>1.9862536897868538E-4</v>
      </c>
      <c r="J37" t="s">
        <v>8</v>
      </c>
      <c r="K37" s="12">
        <f>AVERAGE(K33:K36)</f>
        <v>2.8145391181008314E-4</v>
      </c>
      <c r="O37">
        <v>60</v>
      </c>
      <c r="P37">
        <v>1000</v>
      </c>
      <c r="Q37" s="2">
        <v>83.14</v>
      </c>
      <c r="R37" s="12">
        <f t="shared" si="9"/>
        <v>2.9404759930355956E-5</v>
      </c>
    </row>
    <row r="38" spans="1:18" x14ac:dyDescent="0.25">
      <c r="B38">
        <v>60</v>
      </c>
      <c r="C38">
        <v>1000</v>
      </c>
      <c r="D38" s="2">
        <v>560</v>
      </c>
      <c r="E38" s="12">
        <f t="shared" si="7"/>
        <v>1.9805948473658087E-4</v>
      </c>
      <c r="J38" s="2"/>
      <c r="K38" s="12"/>
      <c r="O38">
        <v>80</v>
      </c>
      <c r="P38">
        <v>1000</v>
      </c>
      <c r="Q38" s="2">
        <v>139.55000000000001</v>
      </c>
      <c r="R38" s="12">
        <f t="shared" si="9"/>
        <v>2.7762590385592491E-5</v>
      </c>
    </row>
    <row r="39" spans="1:18" x14ac:dyDescent="0.25">
      <c r="B39">
        <v>80</v>
      </c>
      <c r="C39">
        <v>1000</v>
      </c>
      <c r="D39" s="2">
        <v>992.5</v>
      </c>
      <c r="E39" s="12">
        <f t="shared" si="7"/>
        <v>1.9745160127338264E-4</v>
      </c>
      <c r="J39" s="2"/>
      <c r="K39" s="12"/>
      <c r="Q39" t="s">
        <v>8</v>
      </c>
      <c r="R39" s="12">
        <f>AVERAGE(R33:R38)</f>
        <v>2.8834566715532905E-5</v>
      </c>
    </row>
    <row r="40" spans="1:18" x14ac:dyDescent="0.25">
      <c r="D40" t="s">
        <v>8</v>
      </c>
      <c r="E40" s="12">
        <f>AVERAGE(E33:E39)</f>
        <v>2.1272637062318042E-4</v>
      </c>
      <c r="K40" s="12"/>
    </row>
    <row r="43" spans="1:18" x14ac:dyDescent="0.25">
      <c r="A43" s="3" t="s">
        <v>426</v>
      </c>
    </row>
    <row r="44" spans="1:18" x14ac:dyDescent="0.25">
      <c r="A44" t="s">
        <v>427</v>
      </c>
      <c r="B44" t="s">
        <v>428</v>
      </c>
    </row>
    <row r="45" spans="1:18" x14ac:dyDescent="0.25">
      <c r="A45" t="s">
        <v>4</v>
      </c>
      <c r="B45" t="s">
        <v>1</v>
      </c>
      <c r="C45" t="s">
        <v>2</v>
      </c>
      <c r="D45" t="s">
        <v>7</v>
      </c>
      <c r="E45" t="s">
        <v>3</v>
      </c>
    </row>
    <row r="46" spans="1:18" x14ac:dyDescent="0.25">
      <c r="A46">
        <v>1.5</v>
      </c>
      <c r="B46">
        <v>1000</v>
      </c>
      <c r="C46">
        <v>1000</v>
      </c>
      <c r="D46" s="2">
        <v>34.5</v>
      </c>
      <c r="E46" s="1">
        <f>D46/(A46*B46*C46)</f>
        <v>2.3E-5</v>
      </c>
    </row>
    <row r="48" spans="1:18" x14ac:dyDescent="0.25">
      <c r="A48" t="s">
        <v>429</v>
      </c>
      <c r="G48" t="s">
        <v>430</v>
      </c>
    </row>
    <row r="49" spans="1:10" x14ac:dyDescent="0.25">
      <c r="A49" t="s">
        <v>431</v>
      </c>
      <c r="B49" t="s">
        <v>76</v>
      </c>
      <c r="C49" t="s">
        <v>432</v>
      </c>
      <c r="D49" t="s">
        <v>496</v>
      </c>
      <c r="G49" t="s">
        <v>431</v>
      </c>
      <c r="H49" t="s">
        <v>433</v>
      </c>
      <c r="I49" t="s">
        <v>434</v>
      </c>
      <c r="J49" t="s">
        <v>3</v>
      </c>
    </row>
    <row r="50" spans="1:10" x14ac:dyDescent="0.25">
      <c r="A50" t="s">
        <v>435</v>
      </c>
      <c r="B50" s="2">
        <v>86.4</v>
      </c>
      <c r="C50">
        <f>60*25*3020</f>
        <v>4530000</v>
      </c>
      <c r="D50" s="1">
        <f>B50/C50</f>
        <v>1.9072847682119207E-5</v>
      </c>
      <c r="G50" t="s">
        <v>436</v>
      </c>
      <c r="H50" s="9">
        <v>1.1000000000000001</v>
      </c>
      <c r="I50" s="1">
        <f>7770/(POWER(1000,3))</f>
        <v>7.7700000000000001E-6</v>
      </c>
      <c r="J50" s="1">
        <f>I50*H50</f>
        <v>8.5470000000000013E-6</v>
      </c>
    </row>
    <row r="51" spans="1:10" x14ac:dyDescent="0.25">
      <c r="A51" t="s">
        <v>437</v>
      </c>
      <c r="B51" s="2">
        <v>60</v>
      </c>
      <c r="C51">
        <f>PI()*10*10*12000</f>
        <v>3769911.1843077517</v>
      </c>
      <c r="D51" s="1">
        <f t="shared" ref="D51:D60" si="10">B51/C51</f>
        <v>1.5915494309189534E-5</v>
      </c>
      <c r="G51" t="s">
        <v>438</v>
      </c>
      <c r="H51" s="9">
        <v>2.5</v>
      </c>
      <c r="I51" s="1">
        <f t="shared" ref="I51:I52" si="11">7770/(POWER(1000,3))</f>
        <v>7.7700000000000001E-6</v>
      </c>
      <c r="J51" s="1">
        <f t="shared" ref="J51:J53" si="12">I51*H51</f>
        <v>1.9425000000000001E-5</v>
      </c>
    </row>
    <row r="52" spans="1:10" x14ac:dyDescent="0.25">
      <c r="A52" t="s">
        <v>439</v>
      </c>
      <c r="B52" s="2">
        <v>28.32</v>
      </c>
      <c r="C52">
        <f>PI()*17.5*17.5*3000</f>
        <v>2886338.2504856223</v>
      </c>
      <c r="D52" s="1">
        <f t="shared" si="10"/>
        <v>9.8117398386121925E-6</v>
      </c>
      <c r="G52" t="s">
        <v>440</v>
      </c>
      <c r="H52" s="9">
        <v>2.5</v>
      </c>
      <c r="I52" s="1">
        <f t="shared" si="11"/>
        <v>7.7700000000000001E-6</v>
      </c>
      <c r="J52" s="1">
        <f t="shared" si="12"/>
        <v>1.9425000000000001E-5</v>
      </c>
    </row>
    <row r="53" spans="1:10" x14ac:dyDescent="0.25">
      <c r="A53" t="s">
        <v>441</v>
      </c>
      <c r="B53" s="2">
        <v>35.4</v>
      </c>
      <c r="C53">
        <f>80*15*3000</f>
        <v>3600000</v>
      </c>
      <c r="D53" s="1">
        <f t="shared" si="10"/>
        <v>9.8333333333333329E-6</v>
      </c>
      <c r="G53" t="s">
        <v>442</v>
      </c>
      <c r="H53" s="9">
        <v>18</v>
      </c>
      <c r="I53" s="1">
        <f>2700/(POWER(1000,3))</f>
        <v>2.7E-6</v>
      </c>
      <c r="J53" s="1">
        <f t="shared" si="12"/>
        <v>4.8600000000000002E-5</v>
      </c>
    </row>
    <row r="54" spans="1:10" x14ac:dyDescent="0.25">
      <c r="A54" t="s">
        <v>441</v>
      </c>
      <c r="B54" s="2">
        <v>81.599999999999994</v>
      </c>
      <c r="C54">
        <f>70*20*6000</f>
        <v>8400000</v>
      </c>
      <c r="D54" s="1">
        <f t="shared" si="10"/>
        <v>9.7142857142857135E-6</v>
      </c>
    </row>
    <row r="55" spans="1:10" x14ac:dyDescent="0.25">
      <c r="A55" t="s">
        <v>443</v>
      </c>
      <c r="B55" s="2">
        <v>8</v>
      </c>
      <c r="C55">
        <f>30*30*100</f>
        <v>90000</v>
      </c>
      <c r="D55" s="1">
        <f t="shared" si="10"/>
        <v>8.8888888888888893E-5</v>
      </c>
      <c r="I55" s="1"/>
    </row>
    <row r="56" spans="1:10" x14ac:dyDescent="0.25">
      <c r="A56" t="s">
        <v>443</v>
      </c>
      <c r="B56" s="2">
        <v>50</v>
      </c>
      <c r="C56">
        <f>140*50*285</f>
        <v>1995000</v>
      </c>
      <c r="D56" s="1">
        <f t="shared" si="10"/>
        <v>2.5062656641604011E-5</v>
      </c>
    </row>
    <row r="57" spans="1:10" x14ac:dyDescent="0.25">
      <c r="A57" t="s">
        <v>443</v>
      </c>
      <c r="B57" s="2">
        <v>46.2</v>
      </c>
      <c r="C57">
        <f>160*50*260</f>
        <v>2080000</v>
      </c>
      <c r="D57" s="1">
        <f t="shared" si="10"/>
        <v>2.2211538461538464E-5</v>
      </c>
    </row>
    <row r="58" spans="1:10" x14ac:dyDescent="0.25">
      <c r="A58" t="s">
        <v>444</v>
      </c>
      <c r="B58" s="2">
        <v>28</v>
      </c>
      <c r="C58">
        <f>PI()*65*65*103</f>
        <v>1367142.5830259381</v>
      </c>
      <c r="D58" s="1">
        <f t="shared" si="10"/>
        <v>2.0480672862977284E-5</v>
      </c>
    </row>
    <row r="59" spans="1:10" x14ac:dyDescent="0.25">
      <c r="A59" t="s">
        <v>444</v>
      </c>
      <c r="B59" s="2">
        <v>35.700000000000003</v>
      </c>
      <c r="C59">
        <f>PI()*65*65*113</f>
        <v>1499874.8726401068</v>
      </c>
      <c r="D59" s="1">
        <f t="shared" si="10"/>
        <v>2.380198551973887E-5</v>
      </c>
    </row>
    <row r="60" spans="1:10" x14ac:dyDescent="0.25">
      <c r="A60" t="s">
        <v>444</v>
      </c>
      <c r="B60" s="2">
        <v>13</v>
      </c>
      <c r="C60">
        <f>PI()*10*10*2000</f>
        <v>628318.5307179587</v>
      </c>
      <c r="D60" s="1">
        <f t="shared" si="10"/>
        <v>2.0690142601946392E-5</v>
      </c>
    </row>
    <row r="61" spans="1:10" x14ac:dyDescent="0.25">
      <c r="B61" s="2"/>
      <c r="C61" t="s">
        <v>497</v>
      </c>
      <c r="D61" s="1">
        <f>AVERAGE(D51,D50)</f>
        <v>1.7494170995654369E-5</v>
      </c>
    </row>
    <row r="62" spans="1:10" x14ac:dyDescent="0.25">
      <c r="C62" t="s">
        <v>8</v>
      </c>
      <c r="D62" s="1">
        <f>AVERAGE(D56:D60)</f>
        <v>2.2449399217561005E-5</v>
      </c>
    </row>
    <row r="64" spans="1:10" x14ac:dyDescent="0.25">
      <c r="A64" t="s">
        <v>498</v>
      </c>
    </row>
    <row r="65" spans="1:7" x14ac:dyDescent="0.25">
      <c r="A65" t="s">
        <v>4</v>
      </c>
      <c r="B65" t="s">
        <v>1</v>
      </c>
      <c r="C65" t="s">
        <v>2</v>
      </c>
      <c r="D65" t="s">
        <v>499</v>
      </c>
      <c r="E65" t="s">
        <v>7</v>
      </c>
      <c r="F65" t="s">
        <v>3</v>
      </c>
      <c r="G65" t="s">
        <v>204</v>
      </c>
    </row>
    <row r="66" spans="1:7" x14ac:dyDescent="0.25">
      <c r="A66">
        <v>80</v>
      </c>
      <c r="B66">
        <v>1000</v>
      </c>
      <c r="C66">
        <v>2000</v>
      </c>
      <c r="D66">
        <v>1284</v>
      </c>
      <c r="E66" s="2">
        <f>D66*C66*B66/1000000</f>
        <v>2568</v>
      </c>
      <c r="F66" s="1">
        <f>E66/(A66*B66*C66)</f>
        <v>1.605E-5</v>
      </c>
      <c r="G66" s="3" t="s">
        <v>500</v>
      </c>
    </row>
    <row r="67" spans="1:7" x14ac:dyDescent="0.25">
      <c r="A67">
        <v>50</v>
      </c>
      <c r="B67">
        <v>1000</v>
      </c>
      <c r="C67">
        <v>2000</v>
      </c>
      <c r="D67">
        <v>990</v>
      </c>
      <c r="E67" s="2">
        <f>D67*C67*B67/1000000</f>
        <v>1980</v>
      </c>
      <c r="F67" s="1">
        <f>E67/(A67*B67*C67)</f>
        <v>1.98E-5</v>
      </c>
    </row>
    <row r="68" spans="1:7" x14ac:dyDescent="0.25">
      <c r="A68">
        <v>30</v>
      </c>
      <c r="B68">
        <v>1000</v>
      </c>
      <c r="C68">
        <v>2000</v>
      </c>
      <c r="D68">
        <v>594</v>
      </c>
      <c r="E68" s="2">
        <f>D68*C68*B68/1000000</f>
        <v>1188</v>
      </c>
      <c r="F68" s="1">
        <f>E68/(A68*B68*C68)</f>
        <v>1.98E-5</v>
      </c>
    </row>
    <row r="69" spans="1:7" x14ac:dyDescent="0.25">
      <c r="A69">
        <v>40</v>
      </c>
      <c r="B69">
        <v>1000</v>
      </c>
      <c r="C69">
        <v>2000</v>
      </c>
      <c r="D69">
        <v>792</v>
      </c>
      <c r="E69" s="2">
        <f>D69*C69*B69/1000000</f>
        <v>1584</v>
      </c>
      <c r="F69" s="1">
        <f>E69/(A69*B69*C69)</f>
        <v>1.98E-5</v>
      </c>
    </row>
  </sheetData>
  <hyperlinks>
    <hyperlink ref="A1" r:id="rId1" xr:uid="{00000000-0004-0000-0C00-000000000000}"/>
    <hyperlink ref="S1" r:id="rId2" xr:uid="{00000000-0004-0000-0C00-000001000000}"/>
    <hyperlink ref="G30" r:id="rId3" xr:uid="{00000000-0004-0000-0C00-000002000000}"/>
    <hyperlink ref="N30" r:id="rId4" location="/alliage-25cd4" xr:uid="{00000000-0004-0000-0C00-000003000000}"/>
    <hyperlink ref="A43" r:id="rId5" xr:uid="{00000000-0004-0000-0C00-000004000000}"/>
    <hyperlink ref="G66" r:id="rId6" xr:uid="{00000000-0004-0000-0C00-000005000000}"/>
    <hyperlink ref="A30" r:id="rId7" xr:uid="{00000000-0004-0000-0C00-00000600000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L43"/>
  <sheetViews>
    <sheetView zoomScale="99" workbookViewId="0">
      <selection activeCell="G4" sqref="G4"/>
    </sheetView>
  </sheetViews>
  <sheetFormatPr baseColWidth="10" defaultRowHeight="15" x14ac:dyDescent="0.25"/>
  <cols>
    <col min="1" max="1" width="17.85546875" customWidth="1"/>
    <col min="2" max="2" width="43.7109375" bestFit="1" customWidth="1"/>
    <col min="3" max="3" width="19.28515625" customWidth="1"/>
    <col min="4" max="4" width="30.85546875" customWidth="1"/>
    <col min="5" max="5" width="48.7109375" bestFit="1" customWidth="1"/>
    <col min="6" max="6" width="19" bestFit="1" customWidth="1"/>
    <col min="7" max="7" width="25.85546875" bestFit="1" customWidth="1"/>
    <col min="8" max="8" width="24.85546875" bestFit="1" customWidth="1"/>
    <col min="9" max="9" width="25.85546875" customWidth="1"/>
    <col min="10" max="10" width="10.140625" bestFit="1" customWidth="1"/>
    <col min="11" max="11" width="12.5703125" bestFit="1" customWidth="1"/>
    <col min="12" max="12" width="9" bestFit="1" customWidth="1"/>
    <col min="14" max="14" width="18" bestFit="1" customWidth="1"/>
    <col min="15" max="15" width="19.42578125" bestFit="1" customWidth="1"/>
    <col min="17" max="17" width="12.5703125" bestFit="1" customWidth="1"/>
  </cols>
  <sheetData>
    <row r="1" spans="1:8" ht="15.75" thickBot="1" x14ac:dyDescent="0.3">
      <c r="A1" s="239" t="s">
        <v>204</v>
      </c>
      <c r="B1" s="219" t="s">
        <v>25</v>
      </c>
      <c r="C1" s="268" t="s">
        <v>204</v>
      </c>
      <c r="D1" s="268"/>
      <c r="E1" s="268"/>
      <c r="F1" s="269"/>
    </row>
    <row r="2" spans="1:8" x14ac:dyDescent="0.25">
      <c r="A2" s="241"/>
      <c r="B2" s="212" t="s">
        <v>141</v>
      </c>
      <c r="C2" s="270" t="s">
        <v>98</v>
      </c>
      <c r="D2" s="270"/>
      <c r="E2" s="270"/>
      <c r="F2" s="264"/>
    </row>
    <row r="3" spans="1:8" x14ac:dyDescent="0.25">
      <c r="A3" s="241"/>
      <c r="B3" s="213" t="s">
        <v>142</v>
      </c>
      <c r="C3" s="267" t="s">
        <v>99</v>
      </c>
      <c r="D3" s="267"/>
      <c r="E3" s="267"/>
      <c r="F3" s="265"/>
    </row>
    <row r="4" spans="1:8" ht="15.75" thickBot="1" x14ac:dyDescent="0.3">
      <c r="A4" s="242"/>
      <c r="B4" s="215" t="s">
        <v>145</v>
      </c>
      <c r="C4" s="271" t="s">
        <v>144</v>
      </c>
      <c r="D4" s="271"/>
      <c r="E4" s="271"/>
      <c r="F4" s="266"/>
    </row>
    <row r="6" spans="1:8" ht="15.75" thickBot="1" x14ac:dyDescent="0.3"/>
    <row r="7" spans="1:8" ht="15.75" thickBot="1" x14ac:dyDescent="0.3">
      <c r="A7" s="236" t="s">
        <v>312</v>
      </c>
      <c r="B7" s="219" t="s">
        <v>517</v>
      </c>
      <c r="C7" s="231" t="s">
        <v>518</v>
      </c>
      <c r="D7" s="231" t="s">
        <v>519</v>
      </c>
      <c r="E7" s="231" t="s">
        <v>520</v>
      </c>
      <c r="F7" s="231" t="s">
        <v>254</v>
      </c>
      <c r="G7" s="231" t="s">
        <v>468</v>
      </c>
      <c r="H7" s="220" t="s">
        <v>253</v>
      </c>
    </row>
    <row r="8" spans="1:8" x14ac:dyDescent="0.25">
      <c r="A8" s="237"/>
      <c r="B8" s="217" t="s">
        <v>143</v>
      </c>
      <c r="C8" s="222">
        <v>1592</v>
      </c>
      <c r="D8" s="222">
        <v>21376</v>
      </c>
      <c r="E8" s="222">
        <f>D8*Summary!$C$10</f>
        <v>20307.2</v>
      </c>
      <c r="F8" s="223">
        <v>4.5</v>
      </c>
      <c r="G8" s="224">
        <f>D8*(1-Summary!$C$10)*F8</f>
        <v>4809.600000000004</v>
      </c>
      <c r="H8" s="155">
        <f>D8*Summary!$C$10/$C$22</f>
        <v>13.393483709273182</v>
      </c>
    </row>
    <row r="9" spans="1:8" x14ac:dyDescent="0.25">
      <c r="A9" s="237"/>
      <c r="B9" s="213" t="s">
        <v>228</v>
      </c>
      <c r="C9" s="27">
        <v>2438</v>
      </c>
      <c r="D9" s="27">
        <v>39809</v>
      </c>
      <c r="E9" s="27">
        <f>D9*Summary!$C$10</f>
        <v>37818.549999999996</v>
      </c>
      <c r="F9" s="26">
        <v>1</v>
      </c>
      <c r="G9" s="29">
        <f>D9*(1-Summary!$C$10)*F9</f>
        <v>1990.4500000000019</v>
      </c>
      <c r="H9" s="61">
        <f>D9*Summary!$C$10/$C$22</f>
        <v>24.942982456140346</v>
      </c>
    </row>
    <row r="10" spans="1:8" x14ac:dyDescent="0.25">
      <c r="A10" s="237"/>
      <c r="B10" s="213" t="s">
        <v>465</v>
      </c>
      <c r="C10" s="27">
        <v>3077</v>
      </c>
      <c r="D10" s="27">
        <v>50159</v>
      </c>
      <c r="E10" s="27">
        <f>D10*Summary!$C$10</f>
        <v>47651.049999999996</v>
      </c>
      <c r="F10" s="26">
        <v>1</v>
      </c>
      <c r="G10" s="29">
        <f>D10*(1-Summary!$C$10)*F10</f>
        <v>2507.9500000000021</v>
      </c>
      <c r="H10" s="61">
        <f>D10*Summary!$C$10/$C$22</f>
        <v>31.427944862155385</v>
      </c>
    </row>
    <row r="11" spans="1:8" ht="15.75" thickBot="1" x14ac:dyDescent="0.3">
      <c r="A11" s="238"/>
      <c r="B11" s="215" t="s">
        <v>229</v>
      </c>
      <c r="C11" s="152">
        <v>4104</v>
      </c>
      <c r="D11" s="152">
        <v>69843</v>
      </c>
      <c r="E11" s="232">
        <f>D11*Summary!$C$10</f>
        <v>66350.849999999991</v>
      </c>
      <c r="F11" s="233">
        <v>0.6</v>
      </c>
      <c r="G11" s="234">
        <f>D11*(1-Summary!$C$10)*F11</f>
        <v>2095.2900000000018</v>
      </c>
      <c r="H11" s="221">
        <f>D11*Summary!$C$10/$C$22</f>
        <v>43.761278195488714</v>
      </c>
    </row>
    <row r="12" spans="1:8" ht="15.75" thickBot="1" x14ac:dyDescent="0.3">
      <c r="E12" s="219" t="s">
        <v>246</v>
      </c>
      <c r="F12" s="228">
        <f>SUM(F11+F9+F8)</f>
        <v>6.1</v>
      </c>
      <c r="G12" s="235">
        <f>G11+G9+G8+G10</f>
        <v>11403.29000000001</v>
      </c>
    </row>
    <row r="14" spans="1:8" ht="15.75" thickBot="1" x14ac:dyDescent="0.3">
      <c r="A14" s="240"/>
    </row>
    <row r="15" spans="1:8" ht="15.75" customHeight="1" thickBot="1" x14ac:dyDescent="0.3">
      <c r="A15" s="245" t="s">
        <v>521</v>
      </c>
      <c r="B15" s="219" t="s">
        <v>16</v>
      </c>
      <c r="C15" s="220" t="s">
        <v>42</v>
      </c>
    </row>
    <row r="16" spans="1:8" x14ac:dyDescent="0.25">
      <c r="A16" s="246"/>
      <c r="B16" s="248" t="s">
        <v>146</v>
      </c>
      <c r="C16" s="249">
        <v>365</v>
      </c>
    </row>
    <row r="17" spans="1:12" x14ac:dyDescent="0.25">
      <c r="A17" s="246"/>
      <c r="B17" s="101" t="s">
        <v>147</v>
      </c>
      <c r="C17" s="141">
        <v>104</v>
      </c>
    </row>
    <row r="18" spans="1:12" x14ac:dyDescent="0.25">
      <c r="A18" s="246"/>
      <c r="B18" s="101" t="s">
        <v>148</v>
      </c>
      <c r="C18" s="141">
        <v>8</v>
      </c>
    </row>
    <row r="19" spans="1:12" x14ac:dyDescent="0.25">
      <c r="A19" s="246"/>
      <c r="B19" s="101" t="s">
        <v>149</v>
      </c>
      <c r="C19" s="141">
        <v>25</v>
      </c>
    </row>
    <row r="20" spans="1:12" x14ac:dyDescent="0.25">
      <c r="A20" s="246"/>
      <c r="B20" s="101" t="s">
        <v>150</v>
      </c>
      <c r="C20" s="141">
        <f>C16-C17-C18-C19</f>
        <v>228</v>
      </c>
    </row>
    <row r="21" spans="1:12" x14ac:dyDescent="0.25">
      <c r="A21" s="246"/>
      <c r="B21" s="101" t="s">
        <v>151</v>
      </c>
      <c r="C21" s="65">
        <f>C20/5</f>
        <v>45.6</v>
      </c>
    </row>
    <row r="22" spans="1:12" ht="15.75" thickBot="1" x14ac:dyDescent="0.3">
      <c r="A22" s="247"/>
      <c r="B22" s="102" t="s">
        <v>467</v>
      </c>
      <c r="C22" s="73">
        <f>Summary!$C$10*Summary!$C$8*Summary!$C$7</f>
        <v>1516.2</v>
      </c>
    </row>
    <row r="25" spans="1:12" ht="15.75" thickBot="1" x14ac:dyDescent="0.3"/>
    <row r="26" spans="1:12" ht="15" customHeight="1" thickBot="1" x14ac:dyDescent="0.3">
      <c r="A26" s="245" t="s">
        <v>523</v>
      </c>
      <c r="B26" s="225"/>
      <c r="C26" s="231" t="s">
        <v>247</v>
      </c>
      <c r="D26" s="231" t="s">
        <v>248</v>
      </c>
      <c r="E26" s="231" t="s">
        <v>392</v>
      </c>
      <c r="F26" s="231" t="s">
        <v>393</v>
      </c>
      <c r="G26" s="231" t="s">
        <v>391</v>
      </c>
      <c r="H26" s="231" t="s">
        <v>249</v>
      </c>
      <c r="I26" s="231" t="s">
        <v>250</v>
      </c>
      <c r="J26" s="231" t="s">
        <v>29</v>
      </c>
      <c r="K26" s="257" t="s">
        <v>22</v>
      </c>
      <c r="L26" s="258" t="s">
        <v>252</v>
      </c>
    </row>
    <row r="27" spans="1:12" x14ac:dyDescent="0.25">
      <c r="A27" s="246"/>
      <c r="B27" s="259" t="s">
        <v>143</v>
      </c>
      <c r="C27" s="248">
        <v>0.85</v>
      </c>
      <c r="D27" s="223">
        <v>0.85</v>
      </c>
      <c r="E27" s="223">
        <v>0.3</v>
      </c>
      <c r="F27" s="223">
        <v>0.85</v>
      </c>
      <c r="G27" s="223">
        <v>0.47</v>
      </c>
      <c r="H27" s="223"/>
      <c r="I27" s="223">
        <v>0.65</v>
      </c>
      <c r="J27" s="223">
        <v>0.41</v>
      </c>
      <c r="K27" s="255">
        <v>0.12</v>
      </c>
      <c r="L27" s="256">
        <f>SUM(C27:K27)</f>
        <v>4.5</v>
      </c>
    </row>
    <row r="28" spans="1:12" x14ac:dyDescent="0.25">
      <c r="A28" s="246"/>
      <c r="B28" s="260" t="s">
        <v>228</v>
      </c>
      <c r="C28" s="101"/>
      <c r="D28" s="26"/>
      <c r="E28" s="26"/>
      <c r="F28" s="26"/>
      <c r="G28" s="26"/>
      <c r="H28" s="26"/>
      <c r="I28" s="26">
        <v>0.5</v>
      </c>
      <c r="J28" s="26">
        <v>0.5</v>
      </c>
      <c r="K28" s="251"/>
      <c r="L28" s="253">
        <f t="shared" ref="L28:L31" si="0">SUM(C28:K28)</f>
        <v>1</v>
      </c>
    </row>
    <row r="29" spans="1:12" x14ac:dyDescent="0.25">
      <c r="A29" s="246"/>
      <c r="B29" s="260" t="s">
        <v>464</v>
      </c>
      <c r="C29" s="101"/>
      <c r="D29" s="26"/>
      <c r="E29" s="26"/>
      <c r="F29" s="26"/>
      <c r="G29" s="26"/>
      <c r="H29" s="26">
        <v>0.85</v>
      </c>
      <c r="I29" s="26"/>
      <c r="J29" s="26">
        <v>0.05</v>
      </c>
      <c r="K29" s="251">
        <v>0.1</v>
      </c>
      <c r="L29" s="253">
        <f t="shared" si="0"/>
        <v>1</v>
      </c>
    </row>
    <row r="30" spans="1:12" x14ac:dyDescent="0.25">
      <c r="A30" s="246"/>
      <c r="B30" s="260" t="s">
        <v>229</v>
      </c>
      <c r="C30" s="101"/>
      <c r="D30" s="26"/>
      <c r="E30" s="26"/>
      <c r="F30" s="26"/>
      <c r="G30" s="26"/>
      <c r="H30" s="26"/>
      <c r="I30" s="26">
        <v>0.35</v>
      </c>
      <c r="J30" s="26">
        <v>0.15</v>
      </c>
      <c r="K30" s="251">
        <v>0.1</v>
      </c>
      <c r="L30" s="253">
        <f t="shared" si="0"/>
        <v>0.6</v>
      </c>
    </row>
    <row r="31" spans="1:12" x14ac:dyDescent="0.25">
      <c r="A31" s="246"/>
      <c r="B31" s="260" t="s">
        <v>524</v>
      </c>
      <c r="C31" s="101">
        <f>$C$22*SUM(C27:C30)</f>
        <v>1288.77</v>
      </c>
      <c r="D31" s="26">
        <f>$C$22*SUM(D27:D30)</f>
        <v>1288.77</v>
      </c>
      <c r="E31" s="26">
        <f>$C$22*SUM(E27:E30)</f>
        <v>454.86</v>
      </c>
      <c r="F31" s="26">
        <f>$C$22*SUM(F27:F30)</f>
        <v>1288.77</v>
      </c>
      <c r="G31" s="26">
        <f>$C$22*SUM(G27:G30)</f>
        <v>712.61400000000003</v>
      </c>
      <c r="H31" s="26">
        <f>$C$22*SUM(H27:H30)</f>
        <v>1288.77</v>
      </c>
      <c r="I31" s="26">
        <f>$C$22*SUM(I27:I30)</f>
        <v>2274.3000000000002</v>
      </c>
      <c r="J31" s="26">
        <f>$C$22*SUM(J27:J30)</f>
        <v>1682.982</v>
      </c>
      <c r="K31" s="251">
        <f>$C$22*SUM(K27:K30)</f>
        <v>485.18400000000003</v>
      </c>
      <c r="L31" s="253">
        <f t="shared" si="0"/>
        <v>10765.019999999999</v>
      </c>
    </row>
    <row r="32" spans="1:12" x14ac:dyDescent="0.25">
      <c r="A32" s="246"/>
      <c r="B32" s="260" t="s">
        <v>525</v>
      </c>
      <c r="C32" s="101">
        <f>Summary!$C$9*Summary!$C$8*Summary!$C$7</f>
        <v>1276.8000000000002</v>
      </c>
      <c r="D32" s="26">
        <f>Summary!$C$9*Summary!$C$8*Summary!$C$7</f>
        <v>1276.8000000000002</v>
      </c>
      <c r="E32" s="26">
        <f>Summary!M21*Summary!$C$8*Summary!$C$7</f>
        <v>1117.2</v>
      </c>
      <c r="F32" s="26">
        <f>Summary!$C$9*Summary!$C$8*Summary!$C$7</f>
        <v>1276.8000000000002</v>
      </c>
      <c r="G32" s="26">
        <f>Summary!M39*Summary!$C$8*Summary!$C$7</f>
        <v>702.24</v>
      </c>
      <c r="H32" s="26">
        <f>Summary!$C$9*Summary!$C$8*Summary!$C$7</f>
        <v>1276.8000000000002</v>
      </c>
      <c r="I32" s="26">
        <f>0.5*C32*2+0.9*E32</f>
        <v>2282.2800000000002</v>
      </c>
      <c r="J32" s="26">
        <f>2*0.4*C32+E32*0.6</f>
        <v>1691.7600000000002</v>
      </c>
      <c r="K32" s="251">
        <f>0.06*Summary!C7*Summary!C8*5</f>
        <v>478.8</v>
      </c>
      <c r="L32" s="253">
        <f>SUM(C32:K32)-E32+E33</f>
        <v>10709.159999999998</v>
      </c>
    </row>
    <row r="33" spans="1:12" ht="15.75" thickBot="1" x14ac:dyDescent="0.3">
      <c r="A33" s="247"/>
      <c r="B33" s="261"/>
      <c r="C33" s="102"/>
      <c r="D33" s="62" t="s">
        <v>507</v>
      </c>
      <c r="E33" s="62">
        <f>E32*0.4</f>
        <v>446.88000000000005</v>
      </c>
      <c r="F33" s="62"/>
      <c r="G33" s="62"/>
      <c r="H33" s="62"/>
      <c r="I33" s="62"/>
      <c r="J33" s="62"/>
      <c r="K33" s="252"/>
      <c r="L33" s="254"/>
    </row>
    <row r="35" spans="1:12" ht="15.75" thickBot="1" x14ac:dyDescent="0.3"/>
    <row r="36" spans="1:12" ht="29.25" customHeight="1" x14ac:dyDescent="0.25">
      <c r="A36" s="245" t="s">
        <v>522</v>
      </c>
      <c r="B36" s="202" t="s">
        <v>257</v>
      </c>
      <c r="C36" s="262">
        <f>SUMPRODUCT(E8:E11*K27:K30)</f>
        <v>13837.053999999998</v>
      </c>
    </row>
    <row r="37" spans="1:12" ht="15.75" thickBot="1" x14ac:dyDescent="0.3">
      <c r="A37" s="247"/>
      <c r="B37" s="186"/>
      <c r="C37" s="263"/>
    </row>
    <row r="38" spans="1:12" x14ac:dyDescent="0.25">
      <c r="A38" s="250"/>
      <c r="C38" s="5"/>
    </row>
    <row r="39" spans="1:12" x14ac:dyDescent="0.25">
      <c r="A39" s="250"/>
    </row>
    <row r="40" spans="1:12" x14ac:dyDescent="0.25">
      <c r="A40" s="250"/>
    </row>
    <row r="41" spans="1:12" x14ac:dyDescent="0.25">
      <c r="A41" s="250"/>
    </row>
    <row r="42" spans="1:12" x14ac:dyDescent="0.25">
      <c r="A42" s="250"/>
    </row>
    <row r="43" spans="1:12" x14ac:dyDescent="0.25">
      <c r="A43" s="250"/>
    </row>
  </sheetData>
  <mergeCells count="11">
    <mergeCell ref="C1:F1"/>
    <mergeCell ref="C2:F2"/>
    <mergeCell ref="C3:F3"/>
    <mergeCell ref="C4:F4"/>
    <mergeCell ref="A26:A33"/>
    <mergeCell ref="A36:A37"/>
    <mergeCell ref="B36:B37"/>
    <mergeCell ref="C36:C37"/>
    <mergeCell ref="A1:A4"/>
    <mergeCell ref="A7:A11"/>
    <mergeCell ref="A15:A22"/>
  </mergeCells>
  <hyperlinks>
    <hyperlink ref="C2" r:id="rId1" xr:uid="{00000000-0004-0000-0100-000000000000}"/>
    <hyperlink ref="C3" r:id="rId2" xr:uid="{57BD7899-887D-43DC-B562-ADBB9658383C}"/>
    <hyperlink ref="C4" r:id="rId3" xr:uid="{8217434D-7C07-4E8C-BA90-49CA24347AAE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D12"/>
  <sheetViews>
    <sheetView workbookViewId="0">
      <selection activeCell="C18" sqref="C18"/>
    </sheetView>
  </sheetViews>
  <sheetFormatPr baseColWidth="10" defaultRowHeight="15" x14ac:dyDescent="0.25"/>
  <cols>
    <col min="1" max="1" width="49.85546875" bestFit="1" customWidth="1"/>
    <col min="4" max="4" width="42.7109375" customWidth="1"/>
  </cols>
  <sheetData>
    <row r="1" spans="1:4" ht="15.75" thickBot="1" x14ac:dyDescent="0.3">
      <c r="A1" s="284" t="s">
        <v>19</v>
      </c>
      <c r="B1" s="285"/>
      <c r="C1" s="285"/>
      <c r="D1" s="286"/>
    </row>
    <row r="2" spans="1:4" x14ac:dyDescent="0.25">
      <c r="A2" s="280" t="s">
        <v>529</v>
      </c>
      <c r="B2" s="278" t="s">
        <v>152</v>
      </c>
      <c r="C2" s="273"/>
      <c r="D2" s="274"/>
    </row>
    <row r="3" spans="1:4" x14ac:dyDescent="0.25">
      <c r="A3" s="281"/>
      <c r="B3" s="279" t="s">
        <v>264</v>
      </c>
      <c r="C3" s="272"/>
      <c r="D3" s="275"/>
    </row>
    <row r="4" spans="1:4" x14ac:dyDescent="0.25">
      <c r="A4" s="281"/>
      <c r="B4" s="279" t="s">
        <v>265</v>
      </c>
      <c r="C4" s="272"/>
      <c r="D4" s="275"/>
    </row>
    <row r="5" spans="1:4" x14ac:dyDescent="0.25">
      <c r="A5" s="282" t="s">
        <v>532</v>
      </c>
      <c r="B5" s="176">
        <v>38.64</v>
      </c>
      <c r="C5" s="177"/>
      <c r="D5" s="276"/>
    </row>
    <row r="6" spans="1:4" x14ac:dyDescent="0.25">
      <c r="A6" s="282" t="s">
        <v>530</v>
      </c>
      <c r="B6" s="176">
        <f>(24*2 + 7.5)*0.8+16+14</f>
        <v>74.400000000000006</v>
      </c>
      <c r="C6" s="177"/>
      <c r="D6" s="276"/>
    </row>
    <row r="7" spans="1:4" x14ac:dyDescent="0.25">
      <c r="A7" s="282" t="s">
        <v>531</v>
      </c>
      <c r="B7" s="176">
        <f>B6*B5</f>
        <v>2874.8160000000003</v>
      </c>
      <c r="C7" s="177"/>
      <c r="D7" s="276"/>
    </row>
    <row r="8" spans="1:4" ht="15.75" thickBot="1" x14ac:dyDescent="0.3">
      <c r="A8" s="283" t="s">
        <v>533</v>
      </c>
      <c r="B8" s="186">
        <v>7.8299999999999995E-2</v>
      </c>
      <c r="C8" s="187"/>
      <c r="D8" s="277"/>
    </row>
    <row r="9" spans="1:4" ht="15.75" thickBot="1" x14ac:dyDescent="0.3"/>
    <row r="10" spans="1:4" ht="15.75" thickBot="1" x14ac:dyDescent="0.3">
      <c r="A10" s="287" t="s">
        <v>528</v>
      </c>
      <c r="B10" s="288"/>
      <c r="C10" s="288"/>
      <c r="D10" s="289"/>
    </row>
    <row r="11" spans="1:4" x14ac:dyDescent="0.25">
      <c r="A11" s="217"/>
      <c r="B11" s="223" t="s">
        <v>526</v>
      </c>
      <c r="C11" s="223" t="s">
        <v>527</v>
      </c>
      <c r="D11" s="249" t="s">
        <v>204</v>
      </c>
    </row>
    <row r="12" spans="1:4" ht="18" thickBot="1" x14ac:dyDescent="0.3">
      <c r="A12" s="290" t="s">
        <v>534</v>
      </c>
      <c r="B12" s="152">
        <v>2.77</v>
      </c>
      <c r="C12" s="152">
        <f>B12*(1-Summary!C15)</f>
        <v>2.2160000000000002</v>
      </c>
      <c r="D12" s="216" t="s">
        <v>407</v>
      </c>
    </row>
  </sheetData>
  <mergeCells count="10">
    <mergeCell ref="A1:D1"/>
    <mergeCell ref="A10:D10"/>
    <mergeCell ref="A2:A4"/>
    <mergeCell ref="B5:D5"/>
    <mergeCell ref="B6:D6"/>
    <mergeCell ref="B7:D7"/>
    <mergeCell ref="B8:D8"/>
    <mergeCell ref="B2:D2"/>
    <mergeCell ref="B3:D3"/>
    <mergeCell ref="B4:D4"/>
  </mergeCells>
  <hyperlinks>
    <hyperlink ref="D12" r:id="rId1" xr:uid="{00000000-0004-0000-0200-000001000000}"/>
    <hyperlink ref="B2" r:id="rId2" xr:uid="{00000000-0004-0000-0200-000000000000}"/>
    <hyperlink ref="B3" r:id="rId3" location="decomposition-facture" xr:uid="{94ABB3F3-8A9D-47C7-BE28-1552142AD291}"/>
    <hyperlink ref="B4" r:id="rId4" xr:uid="{939CB0FF-E4DB-4E9F-BBC3-A1B6512B434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F25"/>
  <sheetViews>
    <sheetView topLeftCell="A5" workbookViewId="0">
      <selection activeCell="B20" sqref="B20"/>
    </sheetView>
  </sheetViews>
  <sheetFormatPr baseColWidth="10" defaultRowHeight="15" x14ac:dyDescent="0.25"/>
  <cols>
    <col min="1" max="1" width="28.28515625" bestFit="1" customWidth="1"/>
    <col min="2" max="2" width="11.85546875" bestFit="1" customWidth="1"/>
    <col min="3" max="4" width="16.5703125" bestFit="1" customWidth="1"/>
    <col min="5" max="5" width="17" bestFit="1" customWidth="1"/>
    <col min="6" max="6" width="107.140625" customWidth="1"/>
  </cols>
  <sheetData>
    <row r="1" spans="1:6" ht="15.75" thickBot="1" x14ac:dyDescent="0.3">
      <c r="A1" s="258" t="s">
        <v>25</v>
      </c>
      <c r="B1" s="297" t="s">
        <v>192</v>
      </c>
      <c r="C1" s="231" t="s">
        <v>536</v>
      </c>
      <c r="D1" s="231" t="s">
        <v>535</v>
      </c>
      <c r="E1" s="231" t="s">
        <v>537</v>
      </c>
      <c r="F1" s="220" t="s">
        <v>204</v>
      </c>
    </row>
    <row r="2" spans="1:6" ht="30" x14ac:dyDescent="0.25">
      <c r="A2" s="298" t="s">
        <v>114</v>
      </c>
      <c r="B2" s="248" t="s">
        <v>110</v>
      </c>
      <c r="C2" s="223"/>
      <c r="D2" s="294">
        <v>149</v>
      </c>
      <c r="E2" s="295">
        <f>D2*(1-Summary!$C$15)</f>
        <v>119.2</v>
      </c>
      <c r="F2" s="304" t="s">
        <v>109</v>
      </c>
    </row>
    <row r="3" spans="1:6" ht="30" x14ac:dyDescent="0.25">
      <c r="A3" s="299" t="s">
        <v>112</v>
      </c>
      <c r="B3" s="101">
        <v>0.01</v>
      </c>
      <c r="C3" s="26"/>
      <c r="D3" s="291">
        <v>129</v>
      </c>
      <c r="E3" s="83">
        <f>D3*(1-Summary!$C$15)</f>
        <v>103.2</v>
      </c>
      <c r="F3" s="306" t="s">
        <v>111</v>
      </c>
    </row>
    <row r="4" spans="1:6" ht="30" x14ac:dyDescent="0.25">
      <c r="A4" s="299" t="s">
        <v>31</v>
      </c>
      <c r="B4" s="101">
        <v>0.01</v>
      </c>
      <c r="C4" s="26"/>
      <c r="D4" s="291">
        <v>60</v>
      </c>
      <c r="E4" s="83">
        <f>D4*(1-Summary!$C$15)</f>
        <v>48</v>
      </c>
      <c r="F4" s="306" t="s">
        <v>113</v>
      </c>
    </row>
    <row r="5" spans="1:6" x14ac:dyDescent="0.25">
      <c r="A5" s="299"/>
      <c r="B5" s="101"/>
      <c r="C5" s="26"/>
      <c r="D5" s="26"/>
      <c r="E5" s="83"/>
      <c r="F5" s="305"/>
    </row>
    <row r="6" spans="1:6" x14ac:dyDescent="0.25">
      <c r="A6" s="299" t="s">
        <v>116</v>
      </c>
      <c r="B6" s="101"/>
      <c r="C6" s="26"/>
      <c r="D6" s="291">
        <v>392</v>
      </c>
      <c r="E6" s="83">
        <f>D6*(1-Summary!$C$15)</f>
        <v>313.60000000000002</v>
      </c>
      <c r="F6" s="306" t="s">
        <v>115</v>
      </c>
    </row>
    <row r="7" spans="1:6" ht="30" x14ac:dyDescent="0.25">
      <c r="A7" s="299" t="s">
        <v>120</v>
      </c>
      <c r="B7" s="101"/>
      <c r="C7" s="26"/>
      <c r="D7" s="291">
        <v>167</v>
      </c>
      <c r="E7" s="83">
        <f>D7*(1-Summary!$C$15)</f>
        <v>133.6</v>
      </c>
      <c r="F7" s="306" t="s">
        <v>117</v>
      </c>
    </row>
    <row r="8" spans="1:6" ht="30" x14ac:dyDescent="0.25">
      <c r="A8" s="299" t="s">
        <v>119</v>
      </c>
      <c r="B8" s="101"/>
      <c r="C8" s="26"/>
      <c r="D8" s="291">
        <v>94</v>
      </c>
      <c r="E8" s="83">
        <f>D8*(1-Summary!$C$15)</f>
        <v>75.2</v>
      </c>
      <c r="F8" s="306" t="s">
        <v>118</v>
      </c>
    </row>
    <row r="9" spans="1:6" x14ac:dyDescent="0.25">
      <c r="A9" s="299"/>
      <c r="B9" s="101"/>
      <c r="C9" s="26"/>
      <c r="D9" s="26"/>
      <c r="E9" s="83"/>
      <c r="F9" s="305"/>
    </row>
    <row r="10" spans="1:6" ht="30" x14ac:dyDescent="0.25">
      <c r="A10" s="299" t="s">
        <v>121</v>
      </c>
      <c r="B10" s="101"/>
      <c r="C10" s="26"/>
      <c r="D10" s="291">
        <v>282</v>
      </c>
      <c r="E10" s="83">
        <f>D10*(1-Summary!$C$15)</f>
        <v>225.60000000000002</v>
      </c>
      <c r="F10" s="306" t="s">
        <v>122</v>
      </c>
    </row>
    <row r="11" spans="1:6" x14ac:dyDescent="0.25">
      <c r="A11" s="299" t="s">
        <v>124</v>
      </c>
      <c r="B11" s="101"/>
      <c r="C11" s="26"/>
      <c r="D11" s="291">
        <v>408</v>
      </c>
      <c r="E11" s="83">
        <f>D11*(1-Summary!$C$15)</f>
        <v>326.40000000000003</v>
      </c>
      <c r="F11" s="305"/>
    </row>
    <row r="12" spans="1:6" ht="30" x14ac:dyDescent="0.25">
      <c r="A12" s="299" t="s">
        <v>125</v>
      </c>
      <c r="B12" s="101"/>
      <c r="C12" s="26"/>
      <c r="D12" s="291">
        <v>3322</v>
      </c>
      <c r="E12" s="83">
        <f>D12*(1-Summary!$C$15)</f>
        <v>2657.6000000000004</v>
      </c>
      <c r="F12" s="306" t="s">
        <v>123</v>
      </c>
    </row>
    <row r="13" spans="1:6" x14ac:dyDescent="0.25">
      <c r="A13" s="299"/>
      <c r="B13" s="101"/>
      <c r="C13" s="26"/>
      <c r="D13" s="26"/>
      <c r="E13" s="83"/>
      <c r="F13" s="305"/>
    </row>
    <row r="14" spans="1:6" ht="30" x14ac:dyDescent="0.25">
      <c r="A14" s="300" t="s">
        <v>126</v>
      </c>
      <c r="B14" s="101" t="s">
        <v>127</v>
      </c>
      <c r="C14" s="26"/>
      <c r="D14" s="291">
        <v>1390</v>
      </c>
      <c r="E14" s="83">
        <f>D14*(1-Summary!$C$15)</f>
        <v>1112</v>
      </c>
      <c r="F14" s="306" t="s">
        <v>128</v>
      </c>
    </row>
    <row r="15" spans="1:6" ht="30" x14ac:dyDescent="0.25">
      <c r="A15" s="301"/>
      <c r="B15" s="101" t="s">
        <v>130</v>
      </c>
      <c r="C15" s="26"/>
      <c r="D15" s="291">
        <v>1202</v>
      </c>
      <c r="E15" s="83">
        <f>D15*(1-Summary!$C$15)</f>
        <v>961.6</v>
      </c>
      <c r="F15" s="306" t="s">
        <v>129</v>
      </c>
    </row>
    <row r="16" spans="1:6" ht="30" x14ac:dyDescent="0.25">
      <c r="A16" s="301"/>
      <c r="B16" s="101" t="s">
        <v>132</v>
      </c>
      <c r="C16" s="26"/>
      <c r="D16" s="291">
        <v>146</v>
      </c>
      <c r="E16" s="83">
        <f>D16*(1-Summary!$C$15)</f>
        <v>116.80000000000001</v>
      </c>
      <c r="F16" s="306" t="s">
        <v>131</v>
      </c>
    </row>
    <row r="17" spans="1:6" ht="30" x14ac:dyDescent="0.25">
      <c r="A17" s="302"/>
      <c r="B17" s="101" t="s">
        <v>134</v>
      </c>
      <c r="C17" s="26"/>
      <c r="D17" s="291">
        <v>162</v>
      </c>
      <c r="E17" s="83">
        <f>D17*(1-Summary!$C$15)</f>
        <v>129.6</v>
      </c>
      <c r="F17" s="306" t="s">
        <v>133</v>
      </c>
    </row>
    <row r="18" spans="1:6" ht="30" x14ac:dyDescent="0.25">
      <c r="A18" s="300" t="s">
        <v>30</v>
      </c>
      <c r="B18" s="101" t="s">
        <v>136</v>
      </c>
      <c r="C18" s="26"/>
      <c r="D18" s="291">
        <v>1623</v>
      </c>
      <c r="E18" s="83">
        <f>D18*(1-Summary!$C$15)</f>
        <v>1298.4000000000001</v>
      </c>
      <c r="F18" s="306" t="s">
        <v>135</v>
      </c>
    </row>
    <row r="19" spans="1:6" ht="30" x14ac:dyDescent="0.25">
      <c r="A19" s="302"/>
      <c r="B19" s="293" t="s">
        <v>195</v>
      </c>
      <c r="C19" s="26"/>
      <c r="D19" s="291">
        <v>675</v>
      </c>
      <c r="E19" s="83">
        <f>D19*(1-Summary!$C$15)</f>
        <v>540</v>
      </c>
      <c r="F19" s="306" t="s">
        <v>196</v>
      </c>
    </row>
    <row r="20" spans="1:6" x14ac:dyDescent="0.25">
      <c r="A20" s="299"/>
      <c r="B20" s="293"/>
      <c r="C20" s="26"/>
      <c r="D20" s="26"/>
      <c r="E20" s="83"/>
      <c r="F20" s="305"/>
    </row>
    <row r="21" spans="1:6" x14ac:dyDescent="0.25">
      <c r="A21" s="299" t="s">
        <v>137</v>
      </c>
      <c r="B21" s="101" t="s">
        <v>139</v>
      </c>
      <c r="C21" s="292">
        <v>348</v>
      </c>
      <c r="D21" s="55">
        <f>Metrology!C21/(Summary!C14)</f>
        <v>308.06274565348252</v>
      </c>
      <c r="E21" s="83">
        <f>D21*(1-Summary!$C$15)</f>
        <v>246.45019652278603</v>
      </c>
      <c r="F21" s="306" t="s">
        <v>138</v>
      </c>
    </row>
    <row r="22" spans="1:6" x14ac:dyDescent="0.25">
      <c r="A22" s="299"/>
      <c r="B22" s="101"/>
      <c r="C22" s="26"/>
      <c r="D22" s="26"/>
      <c r="E22" s="26"/>
      <c r="F22" s="305"/>
    </row>
    <row r="23" spans="1:6" x14ac:dyDescent="0.25">
      <c r="A23" s="299" t="s">
        <v>233</v>
      </c>
      <c r="B23" s="101" t="s">
        <v>234</v>
      </c>
      <c r="C23" s="26"/>
      <c r="D23" s="26"/>
      <c r="E23" s="27">
        <v>48334.81</v>
      </c>
      <c r="F23" s="306" t="s">
        <v>232</v>
      </c>
    </row>
    <row r="24" spans="1:6" x14ac:dyDescent="0.25">
      <c r="A24" s="299"/>
      <c r="B24" s="101"/>
      <c r="C24" s="26"/>
      <c r="D24" s="26"/>
      <c r="E24" s="26"/>
      <c r="F24" s="305"/>
    </row>
    <row r="25" spans="1:6" ht="15.75" thickBot="1" x14ac:dyDescent="0.3">
      <c r="A25" s="303" t="s">
        <v>236</v>
      </c>
      <c r="B25" s="102" t="s">
        <v>237</v>
      </c>
      <c r="C25" s="62"/>
      <c r="D25" s="62"/>
      <c r="E25" s="152">
        <v>5390</v>
      </c>
      <c r="F25" s="307" t="s">
        <v>235</v>
      </c>
    </row>
  </sheetData>
  <mergeCells count="2">
    <mergeCell ref="A14:A17"/>
    <mergeCell ref="A18:A19"/>
  </mergeCells>
  <hyperlinks>
    <hyperlink ref="F2" r:id="rId1" xr:uid="{00000000-0004-0000-0300-000000000000}"/>
    <hyperlink ref="F21" r:id="rId2" xr:uid="{00000000-0004-0000-0300-000001000000}"/>
    <hyperlink ref="F18" r:id="rId3" xr:uid="{00000000-0004-0000-0300-000002000000}"/>
    <hyperlink ref="F3" r:id="rId4" xr:uid="{17C91CA5-122D-487F-B62C-3980991E1934}"/>
    <hyperlink ref="F4" r:id="rId5" xr:uid="{C2A869EE-2F96-4614-925F-6CA4B371DB72}"/>
    <hyperlink ref="F6" r:id="rId6" xr:uid="{2B39F322-D70F-4855-8356-26E4DE299B5B}"/>
    <hyperlink ref="F7" r:id="rId7" xr:uid="{D0EBC0A2-C619-4A15-A1EE-1433C247088A}"/>
    <hyperlink ref="F8" r:id="rId8" xr:uid="{C6FB60E2-B3C6-4A1E-8DBC-B38B896D44BB}"/>
    <hyperlink ref="F10" r:id="rId9" xr:uid="{5DAA328B-CED5-4D1C-A543-4FCD716CB537}"/>
    <hyperlink ref="F12" r:id="rId10" xr:uid="{4E3EA835-01DE-44C2-81B1-6DEF49D48D22}"/>
    <hyperlink ref="F14" r:id="rId11" xr:uid="{D44C1749-D817-49A8-8100-38DA8F13BDCD}"/>
    <hyperlink ref="F15" r:id="rId12" xr:uid="{CE0DD8F6-C1D9-4C8E-824D-E9DF24ED93BE}"/>
    <hyperlink ref="F16" r:id="rId13" xr:uid="{83E64948-1BB5-4525-9713-79B9118F8959}"/>
    <hyperlink ref="F17" r:id="rId14" xr:uid="{A4A03384-7F4F-4E1D-B7EE-350C37081037}"/>
    <hyperlink ref="F19" r:id="rId15" xr:uid="{F25F3AA7-1A18-4D78-B3C2-7671C1A0AECE}"/>
    <hyperlink ref="F23" r:id="rId16" xr:uid="{FC2F4028-1D2B-4007-A317-C665F746A5E7}"/>
    <hyperlink ref="F25" r:id="rId17" xr:uid="{69B85A02-22FB-402F-8A33-F82B1CD531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F24"/>
  <sheetViews>
    <sheetView workbookViewId="0">
      <selection activeCell="E31" sqref="E31"/>
    </sheetView>
  </sheetViews>
  <sheetFormatPr baseColWidth="10" defaultRowHeight="15" x14ac:dyDescent="0.25"/>
  <cols>
    <col min="1" max="1" width="14.28515625" bestFit="1" customWidth="1"/>
    <col min="2" max="2" width="46.28515625" bestFit="1" customWidth="1"/>
    <col min="3" max="3" width="17.42578125" bestFit="1" customWidth="1"/>
    <col min="4" max="4" width="23.7109375" bestFit="1" customWidth="1"/>
    <col min="5" max="5" width="23.7109375" customWidth="1"/>
    <col min="6" max="6" width="116.5703125" customWidth="1"/>
  </cols>
  <sheetData>
    <row r="1" spans="1:6" ht="15.75" thickBot="1" x14ac:dyDescent="0.3">
      <c r="A1" s="219" t="s">
        <v>538</v>
      </c>
      <c r="B1" s="229" t="s">
        <v>16</v>
      </c>
      <c r="C1" s="229" t="s">
        <v>179</v>
      </c>
      <c r="D1" s="229" t="s">
        <v>526</v>
      </c>
      <c r="E1" s="229" t="s">
        <v>527</v>
      </c>
      <c r="F1" s="230" t="s">
        <v>204</v>
      </c>
    </row>
    <row r="2" spans="1:6" ht="15.75" thickBot="1" x14ac:dyDescent="0.3">
      <c r="A2" s="308"/>
      <c r="B2" s="309"/>
      <c r="C2" s="309"/>
      <c r="D2" s="309"/>
      <c r="E2" s="309"/>
      <c r="F2" s="309"/>
    </row>
    <row r="3" spans="1:6" x14ac:dyDescent="0.25">
      <c r="A3" s="310" t="s">
        <v>539</v>
      </c>
      <c r="B3" s="100" t="s">
        <v>92</v>
      </c>
      <c r="C3" s="58" t="s">
        <v>180</v>
      </c>
      <c r="D3" s="144">
        <v>498</v>
      </c>
      <c r="E3" s="144">
        <f>D3*(1-Summary!$C$15)</f>
        <v>398.40000000000003</v>
      </c>
      <c r="F3" s="243" t="s">
        <v>93</v>
      </c>
    </row>
    <row r="4" spans="1:6" ht="15.75" thickBot="1" x14ac:dyDescent="0.3">
      <c r="A4" s="311"/>
      <c r="B4" s="102" t="s">
        <v>94</v>
      </c>
      <c r="C4" s="62" t="s">
        <v>181</v>
      </c>
      <c r="D4" s="152"/>
      <c r="E4" s="152">
        <v>8.8000000000000007</v>
      </c>
      <c r="F4" s="216" t="s">
        <v>175</v>
      </c>
    </row>
    <row r="5" spans="1:6" ht="15.75" thickBot="1" x14ac:dyDescent="0.3">
      <c r="A5" s="244"/>
      <c r="D5" s="2"/>
      <c r="E5" s="2"/>
    </row>
    <row r="6" spans="1:6" x14ac:dyDescent="0.25">
      <c r="A6" s="310" t="s">
        <v>540</v>
      </c>
      <c r="B6" s="100" t="s">
        <v>155</v>
      </c>
      <c r="C6" s="58"/>
      <c r="D6" s="144">
        <v>241.2</v>
      </c>
      <c r="E6" s="144">
        <f>D6*(1-Summary!$C$15)</f>
        <v>192.96</v>
      </c>
      <c r="F6" s="243" t="s">
        <v>156</v>
      </c>
    </row>
    <row r="7" spans="1:6" x14ac:dyDescent="0.25">
      <c r="A7" s="312"/>
      <c r="B7" s="101" t="s">
        <v>161</v>
      </c>
      <c r="C7" s="26"/>
      <c r="D7" s="27">
        <v>50</v>
      </c>
      <c r="E7" s="27">
        <f>D7*(1-Summary!$C$15)</f>
        <v>40</v>
      </c>
      <c r="F7" s="214" t="s">
        <v>162</v>
      </c>
    </row>
    <row r="8" spans="1:6" x14ac:dyDescent="0.25">
      <c r="A8" s="312"/>
      <c r="B8" s="101" t="s">
        <v>164</v>
      </c>
      <c r="C8" s="26"/>
      <c r="D8" s="27">
        <v>137.99</v>
      </c>
      <c r="E8" s="27">
        <f>D8*(1-Summary!$C$15)</f>
        <v>110.39200000000001</v>
      </c>
      <c r="F8" s="214" t="s">
        <v>163</v>
      </c>
    </row>
    <row r="9" spans="1:6" x14ac:dyDescent="0.25">
      <c r="A9" s="312"/>
      <c r="B9" s="101" t="s">
        <v>185</v>
      </c>
      <c r="C9" s="26"/>
      <c r="D9" s="27"/>
      <c r="E9" s="27">
        <v>23.6</v>
      </c>
      <c r="F9" s="214" t="s">
        <v>186</v>
      </c>
    </row>
    <row r="10" spans="1:6" ht="15.75" thickBot="1" x14ac:dyDescent="0.3">
      <c r="A10" s="311"/>
      <c r="B10" s="102" t="s">
        <v>187</v>
      </c>
      <c r="C10" s="62"/>
      <c r="D10" s="152"/>
      <c r="E10" s="152">
        <v>39.950000000000003</v>
      </c>
      <c r="F10" s="216" t="s">
        <v>188</v>
      </c>
    </row>
    <row r="11" spans="1:6" ht="15.75" thickBot="1" x14ac:dyDescent="0.3">
      <c r="A11" s="244"/>
      <c r="D11" s="2"/>
      <c r="E11" s="2"/>
    </row>
    <row r="12" spans="1:6" x14ac:dyDescent="0.25">
      <c r="A12" s="310" t="s">
        <v>541</v>
      </c>
      <c r="B12" s="100" t="s">
        <v>165</v>
      </c>
      <c r="C12" s="58"/>
      <c r="D12" s="144">
        <v>2097.6</v>
      </c>
      <c r="E12" s="144">
        <f>D12*(1-Summary!$C$15)</f>
        <v>1678.08</v>
      </c>
      <c r="F12" s="243" t="s">
        <v>166</v>
      </c>
    </row>
    <row r="13" spans="1:6" x14ac:dyDescent="0.25">
      <c r="A13" s="312"/>
      <c r="B13" s="101" t="s">
        <v>158</v>
      </c>
      <c r="C13" s="26"/>
      <c r="D13" s="27">
        <v>2150.1</v>
      </c>
      <c r="E13" s="27">
        <f>D13*(1-Summary!$C$15)</f>
        <v>1720.08</v>
      </c>
      <c r="F13" s="214" t="s">
        <v>157</v>
      </c>
    </row>
    <row r="14" spans="1:6" ht="15.75" thickBot="1" x14ac:dyDescent="0.3">
      <c r="A14" s="311"/>
      <c r="B14" s="102" t="s">
        <v>173</v>
      </c>
      <c r="C14" s="62"/>
      <c r="D14" s="152">
        <v>620.4</v>
      </c>
      <c r="E14" s="152">
        <f>D14*(1-Summary!$C$15)</f>
        <v>496.32</v>
      </c>
      <c r="F14" s="216" t="s">
        <v>174</v>
      </c>
    </row>
    <row r="15" spans="1:6" ht="15.75" thickBot="1" x14ac:dyDescent="0.3">
      <c r="A15" s="244"/>
      <c r="D15" s="2"/>
      <c r="E15" s="2"/>
    </row>
    <row r="16" spans="1:6" x14ac:dyDescent="0.25">
      <c r="A16" s="310" t="s">
        <v>542</v>
      </c>
      <c r="B16" s="100" t="s">
        <v>160</v>
      </c>
      <c r="C16" s="58"/>
      <c r="D16" s="144">
        <v>183.6</v>
      </c>
      <c r="E16" s="144">
        <f>D16*(1-Summary!$C$15)</f>
        <v>146.88</v>
      </c>
      <c r="F16" s="243" t="s">
        <v>159</v>
      </c>
    </row>
    <row r="17" spans="1:6" x14ac:dyDescent="0.25">
      <c r="A17" s="312"/>
      <c r="B17" s="101" t="s">
        <v>168</v>
      </c>
      <c r="C17" s="26"/>
      <c r="D17" s="27">
        <v>54</v>
      </c>
      <c r="E17" s="27">
        <f>D17*(1-Summary!$C$15)</f>
        <v>43.2</v>
      </c>
      <c r="F17" s="214" t="s">
        <v>167</v>
      </c>
    </row>
    <row r="18" spans="1:6" x14ac:dyDescent="0.25">
      <c r="A18" s="312"/>
      <c r="B18" s="101" t="s">
        <v>169</v>
      </c>
      <c r="C18" s="26"/>
      <c r="D18" s="27">
        <v>40.799999999999997</v>
      </c>
      <c r="E18" s="27">
        <f>D18*(1-Summary!$C$15)</f>
        <v>32.64</v>
      </c>
      <c r="F18" s="214" t="s">
        <v>170</v>
      </c>
    </row>
    <row r="19" spans="1:6" ht="15.75" thickBot="1" x14ac:dyDescent="0.3">
      <c r="A19" s="311"/>
      <c r="B19" s="102" t="s">
        <v>171</v>
      </c>
      <c r="C19" s="62"/>
      <c r="D19" s="152">
        <v>217.2</v>
      </c>
      <c r="E19" s="152">
        <f>D19*(1-Summary!$C$15)</f>
        <v>173.76</v>
      </c>
      <c r="F19" s="216" t="s">
        <v>172</v>
      </c>
    </row>
    <row r="20" spans="1:6" ht="15.75" thickBot="1" x14ac:dyDescent="0.3">
      <c r="A20" s="244"/>
    </row>
    <row r="21" spans="1:6" ht="15.75" thickBot="1" x14ac:dyDescent="0.3">
      <c r="A21" s="258" t="s">
        <v>543</v>
      </c>
      <c r="B21" s="296" t="s">
        <v>190</v>
      </c>
      <c r="C21" s="226" t="s">
        <v>189</v>
      </c>
      <c r="D21" s="226"/>
      <c r="E21" s="313">
        <v>102</v>
      </c>
      <c r="F21" s="227" t="s">
        <v>191</v>
      </c>
    </row>
    <row r="22" spans="1:6" ht="15.75" thickBot="1" x14ac:dyDescent="0.3">
      <c r="A22" s="244"/>
    </row>
    <row r="23" spans="1:6" x14ac:dyDescent="0.25">
      <c r="A23" s="310" t="s">
        <v>544</v>
      </c>
      <c r="B23" s="100" t="s">
        <v>276</v>
      </c>
      <c r="C23" s="58"/>
      <c r="D23" s="58"/>
      <c r="E23" s="144">
        <v>96</v>
      </c>
      <c r="F23" s="243" t="s">
        <v>275</v>
      </c>
    </row>
    <row r="24" spans="1:6" ht="15.75" thickBot="1" x14ac:dyDescent="0.3">
      <c r="A24" s="311"/>
      <c r="B24" s="102" t="s">
        <v>278</v>
      </c>
      <c r="C24" s="62"/>
      <c r="D24" s="62"/>
      <c r="E24" s="152">
        <v>285</v>
      </c>
      <c r="F24" s="216" t="s">
        <v>277</v>
      </c>
    </row>
  </sheetData>
  <mergeCells count="5">
    <mergeCell ref="A3:A4"/>
    <mergeCell ref="A6:A10"/>
    <mergeCell ref="A12:A14"/>
    <mergeCell ref="A16:A19"/>
    <mergeCell ref="A23:A24"/>
  </mergeCells>
  <hyperlinks>
    <hyperlink ref="F3" r:id="rId1" xr:uid="{FD9041DB-5526-4E8F-BFD7-AA5D94C5B2E4}"/>
    <hyperlink ref="F4" r:id="rId2" xr:uid="{E6B5906C-F2EB-4ABD-BA4B-CF8971DBD144}"/>
    <hyperlink ref="F6" r:id="rId3" xr:uid="{FFF5BA92-621D-46DE-8A93-77B4E8D5335C}"/>
    <hyperlink ref="F7" r:id="rId4" xr:uid="{FE8366DB-ECBE-4BB2-A101-8DFC60ED63B1}"/>
    <hyperlink ref="F8" r:id="rId5" xr:uid="{3A34D2B9-B400-4EBB-ADEA-B50DD16E9C6E}"/>
    <hyperlink ref="F9" r:id="rId6" xr:uid="{7230FFA8-873B-440D-AD71-C1A7ED419CA4}"/>
    <hyperlink ref="F10" r:id="rId7" xr:uid="{9E79F410-3DE5-41E1-AD83-DE8CA1BFCDEB}"/>
    <hyperlink ref="F12" r:id="rId8" xr:uid="{07C655F5-BAB6-4261-B193-0B6630DB43BC}"/>
    <hyperlink ref="F13" r:id="rId9" xr:uid="{B2D6165E-7A6E-4187-9770-841DD800B6D2}"/>
    <hyperlink ref="F14" r:id="rId10" xr:uid="{733AFC55-D6C6-48FF-B2CA-6749EDCE5942}"/>
    <hyperlink ref="F16" r:id="rId11" xr:uid="{F0891ACC-E316-49B1-86B7-7F7F9C09CF94}"/>
    <hyperlink ref="F17" r:id="rId12" xr:uid="{5C9D5D1C-C868-40FA-A5FF-35B918CAA5DB}"/>
    <hyperlink ref="F18" r:id="rId13" xr:uid="{8DFB83E8-5B50-4860-9758-230A5952BE6F}"/>
    <hyperlink ref="F19" r:id="rId14" xr:uid="{AE430928-5516-4D7D-97A4-4CA05BF478EF}"/>
    <hyperlink ref="F23" r:id="rId15" xr:uid="{82CA0279-6909-4488-90C8-2ED8DCD91CB3}"/>
    <hyperlink ref="F24" r:id="rId16" xr:uid="{913CA25F-1E06-451F-97A3-0A3263DD681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E8"/>
  <sheetViews>
    <sheetView workbookViewId="0">
      <selection activeCell="E10" sqref="E10"/>
    </sheetView>
  </sheetViews>
  <sheetFormatPr baseColWidth="10" defaultRowHeight="15" x14ac:dyDescent="0.25"/>
  <cols>
    <col min="1" max="1" width="18.7109375" bestFit="1" customWidth="1"/>
    <col min="2" max="2" width="17.42578125" bestFit="1" customWidth="1"/>
    <col min="5" max="5" width="93.42578125" customWidth="1"/>
  </cols>
  <sheetData>
    <row r="1" spans="1:5" ht="15.75" thickBot="1" x14ac:dyDescent="0.3">
      <c r="A1" s="219" t="s">
        <v>16</v>
      </c>
      <c r="B1" s="231" t="s">
        <v>179</v>
      </c>
      <c r="C1" s="231" t="s">
        <v>545</v>
      </c>
      <c r="D1" s="231" t="s">
        <v>546</v>
      </c>
      <c r="E1" s="220" t="s">
        <v>283</v>
      </c>
    </row>
    <row r="2" spans="1:5" x14ac:dyDescent="0.25">
      <c r="A2" s="217" t="s">
        <v>285</v>
      </c>
      <c r="B2" s="223"/>
      <c r="C2" s="223"/>
      <c r="D2" s="222">
        <v>619</v>
      </c>
      <c r="E2" s="218" t="s">
        <v>284</v>
      </c>
    </row>
    <row r="3" spans="1:5" x14ac:dyDescent="0.25">
      <c r="A3" s="213" t="s">
        <v>286</v>
      </c>
      <c r="B3" s="26"/>
      <c r="C3" s="26"/>
      <c r="D3" s="27">
        <v>248</v>
      </c>
      <c r="E3" s="214" t="s">
        <v>284</v>
      </c>
    </row>
    <row r="4" spans="1:5" x14ac:dyDescent="0.25">
      <c r="A4" s="213" t="s">
        <v>287</v>
      </c>
      <c r="B4" s="26"/>
      <c r="C4" s="26"/>
      <c r="D4" s="27">
        <v>320</v>
      </c>
      <c r="E4" s="214" t="s">
        <v>284</v>
      </c>
    </row>
    <row r="5" spans="1:5" x14ac:dyDescent="0.25">
      <c r="A5" s="213" t="s">
        <v>288</v>
      </c>
      <c r="B5" s="26"/>
      <c r="C5" s="26"/>
      <c r="D5" s="27">
        <v>515</v>
      </c>
      <c r="E5" s="214" t="s">
        <v>284</v>
      </c>
    </row>
    <row r="6" spans="1:5" x14ac:dyDescent="0.25">
      <c r="A6" s="213" t="s">
        <v>289</v>
      </c>
      <c r="B6" s="26"/>
      <c r="C6" s="26"/>
      <c r="D6" s="27">
        <v>1125</v>
      </c>
      <c r="E6" s="214" t="s">
        <v>290</v>
      </c>
    </row>
    <row r="7" spans="1:5" x14ac:dyDescent="0.25">
      <c r="A7" s="213" t="s">
        <v>291</v>
      </c>
      <c r="B7" s="26"/>
      <c r="C7" s="26"/>
      <c r="D7" s="27">
        <v>1851</v>
      </c>
      <c r="E7" s="214" t="s">
        <v>292</v>
      </c>
    </row>
    <row r="8" spans="1:5" ht="15.75" thickBot="1" x14ac:dyDescent="0.3">
      <c r="A8" s="215" t="s">
        <v>293</v>
      </c>
      <c r="B8" s="62"/>
      <c r="C8" s="62"/>
      <c r="D8" s="152">
        <v>417</v>
      </c>
      <c r="E8" s="216" t="s">
        <v>294</v>
      </c>
    </row>
  </sheetData>
  <hyperlinks>
    <hyperlink ref="E2" r:id="rId1" xr:uid="{2131B039-6D68-4CB3-95D7-8D4A25B5C754}"/>
    <hyperlink ref="E3" r:id="rId2" xr:uid="{1E504BA5-2C15-4A87-A57B-A15650729C4A}"/>
    <hyperlink ref="E4" r:id="rId3" xr:uid="{6E2B9B81-99B1-4B6B-B91A-654077C93711}"/>
    <hyperlink ref="E5" r:id="rId4" xr:uid="{6654171F-F120-4516-A062-8F605307B3E1}"/>
    <hyperlink ref="E6" r:id="rId5" xr:uid="{BE11A961-4344-41C0-A52A-76264661B771}"/>
    <hyperlink ref="E7" r:id="rId6" xr:uid="{232DD4D1-2BDF-44BB-A0AD-09C68C94D24A}"/>
    <hyperlink ref="E8" r:id="rId7" xr:uid="{8009E3DA-8BF6-447C-9701-DAFA5C2BE40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H29"/>
  <sheetViews>
    <sheetView workbookViewId="0">
      <selection activeCell="B33" sqref="B33"/>
    </sheetView>
  </sheetViews>
  <sheetFormatPr baseColWidth="10" defaultRowHeight="15" x14ac:dyDescent="0.25"/>
  <cols>
    <col min="1" max="1" width="22.140625" customWidth="1"/>
    <col min="2" max="2" width="31.5703125" bestFit="1" customWidth="1"/>
    <col min="3" max="3" width="15.7109375" bestFit="1" customWidth="1"/>
    <col min="4" max="4" width="16.5703125" bestFit="1" customWidth="1"/>
    <col min="5" max="5" width="17" bestFit="1" customWidth="1"/>
    <col min="6" max="6" width="16.5703125" bestFit="1" customWidth="1"/>
    <col min="7" max="7" width="17" bestFit="1" customWidth="1"/>
    <col min="8" max="8" width="124.85546875" customWidth="1"/>
  </cols>
  <sheetData>
    <row r="1" spans="1:8" ht="15.75" thickBot="1" x14ac:dyDescent="0.3">
      <c r="A1" s="219" t="s">
        <v>28</v>
      </c>
      <c r="B1" s="231" t="s">
        <v>25</v>
      </c>
      <c r="C1" s="231" t="s">
        <v>221</v>
      </c>
      <c r="D1" s="231" t="s">
        <v>536</v>
      </c>
      <c r="E1" s="231" t="s">
        <v>547</v>
      </c>
      <c r="F1" s="231" t="s">
        <v>535</v>
      </c>
      <c r="G1" s="231" t="s">
        <v>537</v>
      </c>
      <c r="H1" s="220" t="s">
        <v>204</v>
      </c>
    </row>
    <row r="2" spans="1:8" ht="15.75" thickBot="1" x14ac:dyDescent="0.3"/>
    <row r="3" spans="1:8" x14ac:dyDescent="0.25">
      <c r="A3" s="310" t="s">
        <v>548</v>
      </c>
      <c r="B3" s="100" t="s">
        <v>82</v>
      </c>
      <c r="C3" s="58"/>
      <c r="D3" s="58"/>
      <c r="E3" s="314">
        <v>1295</v>
      </c>
      <c r="F3" s="58"/>
      <c r="G3" s="144">
        <f>E3/Summary!C14</f>
        <v>1146.3829184518961</v>
      </c>
      <c r="H3" s="243" t="s">
        <v>83</v>
      </c>
    </row>
    <row r="4" spans="1:8" x14ac:dyDescent="0.25">
      <c r="A4" s="312"/>
      <c r="B4" s="101" t="s">
        <v>86</v>
      </c>
      <c r="C4" s="26"/>
      <c r="D4" s="26"/>
      <c r="E4" s="292">
        <v>13995</v>
      </c>
      <c r="F4" s="26"/>
      <c r="G4" s="27">
        <f>E4/Summary!C14</f>
        <v>12388.902659254276</v>
      </c>
      <c r="H4" s="214" t="s">
        <v>84</v>
      </c>
    </row>
    <row r="5" spans="1:8" x14ac:dyDescent="0.25">
      <c r="A5" s="312"/>
      <c r="B5" s="101" t="s">
        <v>91</v>
      </c>
      <c r="C5" s="26"/>
      <c r="D5" s="26"/>
      <c r="E5" s="292">
        <v>395</v>
      </c>
      <c r="F5" s="26"/>
      <c r="G5" s="27">
        <f>E5/Summary!C14</f>
        <v>349.66892107220002</v>
      </c>
      <c r="H5" s="214" t="s">
        <v>90</v>
      </c>
    </row>
    <row r="6" spans="1:8" x14ac:dyDescent="0.25">
      <c r="A6" s="312"/>
      <c r="B6" s="101" t="s">
        <v>357</v>
      </c>
      <c r="C6" s="26"/>
      <c r="D6" s="26"/>
      <c r="E6" s="292">
        <v>3795</v>
      </c>
      <c r="F6" s="26"/>
      <c r="G6" s="27">
        <f>E6/Summary!C14</f>
        <v>3359.4773556177188</v>
      </c>
      <c r="H6" s="214" t="s">
        <v>356</v>
      </c>
    </row>
    <row r="7" spans="1:8" x14ac:dyDescent="0.25">
      <c r="A7" s="312"/>
      <c r="B7" s="101" t="s">
        <v>386</v>
      </c>
      <c r="C7" s="26"/>
      <c r="D7" s="26"/>
      <c r="E7" s="292"/>
      <c r="F7" s="26"/>
      <c r="G7" s="27">
        <v>119</v>
      </c>
      <c r="H7" s="214" t="s">
        <v>387</v>
      </c>
    </row>
    <row r="8" spans="1:8" x14ac:dyDescent="0.25">
      <c r="A8" s="312"/>
      <c r="B8" s="101" t="s">
        <v>384</v>
      </c>
      <c r="C8" s="26"/>
      <c r="D8" s="26"/>
      <c r="E8" s="292"/>
      <c r="F8" s="26"/>
      <c r="G8" s="27">
        <v>379</v>
      </c>
      <c r="H8" s="214" t="s">
        <v>385</v>
      </c>
    </row>
    <row r="9" spans="1:8" ht="15.75" thickBot="1" x14ac:dyDescent="0.3">
      <c r="A9" s="311"/>
      <c r="B9" s="102" t="s">
        <v>389</v>
      </c>
      <c r="C9" s="62"/>
      <c r="D9" s="62"/>
      <c r="E9" s="315"/>
      <c r="F9" s="62"/>
      <c r="G9" s="152">
        <v>425</v>
      </c>
      <c r="H9" s="216" t="s">
        <v>388</v>
      </c>
    </row>
    <row r="10" spans="1:8" ht="15.75" thickBot="1" x14ac:dyDescent="0.3">
      <c r="A10" s="244"/>
      <c r="G10" s="2"/>
    </row>
    <row r="11" spans="1:8" x14ac:dyDescent="0.25">
      <c r="A11" s="310" t="s">
        <v>549</v>
      </c>
      <c r="B11" s="100" t="s">
        <v>222</v>
      </c>
      <c r="C11" s="58" t="s">
        <v>223</v>
      </c>
      <c r="D11" s="316"/>
      <c r="E11" s="58"/>
      <c r="F11" s="58"/>
      <c r="G11" s="144">
        <v>1079.0999999999999</v>
      </c>
      <c r="H11" s="243" t="s">
        <v>95</v>
      </c>
    </row>
    <row r="12" spans="1:8" ht="15.75" thickBot="1" x14ac:dyDescent="0.3">
      <c r="A12" s="311"/>
      <c r="B12" s="102" t="s">
        <v>222</v>
      </c>
      <c r="C12" s="62" t="s">
        <v>224</v>
      </c>
      <c r="D12" s="317"/>
      <c r="E12" s="62"/>
      <c r="F12" s="152">
        <v>2041.73</v>
      </c>
      <c r="G12" s="152">
        <f>F12*(1-Summary!C15)</f>
        <v>1633.384</v>
      </c>
      <c r="H12" s="216" t="s">
        <v>202</v>
      </c>
    </row>
    <row r="13" spans="1:8" ht="15.75" thickBot="1" x14ac:dyDescent="0.3">
      <c r="A13" s="244"/>
    </row>
    <row r="14" spans="1:8" ht="15.75" thickBot="1" x14ac:dyDescent="0.3">
      <c r="A14" s="258" t="s">
        <v>351</v>
      </c>
      <c r="B14" s="296" t="s">
        <v>349</v>
      </c>
      <c r="C14" s="226" t="s">
        <v>350</v>
      </c>
      <c r="D14" s="226"/>
      <c r="E14" s="226"/>
      <c r="F14" s="226"/>
      <c r="G14" s="313">
        <v>12999</v>
      </c>
      <c r="H14" s="318" t="s">
        <v>348</v>
      </c>
    </row>
    <row r="15" spans="1:8" ht="15.75" thickBot="1" x14ac:dyDescent="0.3">
      <c r="A15" s="244"/>
    </row>
    <row r="16" spans="1:8" x14ac:dyDescent="0.25">
      <c r="A16" s="310" t="s">
        <v>550</v>
      </c>
      <c r="B16" s="100" t="s">
        <v>361</v>
      </c>
      <c r="C16" s="58">
        <v>5</v>
      </c>
      <c r="D16" s="58"/>
      <c r="E16" s="58"/>
      <c r="F16" s="58"/>
      <c r="G16" s="144">
        <v>69.400000000000006</v>
      </c>
      <c r="H16" s="243" t="s">
        <v>360</v>
      </c>
    </row>
    <row r="17" spans="1:8" x14ac:dyDescent="0.25">
      <c r="A17" s="312"/>
      <c r="B17" s="101" t="s">
        <v>363</v>
      </c>
      <c r="C17" s="26">
        <v>1</v>
      </c>
      <c r="D17" s="26"/>
      <c r="E17" s="26"/>
      <c r="F17" s="26"/>
      <c r="G17" s="27">
        <v>1433.25</v>
      </c>
      <c r="H17" s="214" t="s">
        <v>362</v>
      </c>
    </row>
    <row r="18" spans="1:8" x14ac:dyDescent="0.25">
      <c r="A18" s="312"/>
      <c r="B18" s="101" t="s">
        <v>365</v>
      </c>
      <c r="C18" s="26">
        <v>1</v>
      </c>
      <c r="D18" s="26"/>
      <c r="E18" s="26"/>
      <c r="F18" s="26"/>
      <c r="G18" s="27">
        <v>1866.02</v>
      </c>
      <c r="H18" s="214" t="s">
        <v>364</v>
      </c>
    </row>
    <row r="19" spans="1:8" x14ac:dyDescent="0.25">
      <c r="A19" s="312"/>
      <c r="B19" s="101" t="s">
        <v>367</v>
      </c>
      <c r="C19" s="26">
        <v>1</v>
      </c>
      <c r="D19" s="26"/>
      <c r="E19" s="26"/>
      <c r="F19" s="26"/>
      <c r="G19" s="27">
        <v>859.65</v>
      </c>
      <c r="H19" s="214" t="s">
        <v>366</v>
      </c>
    </row>
    <row r="20" spans="1:8" x14ac:dyDescent="0.25">
      <c r="A20" s="312"/>
      <c r="B20" s="101" t="s">
        <v>369</v>
      </c>
      <c r="C20" s="26">
        <v>3</v>
      </c>
      <c r="D20" s="26"/>
      <c r="E20" s="26"/>
      <c r="F20" s="26"/>
      <c r="G20" s="27">
        <v>699.07</v>
      </c>
      <c r="H20" s="214" t="s">
        <v>368</v>
      </c>
    </row>
    <row r="21" spans="1:8" x14ac:dyDescent="0.25">
      <c r="A21" s="312"/>
      <c r="B21" s="101" t="s">
        <v>372</v>
      </c>
      <c r="C21" s="26">
        <v>30</v>
      </c>
      <c r="D21" s="26"/>
      <c r="E21" s="26"/>
      <c r="F21" s="26"/>
      <c r="G21" s="27">
        <v>16.899999999999999</v>
      </c>
      <c r="H21" s="214" t="s">
        <v>373</v>
      </c>
    </row>
    <row r="22" spans="1:8" x14ac:dyDescent="0.25">
      <c r="A22" s="312"/>
      <c r="B22" s="101" t="s">
        <v>298</v>
      </c>
      <c r="C22" s="26"/>
      <c r="D22" s="26"/>
      <c r="E22" s="26"/>
      <c r="F22" s="26"/>
      <c r="G22" s="27">
        <v>1001.67</v>
      </c>
      <c r="H22" s="214" t="s">
        <v>295</v>
      </c>
    </row>
    <row r="23" spans="1:8" x14ac:dyDescent="0.25">
      <c r="A23" s="312"/>
      <c r="B23" s="101" t="s">
        <v>296</v>
      </c>
      <c r="C23" s="26"/>
      <c r="D23" s="26"/>
      <c r="E23" s="26"/>
      <c r="F23" s="26"/>
      <c r="G23" s="27">
        <v>352.31</v>
      </c>
      <c r="H23" s="214" t="s">
        <v>297</v>
      </c>
    </row>
    <row r="24" spans="1:8" ht="15.75" thickBot="1" x14ac:dyDescent="0.3">
      <c r="A24" s="311"/>
      <c r="B24" s="102" t="s">
        <v>359</v>
      </c>
      <c r="C24" s="62" t="s">
        <v>374</v>
      </c>
      <c r="D24" s="62"/>
      <c r="E24" s="62"/>
      <c r="F24" s="62"/>
      <c r="G24" s="152">
        <v>2302.5700000000002</v>
      </c>
      <c r="H24" s="216" t="s">
        <v>358</v>
      </c>
    </row>
    <row r="25" spans="1:8" ht="15.75" thickBot="1" x14ac:dyDescent="0.3">
      <c r="A25" s="244"/>
    </row>
    <row r="26" spans="1:8" x14ac:dyDescent="0.25">
      <c r="A26" s="310" t="s">
        <v>551</v>
      </c>
      <c r="B26" s="100" t="s">
        <v>380</v>
      </c>
      <c r="C26" s="58" t="s">
        <v>381</v>
      </c>
      <c r="D26" s="58"/>
      <c r="E26" s="58"/>
      <c r="F26" s="58"/>
      <c r="G26" s="144">
        <v>3259</v>
      </c>
      <c r="H26" s="243" t="s">
        <v>379</v>
      </c>
    </row>
    <row r="27" spans="1:8" ht="15.75" thickBot="1" x14ac:dyDescent="0.3">
      <c r="A27" s="311"/>
      <c r="B27" s="102" t="s">
        <v>484</v>
      </c>
      <c r="C27" s="62"/>
      <c r="D27" s="62"/>
      <c r="E27" s="62"/>
      <c r="F27" s="62"/>
      <c r="G27" s="152">
        <f>1031.54</f>
        <v>1031.54</v>
      </c>
      <c r="H27" s="216" t="s">
        <v>485</v>
      </c>
    </row>
    <row r="28" spans="1:8" ht="15.75" thickBot="1" x14ac:dyDescent="0.3">
      <c r="A28" s="244"/>
    </row>
    <row r="29" spans="1:8" ht="15.75" thickBot="1" x14ac:dyDescent="0.3">
      <c r="A29" s="258" t="s">
        <v>552</v>
      </c>
      <c r="B29" s="296" t="s">
        <v>382</v>
      </c>
      <c r="C29" s="226"/>
      <c r="D29" s="226"/>
      <c r="E29" s="226"/>
      <c r="F29" s="226"/>
      <c r="G29" s="313">
        <v>1075</v>
      </c>
      <c r="H29" s="318" t="s">
        <v>383</v>
      </c>
    </row>
  </sheetData>
  <mergeCells count="4">
    <mergeCell ref="A3:A9"/>
    <mergeCell ref="A11:A12"/>
    <mergeCell ref="A16:A24"/>
    <mergeCell ref="A26:A27"/>
  </mergeCells>
  <hyperlinks>
    <hyperlink ref="H11" r:id="rId1" xr:uid="{00000000-0004-0000-0600-000000000000}"/>
    <hyperlink ref="H12" r:id="rId2" xr:uid="{00000000-0004-0000-0600-000001000000}"/>
    <hyperlink ref="H3" r:id="rId3" xr:uid="{00000000-0004-0000-0600-000002000000}"/>
    <hyperlink ref="H5" r:id="rId4" xr:uid="{00000000-0004-0000-0600-000003000000}"/>
    <hyperlink ref="H4" r:id="rId5" xr:uid="{00000000-0004-0000-0600-000007000000}"/>
    <hyperlink ref="H22" r:id="rId6" xr:uid="{00000000-0004-0000-0600-000008000000}"/>
    <hyperlink ref="H23" r:id="rId7" xr:uid="{00000000-0004-0000-0600-000009000000}"/>
    <hyperlink ref="H14" r:id="rId8" xr:uid="{F19EC9CD-DC53-4EFD-8A0A-48878CDB7422}"/>
    <hyperlink ref="H16" r:id="rId9" xr:uid="{A4C7276F-7168-490B-BEB2-32AC6233E6FA}"/>
    <hyperlink ref="H17" r:id="rId10" xr:uid="{055614BC-01C0-4B4C-A0ED-5FF8F51C7B2E}"/>
    <hyperlink ref="H18" r:id="rId11" xr:uid="{4AAE0EA1-9B29-404E-808F-5F20B5CB209A}"/>
    <hyperlink ref="H19" r:id="rId12" xr:uid="{2064E6CC-B012-4F85-84BD-4BEEE0ADB236}"/>
    <hyperlink ref="H20" r:id="rId13" xr:uid="{20B57005-5733-46FC-A599-FDAE90D8F45C}"/>
    <hyperlink ref="H21" r:id="rId14" xr:uid="{CEA2462A-FEA4-4128-8BC5-F267CC225FDC}"/>
    <hyperlink ref="H24" r:id="rId15" xr:uid="{810E01CC-42CA-420E-A1E9-D2266529E894}"/>
    <hyperlink ref="H26" r:id="rId16" xr:uid="{8DAC8B45-F298-464A-B2E7-151F206A1C68}"/>
    <hyperlink ref="H27" r:id="rId17" xr:uid="{24BF8C79-4A7B-4569-B195-D9C730161DED}"/>
    <hyperlink ref="H29" r:id="rId18" xr:uid="{F2E381E2-49C0-4630-A9BA-32A395E37EA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F31"/>
  <sheetViews>
    <sheetView workbookViewId="0">
      <selection activeCell="A2" sqref="A2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3" x14ac:dyDescent="0.25">
      <c r="A1" s="3" t="s">
        <v>12</v>
      </c>
    </row>
    <row r="2" spans="1:3" x14ac:dyDescent="0.25">
      <c r="A2" t="s">
        <v>51</v>
      </c>
      <c r="B2" s="2">
        <f>97625+10395</f>
        <v>108020</v>
      </c>
      <c r="C2" s="3" t="s">
        <v>53</v>
      </c>
    </row>
    <row r="3" spans="1:3" x14ac:dyDescent="0.25">
      <c r="A3" t="s">
        <v>52</v>
      </c>
    </row>
    <row r="4" spans="1:3" x14ac:dyDescent="0.25">
      <c r="A4" t="s">
        <v>54</v>
      </c>
      <c r="B4" t="s">
        <v>55</v>
      </c>
      <c r="C4">
        <v>1016</v>
      </c>
    </row>
    <row r="5" spans="1:3" x14ac:dyDescent="0.25">
      <c r="B5" t="s">
        <v>56</v>
      </c>
      <c r="C5">
        <v>660</v>
      </c>
    </row>
    <row r="6" spans="1:3" x14ac:dyDescent="0.25">
      <c r="B6" t="s">
        <v>57</v>
      </c>
      <c r="C6">
        <v>635</v>
      </c>
    </row>
    <row r="7" spans="1:3" x14ac:dyDescent="0.25">
      <c r="A7" t="s">
        <v>58</v>
      </c>
    </row>
    <row r="8" spans="1:3" x14ac:dyDescent="0.25">
      <c r="A8" t="s">
        <v>59</v>
      </c>
    </row>
    <row r="9" spans="1:3" x14ac:dyDescent="0.25">
      <c r="A9" t="s">
        <v>60</v>
      </c>
    </row>
    <row r="10" spans="1:3" x14ac:dyDescent="0.25">
      <c r="A10" t="s">
        <v>61</v>
      </c>
      <c r="B10" t="s">
        <v>55</v>
      </c>
      <c r="C10">
        <v>1372</v>
      </c>
    </row>
    <row r="11" spans="1:3" x14ac:dyDescent="0.25">
      <c r="B11" t="s">
        <v>56</v>
      </c>
      <c r="C11">
        <v>610</v>
      </c>
    </row>
    <row r="12" spans="1:3" x14ac:dyDescent="0.25">
      <c r="A12" t="s">
        <v>62</v>
      </c>
      <c r="B12" t="s">
        <v>63</v>
      </c>
    </row>
    <row r="13" spans="1:3" x14ac:dyDescent="0.25">
      <c r="A13" t="s">
        <v>64</v>
      </c>
      <c r="B13" t="s">
        <v>65</v>
      </c>
    </row>
    <row r="14" spans="1:3" x14ac:dyDescent="0.25">
      <c r="A14" t="s">
        <v>66</v>
      </c>
      <c r="B14" t="s">
        <v>67</v>
      </c>
    </row>
    <row r="15" spans="1:3" x14ac:dyDescent="0.25">
      <c r="A15" t="s">
        <v>68</v>
      </c>
      <c r="B15" t="s">
        <v>69</v>
      </c>
    </row>
    <row r="16" spans="1:3" x14ac:dyDescent="0.25">
      <c r="A16" t="s">
        <v>70</v>
      </c>
      <c r="B16" t="s">
        <v>71</v>
      </c>
    </row>
    <row r="17" spans="1:6" x14ac:dyDescent="0.25">
      <c r="A17" t="s">
        <v>23</v>
      </c>
      <c r="B17" t="s">
        <v>72</v>
      </c>
    </row>
    <row r="19" spans="1:6" x14ac:dyDescent="0.25">
      <c r="A19" t="s">
        <v>106</v>
      </c>
      <c r="B19" t="s">
        <v>107</v>
      </c>
      <c r="C19" t="s">
        <v>108</v>
      </c>
    </row>
    <row r="21" spans="1:6" x14ac:dyDescent="0.25">
      <c r="B21" t="s">
        <v>194</v>
      </c>
      <c r="C21" t="s">
        <v>203</v>
      </c>
      <c r="D21" t="s">
        <v>204</v>
      </c>
    </row>
    <row r="22" spans="1:6" x14ac:dyDescent="0.25">
      <c r="A22" t="s">
        <v>51</v>
      </c>
      <c r="B22" s="2">
        <f>97625+10395</f>
        <v>108020</v>
      </c>
      <c r="C22">
        <v>1</v>
      </c>
      <c r="D22" t="s">
        <v>205</v>
      </c>
    </row>
    <row r="23" spans="1:6" x14ac:dyDescent="0.25">
      <c r="A23" t="s">
        <v>106</v>
      </c>
      <c r="B23" s="2">
        <v>100</v>
      </c>
      <c r="C23">
        <v>40</v>
      </c>
      <c r="D23" s="3" t="s">
        <v>107</v>
      </c>
    </row>
    <row r="24" spans="1:6" x14ac:dyDescent="0.25">
      <c r="A24" t="s">
        <v>85</v>
      </c>
      <c r="B24" s="2">
        <v>2500</v>
      </c>
      <c r="C24">
        <v>1</v>
      </c>
      <c r="D24" s="3" t="s">
        <v>81</v>
      </c>
    </row>
    <row r="27" spans="1:6" x14ac:dyDescent="0.25">
      <c r="A27" t="s">
        <v>73</v>
      </c>
      <c r="B27" t="s">
        <v>80</v>
      </c>
    </row>
    <row r="28" spans="1:6" x14ac:dyDescent="0.25">
      <c r="B28" t="s">
        <v>75</v>
      </c>
      <c r="C28" t="s">
        <v>77</v>
      </c>
      <c r="D28" t="s">
        <v>76</v>
      </c>
      <c r="E28" t="s">
        <v>78</v>
      </c>
    </row>
    <row r="29" spans="1:6" x14ac:dyDescent="0.25">
      <c r="A29" t="s">
        <v>74</v>
      </c>
      <c r="B29" s="4">
        <v>0.04</v>
      </c>
      <c r="C29">
        <v>5</v>
      </c>
      <c r="D29" s="2">
        <v>79.52</v>
      </c>
      <c r="E29">
        <f>208*B29</f>
        <v>8.32</v>
      </c>
      <c r="F29" s="5">
        <f>$E$29*D29/C29</f>
        <v>132.32128</v>
      </c>
    </row>
    <row r="30" spans="1:6" x14ac:dyDescent="0.25">
      <c r="A30" t="s">
        <v>79</v>
      </c>
      <c r="C30">
        <v>20</v>
      </c>
      <c r="D30" s="2">
        <v>236.84</v>
      </c>
      <c r="F30" s="5">
        <f>$E$29*D30/C30</f>
        <v>98.525440000000003</v>
      </c>
    </row>
    <row r="31" spans="1:6" x14ac:dyDescent="0.25">
      <c r="C31">
        <v>200</v>
      </c>
      <c r="D31" s="2">
        <v>2116</v>
      </c>
      <c r="F31" s="5">
        <f>$E$29*D31/C31</f>
        <v>88.025599999999997</v>
      </c>
    </row>
  </sheetData>
  <hyperlinks>
    <hyperlink ref="A1" r:id="rId1" xr:uid="{00000000-0004-0000-0700-000000000000}"/>
    <hyperlink ref="C2" r:id="rId2" xr:uid="{00000000-0004-0000-0700-000001000000}"/>
    <hyperlink ref="D24" r:id="rId3" xr:uid="{00000000-0004-0000-0700-000002000000}"/>
    <hyperlink ref="D23" r:id="rId4" xr:uid="{00000000-0004-0000-0700-00000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F17"/>
  <sheetViews>
    <sheetView workbookViewId="0">
      <selection activeCell="B18" sqref="B18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6" x14ac:dyDescent="0.25">
      <c r="A1" s="3" t="s">
        <v>12</v>
      </c>
    </row>
    <row r="2" spans="1:6" x14ac:dyDescent="0.25">
      <c r="A2" s="16" t="s">
        <v>346</v>
      </c>
      <c r="B2" s="2">
        <f>133720</f>
        <v>133720</v>
      </c>
      <c r="C2" t="s">
        <v>345</v>
      </c>
    </row>
    <row r="3" spans="1:6" x14ac:dyDescent="0.25">
      <c r="A3" s="16"/>
      <c r="B3" s="2"/>
    </row>
    <row r="4" spans="1:6" x14ac:dyDescent="0.25">
      <c r="A4" s="16" t="s">
        <v>323</v>
      </c>
      <c r="B4">
        <v>208</v>
      </c>
    </row>
    <row r="5" spans="1:6" x14ac:dyDescent="0.25">
      <c r="B5" t="s">
        <v>178</v>
      </c>
      <c r="C5" t="s">
        <v>204</v>
      </c>
    </row>
    <row r="6" spans="1:6" x14ac:dyDescent="0.25">
      <c r="A6" t="s">
        <v>106</v>
      </c>
      <c r="B6" s="2">
        <v>600</v>
      </c>
      <c r="C6" t="s">
        <v>321</v>
      </c>
    </row>
    <row r="7" spans="1:6" x14ac:dyDescent="0.25">
      <c r="A7" t="s">
        <v>319</v>
      </c>
      <c r="B7" s="2">
        <f>(2500+1500)/2</f>
        <v>2000</v>
      </c>
      <c r="C7" t="s">
        <v>321</v>
      </c>
    </row>
    <row r="8" spans="1:6" x14ac:dyDescent="0.25">
      <c r="A8" t="s">
        <v>320</v>
      </c>
      <c r="B8" s="2">
        <v>160</v>
      </c>
      <c r="C8" t="s">
        <v>322</v>
      </c>
    </row>
    <row r="10" spans="1:6" x14ac:dyDescent="0.25">
      <c r="A10" t="s">
        <v>73</v>
      </c>
      <c r="B10" t="s">
        <v>80</v>
      </c>
    </row>
    <row r="11" spans="1:6" x14ac:dyDescent="0.25">
      <c r="B11" t="s">
        <v>75</v>
      </c>
      <c r="C11" t="s">
        <v>77</v>
      </c>
      <c r="D11" t="s">
        <v>76</v>
      </c>
      <c r="E11" t="s">
        <v>78</v>
      </c>
    </row>
    <row r="12" spans="1:6" x14ac:dyDescent="0.25">
      <c r="A12" t="s">
        <v>74</v>
      </c>
      <c r="B12" s="4">
        <v>0.04</v>
      </c>
      <c r="C12">
        <v>5</v>
      </c>
      <c r="D12" s="2">
        <v>79.52</v>
      </c>
      <c r="E12">
        <f>208*B12</f>
        <v>8.32</v>
      </c>
      <c r="F12" s="5">
        <f>$B$4*$B$12*D12/C12</f>
        <v>132.32128</v>
      </c>
    </row>
    <row r="13" spans="1:6" x14ac:dyDescent="0.25">
      <c r="A13" t="s">
        <v>79</v>
      </c>
      <c r="C13">
        <v>20</v>
      </c>
      <c r="D13" s="2">
        <v>236.84</v>
      </c>
      <c r="F13" s="5">
        <f t="shared" ref="F13:F14" si="0">$B$4*$B$12*D13/C13</f>
        <v>98.525440000000003</v>
      </c>
    </row>
    <row r="14" spans="1:6" x14ac:dyDescent="0.25">
      <c r="C14">
        <v>200</v>
      </c>
      <c r="D14" s="2">
        <v>2116</v>
      </c>
      <c r="F14" s="5">
        <f t="shared" si="0"/>
        <v>88.025599999999997</v>
      </c>
    </row>
    <row r="17" spans="2:2" x14ac:dyDescent="0.25">
      <c r="B17" t="s">
        <v>347</v>
      </c>
    </row>
  </sheetData>
  <hyperlinks>
    <hyperlink ref="A1" r:id="rId1" xr:uid="{00000000-0004-0000-08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Summary</vt:lpstr>
      <vt:lpstr>Manpower &amp; time</vt:lpstr>
      <vt:lpstr>Energies</vt:lpstr>
      <vt:lpstr>Metrology</vt:lpstr>
      <vt:lpstr>IT</vt:lpstr>
      <vt:lpstr>Office</vt:lpstr>
      <vt:lpstr>Manufacturing</vt:lpstr>
      <vt:lpstr>CNC mill</vt:lpstr>
      <vt:lpstr>CNC lathe</vt:lpstr>
      <vt:lpstr>Laser cutter</vt:lpstr>
      <vt:lpstr>Welding</vt:lpstr>
      <vt:lpstr>Conventionnal machinning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Arthur Perdereau</cp:lastModifiedBy>
  <dcterms:created xsi:type="dcterms:W3CDTF">2019-04-04T18:24:41Z</dcterms:created>
  <dcterms:modified xsi:type="dcterms:W3CDTF">2019-06-27T16:38:28Z</dcterms:modified>
</cp:coreProperties>
</file>