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-120" yWindow="-120" windowWidth="29040" windowHeight="15840" tabRatio="667" firstSheet="3" activeTab="12"/>
  </bookViews>
  <sheets>
    <sheet name="Summary" sheetId="6" r:id="rId1"/>
    <sheet name="Manpower &amp; time" sheetId="11" r:id="rId2"/>
    <sheet name="Energies" sheetId="13" r:id="rId3"/>
    <sheet name="Metrology" sheetId="12" r:id="rId4"/>
    <sheet name="IT" sheetId="9" r:id="rId5"/>
    <sheet name="Office" sheetId="14" r:id="rId6"/>
    <sheet name="Manufacturing" sheetId="8" r:id="rId7"/>
    <sheet name="CNC mill" sheetId="3" r:id="rId8"/>
    <sheet name="CNC lathe" sheetId="4" r:id="rId9"/>
    <sheet name="Laser cutter" sheetId="5" r:id="rId10"/>
    <sheet name="Welding" sheetId="10" r:id="rId11"/>
    <sheet name="Conventionnal machinning" sheetId="15" r:id="rId12"/>
    <sheet name="Material" sheetId="2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9" i="2" l="1"/>
  <c r="F69" i="2" s="1"/>
  <c r="E68" i="2"/>
  <c r="F68" i="2" s="1"/>
  <c r="E67" i="2"/>
  <c r="F67" i="2" s="1"/>
  <c r="E66" i="2"/>
  <c r="F66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I53" i="2"/>
  <c r="J53" i="2" s="1"/>
  <c r="C53" i="2"/>
  <c r="D53" i="2" s="1"/>
  <c r="I52" i="2"/>
  <c r="J52" i="2" s="1"/>
  <c r="C52" i="2"/>
  <c r="D52" i="2" s="1"/>
  <c r="I51" i="2"/>
  <c r="J51" i="2" s="1"/>
  <c r="C51" i="2"/>
  <c r="D51" i="2" s="1"/>
  <c r="D61" i="2" s="1"/>
  <c r="I50" i="2"/>
  <c r="J50" i="2" s="1"/>
  <c r="C50" i="2"/>
  <c r="D50" i="2" s="1"/>
  <c r="E46" i="2"/>
  <c r="E39" i="2"/>
  <c r="R38" i="2"/>
  <c r="E38" i="2"/>
  <c r="R37" i="2"/>
  <c r="E37" i="2"/>
  <c r="R36" i="2"/>
  <c r="K36" i="2"/>
  <c r="E36" i="2"/>
  <c r="R35" i="2"/>
  <c r="K35" i="2"/>
  <c r="E35" i="2"/>
  <c r="R34" i="2"/>
  <c r="K34" i="2"/>
  <c r="E34" i="2"/>
  <c r="E40" i="2" s="1"/>
  <c r="R33" i="2"/>
  <c r="R39" i="2" s="1"/>
  <c r="K33" i="2"/>
  <c r="K37" i="2" s="1"/>
  <c r="E33" i="2"/>
  <c r="E27" i="2"/>
  <c r="E26" i="2"/>
  <c r="U25" i="2"/>
  <c r="V25" i="2" s="1"/>
  <c r="E25" i="2"/>
  <c r="U24" i="2"/>
  <c r="V24" i="2" s="1"/>
  <c r="E24" i="2"/>
  <c r="E23" i="2"/>
  <c r="E22" i="2"/>
  <c r="E28" i="2" s="1"/>
  <c r="V21" i="2"/>
  <c r="Q21" i="2"/>
  <c r="E21" i="2"/>
  <c r="V20" i="2"/>
  <c r="Q20" i="2"/>
  <c r="V19" i="2"/>
  <c r="Q19" i="2"/>
  <c r="V18" i="2"/>
  <c r="Q18" i="2"/>
  <c r="V17" i="2"/>
  <c r="V22" i="2" s="1"/>
  <c r="Q17" i="2"/>
  <c r="Q22" i="2" s="1"/>
  <c r="E16" i="2"/>
  <c r="E15" i="2"/>
  <c r="E14" i="2"/>
  <c r="E13" i="2"/>
  <c r="E12" i="2"/>
  <c r="J11" i="2"/>
  <c r="E11" i="2"/>
  <c r="Q10" i="2"/>
  <c r="J10" i="2"/>
  <c r="E10" i="2"/>
  <c r="Q9" i="2"/>
  <c r="J9" i="2"/>
  <c r="E9" i="2"/>
  <c r="Q8" i="2"/>
  <c r="J8" i="2"/>
  <c r="E8" i="2"/>
  <c r="Q7" i="2"/>
  <c r="J7" i="2"/>
  <c r="E7" i="2"/>
  <c r="W6" i="2"/>
  <c r="Q6" i="2"/>
  <c r="J6" i="2"/>
  <c r="E6" i="2"/>
  <c r="W5" i="2"/>
  <c r="Q5" i="2"/>
  <c r="J5" i="2"/>
  <c r="E5" i="2"/>
  <c r="W4" i="2"/>
  <c r="W7" i="2" s="1"/>
  <c r="Q4" i="2"/>
  <c r="Q11" i="2" s="1"/>
  <c r="J4" i="2"/>
  <c r="J12" i="2" s="1"/>
  <c r="E4" i="2"/>
  <c r="D62" i="2" l="1"/>
  <c r="J28" i="11" l="1"/>
  <c r="H28" i="11"/>
  <c r="H39" i="6"/>
  <c r="H29" i="6"/>
  <c r="J29" i="6" s="1"/>
  <c r="F36" i="8"/>
  <c r="M41" i="6" l="1"/>
  <c r="M75" i="6"/>
  <c r="J14" i="5"/>
  <c r="M29" i="6" l="1"/>
  <c r="G8" i="11"/>
  <c r="G7" i="11"/>
  <c r="G6" i="11"/>
  <c r="G5" i="11"/>
  <c r="B32" i="11"/>
  <c r="K25" i="11"/>
  <c r="D7" i="11"/>
  <c r="Q38" i="6"/>
  <c r="S38" i="6" s="1"/>
  <c r="Q37" i="6"/>
  <c r="S37" i="6" s="1"/>
  <c r="B32" i="10"/>
  <c r="M30" i="6" s="1"/>
  <c r="G9" i="11" l="1"/>
  <c r="H16" i="6" s="1"/>
  <c r="Q40" i="6"/>
  <c r="S40" i="6" s="1"/>
  <c r="B28" i="10" l="1"/>
  <c r="B29" i="10" s="1"/>
  <c r="Q34" i="6" s="1"/>
  <c r="B22" i="10"/>
  <c r="B23" i="10" s="1"/>
  <c r="Q35" i="6" s="1"/>
  <c r="B15" i="10"/>
  <c r="B17" i="10" s="1"/>
  <c r="Q36" i="6" s="1"/>
  <c r="C10" i="13" l="1"/>
  <c r="M25" i="6"/>
  <c r="M24" i="6"/>
  <c r="R7" i="5"/>
  <c r="R8" i="5" s="1"/>
  <c r="G5" i="5"/>
  <c r="Q22" i="6" s="1"/>
  <c r="S5" i="5"/>
  <c r="R5" i="5"/>
  <c r="H12" i="6" l="1"/>
  <c r="C15" i="6"/>
  <c r="J39" i="6"/>
  <c r="H28" i="6"/>
  <c r="J28" i="6" s="1"/>
  <c r="H36" i="6" l="1"/>
  <c r="J36" i="6" s="1"/>
  <c r="H34" i="6"/>
  <c r="J34" i="6" s="1"/>
  <c r="F5" i="8"/>
  <c r="J33" i="6"/>
  <c r="J32" i="6"/>
  <c r="B5" i="13" l="1"/>
  <c r="H37" i="6"/>
  <c r="Q11" i="6"/>
  <c r="B2" i="4"/>
  <c r="E26" i="5"/>
  <c r="F26" i="5" s="1"/>
  <c r="E25" i="5"/>
  <c r="F25" i="5" s="1"/>
  <c r="E24" i="5"/>
  <c r="F24" i="5" s="1"/>
  <c r="E23" i="5"/>
  <c r="F23" i="5" s="1"/>
  <c r="E22" i="5"/>
  <c r="F22" i="5" s="1"/>
  <c r="E21" i="5"/>
  <c r="F21" i="5" s="1"/>
  <c r="E20" i="5"/>
  <c r="F20" i="5" s="1"/>
  <c r="E19" i="5"/>
  <c r="F19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0" i="5"/>
  <c r="F10" i="5" s="1"/>
  <c r="M21" i="6"/>
  <c r="G4" i="5"/>
  <c r="Q19" i="6" s="1"/>
  <c r="Q20" i="6" l="1"/>
  <c r="S20" i="6" s="1"/>
  <c r="S19" i="6"/>
  <c r="F13" i="4"/>
  <c r="F14" i="4"/>
  <c r="Q17" i="6" s="1"/>
  <c r="S17" i="6" s="1"/>
  <c r="F12" i="4"/>
  <c r="E12" i="4"/>
  <c r="Q13" i="6"/>
  <c r="S13" i="6" s="1"/>
  <c r="B7" i="4"/>
  <c r="Q12" i="6" s="1"/>
  <c r="S12" i="6" s="1"/>
  <c r="S11" i="6"/>
  <c r="M13" i="6"/>
  <c r="M15" i="6"/>
  <c r="Q14" i="6"/>
  <c r="S14" i="6" s="1"/>
  <c r="M17" i="6" l="1"/>
  <c r="M16" i="6"/>
  <c r="R73" i="6"/>
  <c r="R59" i="6"/>
  <c r="H35" i="6" l="1"/>
  <c r="H26" i="6"/>
  <c r="H24" i="6"/>
  <c r="M5" i="6" l="1"/>
  <c r="B6" i="13" l="1"/>
  <c r="H10" i="6" s="1"/>
  <c r="J10" i="6" s="1"/>
  <c r="D6" i="11"/>
  <c r="H17" i="6" s="1"/>
  <c r="J17" i="6" s="1"/>
  <c r="D8" i="11"/>
  <c r="D5" i="11"/>
  <c r="F9" i="11"/>
  <c r="K24" i="11"/>
  <c r="K26" i="11"/>
  <c r="K23" i="11"/>
  <c r="M7" i="6"/>
  <c r="M8" i="6" l="1"/>
  <c r="M9" i="6"/>
  <c r="Q29" i="6"/>
  <c r="S29" i="6" s="1"/>
  <c r="Q30" i="6"/>
  <c r="S30" i="6" s="1"/>
  <c r="Q28" i="6"/>
  <c r="S28" i="6" s="1"/>
  <c r="Q27" i="6"/>
  <c r="S27" i="6" s="1"/>
  <c r="H9" i="6"/>
  <c r="J9" i="6" s="1"/>
  <c r="H6" i="6"/>
  <c r="J6" i="6" s="1"/>
  <c r="Q31" i="6"/>
  <c r="S31" i="6" s="1"/>
  <c r="E29" i="3"/>
  <c r="F29" i="3" s="1"/>
  <c r="F3" i="8"/>
  <c r="J35" i="6"/>
  <c r="F11" i="8"/>
  <c r="F4" i="8"/>
  <c r="F2" i="8"/>
  <c r="Q5" i="6"/>
  <c r="Q4" i="6"/>
  <c r="S4" i="6" s="1"/>
  <c r="J12" i="6"/>
  <c r="J37" i="6"/>
  <c r="J13" i="6"/>
  <c r="J26" i="6"/>
  <c r="J24" i="6"/>
  <c r="J25" i="6"/>
  <c r="B22" i="3"/>
  <c r="Q3" i="6" s="1"/>
  <c r="B2" i="3"/>
  <c r="S5" i="6" l="1"/>
  <c r="Q39" i="6"/>
  <c r="S39" i="6" s="1"/>
  <c r="R92" i="6" s="1"/>
  <c r="H27" i="6"/>
  <c r="J27" i="6" s="1"/>
  <c r="J16" i="6"/>
  <c r="H30" i="6"/>
  <c r="F31" i="3"/>
  <c r="Q32" i="6"/>
  <c r="S32" i="6" s="1"/>
  <c r="R85" i="6" s="1"/>
  <c r="Q6" i="6"/>
  <c r="S6" i="6" s="1"/>
  <c r="S3" i="6"/>
  <c r="F30" i="3"/>
  <c r="E19" i="12"/>
  <c r="E3" i="12"/>
  <c r="E4" i="12"/>
  <c r="E6" i="12"/>
  <c r="E7" i="12"/>
  <c r="E8" i="12"/>
  <c r="E10" i="12"/>
  <c r="E11" i="12"/>
  <c r="E12" i="12"/>
  <c r="E14" i="12"/>
  <c r="E15" i="12"/>
  <c r="E16" i="12"/>
  <c r="E17" i="12"/>
  <c r="E18" i="12"/>
  <c r="E2" i="12"/>
  <c r="D21" i="12"/>
  <c r="E21" i="12" s="1"/>
  <c r="H8" i="6" s="1"/>
  <c r="J8" i="6" s="1"/>
  <c r="H23" i="6"/>
  <c r="J23" i="6" s="1"/>
  <c r="B33" i="9"/>
  <c r="D2" i="9"/>
  <c r="H22" i="6" s="1"/>
  <c r="J22" i="6" s="1"/>
  <c r="D6" i="9"/>
  <c r="D7" i="9"/>
  <c r="D11" i="9"/>
  <c r="D12" i="9"/>
  <c r="D13" i="9"/>
  <c r="D15" i="9"/>
  <c r="D16" i="9"/>
  <c r="D17" i="9"/>
  <c r="D18" i="9"/>
  <c r="D5" i="9"/>
  <c r="H19" i="6" s="1"/>
  <c r="J19" i="6" s="1"/>
  <c r="H21" i="6"/>
  <c r="J21" i="6" s="1"/>
  <c r="C14" i="6"/>
  <c r="C13" i="6"/>
  <c r="B16" i="11"/>
  <c r="B17" i="11" s="1"/>
  <c r="C9" i="6" s="1"/>
  <c r="C6" i="6"/>
  <c r="H14" i="6" s="1"/>
  <c r="J14" i="6" s="1"/>
  <c r="C4" i="6"/>
  <c r="C5" i="6"/>
  <c r="C3" i="6"/>
  <c r="B28" i="11" l="1"/>
  <c r="B30" i="11"/>
  <c r="F28" i="11"/>
  <c r="Q21" i="6"/>
  <c r="Q41" i="6"/>
  <c r="G28" i="11"/>
  <c r="Q9" i="6"/>
  <c r="S9" i="6" s="1"/>
  <c r="R45" i="6" s="1"/>
  <c r="D28" i="11"/>
  <c r="H38" i="6"/>
  <c r="J38" i="6" s="1"/>
  <c r="J30" i="6"/>
  <c r="H31" i="6"/>
  <c r="J31" i="6" s="1"/>
  <c r="Q15" i="6"/>
  <c r="H18" i="6"/>
  <c r="J18" i="6" s="1"/>
  <c r="Q7" i="6"/>
  <c r="H11" i="6"/>
  <c r="J11" i="6" s="1"/>
  <c r="H15" i="6"/>
  <c r="J15" i="6" s="1"/>
  <c r="C12" i="6"/>
  <c r="C28" i="11"/>
  <c r="E28" i="11"/>
  <c r="H20" i="6"/>
  <c r="J20" i="6" s="1"/>
  <c r="H5" i="6"/>
  <c r="J5" i="6" s="1"/>
  <c r="H7" i="6"/>
  <c r="J7" i="6" s="1"/>
  <c r="H4" i="6"/>
  <c r="J4" i="6" s="1"/>
  <c r="H3" i="6"/>
  <c r="J3" i="6" s="1"/>
  <c r="I28" i="11" l="1"/>
  <c r="J42" i="6"/>
  <c r="H5" i="11"/>
  <c r="H7" i="11"/>
  <c r="J46" i="6" s="1"/>
  <c r="H6" i="11"/>
  <c r="H8" i="11"/>
  <c r="I27" i="11"/>
  <c r="D27" i="11"/>
  <c r="F27" i="11"/>
  <c r="J27" i="11"/>
  <c r="G27" i="11"/>
  <c r="C27" i="11"/>
  <c r="B27" i="11"/>
  <c r="E27" i="11"/>
  <c r="H27" i="11"/>
  <c r="J45" i="6" l="1"/>
  <c r="J44" i="6"/>
  <c r="J43" i="6"/>
  <c r="R93" i="6" s="1"/>
  <c r="B33" i="10"/>
  <c r="B34" i="10" s="1"/>
  <c r="J47" i="6"/>
  <c r="K28" i="11"/>
  <c r="K27" i="11"/>
  <c r="R55" i="6" l="1"/>
  <c r="R53" i="6"/>
  <c r="R56" i="6"/>
  <c r="R52" i="6"/>
  <c r="R82" i="6"/>
  <c r="R67" i="6"/>
  <c r="R79" i="6"/>
  <c r="R70" i="6"/>
  <c r="R81" i="6"/>
  <c r="R66" i="6"/>
  <c r="R78" i="6"/>
  <c r="R69" i="6"/>
  <c r="R54" i="6"/>
  <c r="R71" i="6"/>
  <c r="R68" i="6"/>
  <c r="R57" i="6"/>
  <c r="R97" i="6"/>
  <c r="R86" i="6"/>
  <c r="R87" i="6" s="1"/>
  <c r="R94" i="6"/>
  <c r="R96" i="6" s="1"/>
  <c r="R74" i="6"/>
  <c r="R75" i="6" s="1"/>
  <c r="R77" i="6" s="1"/>
  <c r="R46" i="6"/>
  <c r="R58" i="6" s="1"/>
  <c r="R60" i="6"/>
  <c r="R90" i="6" l="1"/>
  <c r="R89" i="6"/>
  <c r="R84" i="6"/>
  <c r="R47" i="6"/>
  <c r="R49" i="6" s="1"/>
  <c r="R50" i="6" s="1"/>
  <c r="R61" i="6"/>
  <c r="R63" i="6" s="1"/>
  <c r="R64" i="6" s="1"/>
  <c r="R72" i="6"/>
</calcChain>
</file>

<file path=xl/sharedStrings.xml><?xml version="1.0" encoding="utf-8"?>
<sst xmlns="http://schemas.openxmlformats.org/spreadsheetml/2006/main" count="803" uniqueCount="545">
  <si>
    <t>Alu 7075 T6</t>
  </si>
  <si>
    <t>largeur (mm)</t>
  </si>
  <si>
    <t>longueur (mm)</t>
  </si>
  <si>
    <t>Prix volumique (€/mm^3)</t>
  </si>
  <si>
    <t>Epaisseur (mm)</t>
  </si>
  <si>
    <t>http://www.blockenstock.fr/epaisseur-32mm-et-plus-c102x2963106</t>
  </si>
  <si>
    <t>2017A</t>
  </si>
  <si>
    <t xml:space="preserve">Prix </t>
  </si>
  <si>
    <t>Moyenne</t>
  </si>
  <si>
    <t>Alu 7075</t>
  </si>
  <si>
    <t>Diamètre (mm)</t>
  </si>
  <si>
    <t xml:space="preserve">Longueur </t>
  </si>
  <si>
    <t>https://www.haascnc.com/shop/category/pricelist.html</t>
  </si>
  <si>
    <t>https://www.bosslaser.com/metal-cutting-product/</t>
  </si>
  <si>
    <t>Overheads cost</t>
  </si>
  <si>
    <t>OP</t>
  </si>
  <si>
    <t>Description</t>
  </si>
  <si>
    <t>Cost</t>
  </si>
  <si>
    <t>Turning</t>
  </si>
  <si>
    <t>Electricity</t>
  </si>
  <si>
    <t>Laser Cutting</t>
  </si>
  <si>
    <t>2D Laser cut</t>
  </si>
  <si>
    <t>Maintenance</t>
  </si>
  <si>
    <t xml:space="preserve">Electricity </t>
  </si>
  <si>
    <t>Welding</t>
  </si>
  <si>
    <t>Direct Assembly Cost</t>
  </si>
  <si>
    <t xml:space="preserve">Description </t>
  </si>
  <si>
    <t>Tighten bolts</t>
  </si>
  <si>
    <t>Operator</t>
  </si>
  <si>
    <t>Interference assembly</t>
  </si>
  <si>
    <t>Hydraulic press</t>
  </si>
  <si>
    <t>Gages?</t>
  </si>
  <si>
    <t>Specific PPE</t>
  </si>
  <si>
    <t>Category</t>
  </si>
  <si>
    <t>Metrology</t>
  </si>
  <si>
    <t>Inside micrometer</t>
  </si>
  <si>
    <t>Indicator</t>
  </si>
  <si>
    <t>Profile projector</t>
  </si>
  <si>
    <t>Real Estate</t>
  </si>
  <si>
    <t>Recycling/Waste Managment</t>
  </si>
  <si>
    <t>IT</t>
  </si>
  <si>
    <t>Computers</t>
  </si>
  <si>
    <t>Internet/phone access</t>
  </si>
  <si>
    <t>Office furniture</t>
  </si>
  <si>
    <t>Fume extractor</t>
  </si>
  <si>
    <t>Manufacturing</t>
  </si>
  <si>
    <t>Torque Wrench</t>
  </si>
  <si>
    <t>Workstations</t>
  </si>
  <si>
    <t>Material cost</t>
  </si>
  <si>
    <t>Fasteners</t>
  </si>
  <si>
    <t>Stock</t>
  </si>
  <si>
    <t>Sanding</t>
  </si>
  <si>
    <t>Sand Paper</t>
  </si>
  <si>
    <t>General Data</t>
  </si>
  <si>
    <t>Value</t>
  </si>
  <si>
    <t>Manpower</t>
  </si>
  <si>
    <t>Technician</t>
  </si>
  <si>
    <t>Engineer</t>
  </si>
  <si>
    <t>Sales/administrative</t>
  </si>
  <si>
    <t xml:space="preserve">Time </t>
  </si>
  <si>
    <t>Hours/week</t>
  </si>
  <si>
    <t>Week/year</t>
  </si>
  <si>
    <t>Base OPE</t>
  </si>
  <si>
    <t xml:space="preserve">VF-3SSYT </t>
  </si>
  <si>
    <t>12000 rpm</t>
  </si>
  <si>
    <t>https://www.haascnc.com/machines/vertical-mills/vf-series/models/medium/vf-3ssyt.html</t>
  </si>
  <si>
    <t>travel</t>
  </si>
  <si>
    <t>x</t>
  </si>
  <si>
    <t>y</t>
  </si>
  <si>
    <t>z</t>
  </si>
  <si>
    <t>22.4kW</t>
  </si>
  <si>
    <t>122Nm @ 2000rpm</t>
  </si>
  <si>
    <t>électrobroche</t>
  </si>
  <si>
    <t>table</t>
  </si>
  <si>
    <t>Max cutting speed</t>
  </si>
  <si>
    <t>21.2m/min</t>
  </si>
  <si>
    <t xml:space="preserve">poussée max sur axes </t>
  </si>
  <si>
    <t>13723N</t>
  </si>
  <si>
    <t>Outils</t>
  </si>
  <si>
    <t xml:space="preserve"> 30+1</t>
  </si>
  <si>
    <t xml:space="preserve">Lubrification </t>
  </si>
  <si>
    <t>208L</t>
  </si>
  <si>
    <t xml:space="preserve">Air </t>
  </si>
  <si>
    <t>113L/min @ 6.9 bar</t>
  </si>
  <si>
    <t>3phase 440 VAC 35-70A</t>
  </si>
  <si>
    <t>Coolant</t>
  </si>
  <si>
    <t>Rocol Ultra cut  250+</t>
  </si>
  <si>
    <t>Dilution</t>
  </si>
  <si>
    <t>Prix</t>
  </si>
  <si>
    <t>Qté (L)</t>
  </si>
  <si>
    <t>Produit pur pour réservoir fraiseuse</t>
  </si>
  <si>
    <t>https://www.otelo.fr/catalogue/huile-coupe/rocol-0003050209-skg.html</t>
  </si>
  <si>
    <t>https://www.otelo.fr/catalogue/fluides-huiles-coupe-solubles.html</t>
  </si>
  <si>
    <t>https://www.hoffmann-group.com/FR/fr/hof/Accessoires-machines/Etaux/Etau-haute-pression-CN---NC8/p/360405-125L</t>
  </si>
  <si>
    <t xml:space="preserve">Sheet metal bender </t>
  </si>
  <si>
    <t>https://www.baileigh.com/sheet-metal-brake-hb-4816e</t>
  </si>
  <si>
    <t>https://www.baileigh.com/semi-auto-band-saw-bs-330sa</t>
  </si>
  <si>
    <t>Milling vise</t>
  </si>
  <si>
    <t>Stock Band saw</t>
  </si>
  <si>
    <t>Baileigh</t>
  </si>
  <si>
    <t>https://www.baileigh.com/cnc-laser-table-fl-510hd-500</t>
  </si>
  <si>
    <t>Laser cutter</t>
  </si>
  <si>
    <t>https://www.baileigh.com/hydraulic-shop-press-hsp-10h</t>
  </si>
  <si>
    <t>Manual Hydraulic press</t>
  </si>
  <si>
    <t>Fusion 360</t>
  </si>
  <si>
    <t>https://www.autodesk.fr/products/fusion-360/subscribe?plc=F360&amp;term=1-YEAR&amp;support=ADVANCED&amp;quantity=1</t>
  </si>
  <si>
    <t>Office 365 business</t>
  </si>
  <si>
    <t>https://www.promeca.com/composition-v5-servante-chrono-6m3-facom-chrono-v5pb-promotion</t>
  </si>
  <si>
    <t>60-340</t>
  </si>
  <si>
    <t>https://www.promeca.com/cle-dynamo-a-declenchement-avec-cliquet-60-340-nm-facom-s-208a340</t>
  </si>
  <si>
    <t>40-200</t>
  </si>
  <si>
    <t>https://www.promeca.com/cle-dynamometrique-40-200-nm-facom-s-208-200pb-promotion</t>
  </si>
  <si>
    <t>https://www.promeca.com/cle-dynamometrique-10-50-nm-facom-j208-50pb-promotion</t>
  </si>
  <si>
    <t>10-50'</t>
  </si>
  <si>
    <t>Tig Welder AC/DC</t>
  </si>
  <si>
    <t>https://www.promeca.com/poste-a-souder-tig220-ac-dc-ta34-ref-eau-esab-caddy-tig2200iac-dc</t>
  </si>
  <si>
    <t>https://www.gestionnaire-paie.com/convention-collective-automobile-salaires-minima/</t>
  </si>
  <si>
    <t>https://travail-emploi.gouv.fr/emploi/accompagnement-des-tpe-pme/tpe-pme/article/le-simulateur-du-cout-d-embauche</t>
  </si>
  <si>
    <t>https://www.promeca.com/cagoule-speedglas-100v-noir-751120</t>
  </si>
  <si>
    <t>Welding helmet</t>
  </si>
  <si>
    <t>https://www.promeca.com/soudage-et-accessoires/equipements-du-soudeur/vetements-specifiques-du-soudeur</t>
  </si>
  <si>
    <t>Clothes/gloves</t>
  </si>
  <si>
    <t>https://www.promeca.com/soudage-et-accessoires/consommables-de-soudage/metaux-d-apport-soudage-tig</t>
  </si>
  <si>
    <t>Metal rod</t>
  </si>
  <si>
    <t>Tool Holder</t>
  </si>
  <si>
    <t>https://www.hoffmann-group.com/FR/fr/hof/Accessoires-machines/Porte-outils/c/30</t>
  </si>
  <si>
    <t>80€ HT env</t>
  </si>
  <si>
    <t>https://shop.mitutoyo.fr/web/mitutoyo/fr_FR/mitutoyo/1305010043843/Comparateur%20%C3%A0%20palpeur%20orientable%2C%20mod%C3%A8le%20horizontal/$catalogue/mitutoyoData/PR/513-401-10E/index.xhtml</t>
  </si>
  <si>
    <t>0.001mm</t>
  </si>
  <si>
    <t>https://shop.mitutoyo.fr/web/mitutoyo/fr_FR/mitutoyo/1305198758390/Comparateur%20%C3%A0%20palpeur%20orientable%2C%20mod%C3%A8le%20horizontal/$catalogue/mitutoyoData/PR/513-908/index.xhtml</t>
  </si>
  <si>
    <t>Base + movable head indicator</t>
  </si>
  <si>
    <t>https://shop.mitutoyo.fr/web/mitutoyo/fr_FR/mitutoyo/1300888710750/Comparateur%20m%C3%A9canique%2C%20dos%20plat/$catalogue/mitutoyoData/PR/2044SB/index.xhtml</t>
  </si>
  <si>
    <t xml:space="preserve">moveable head Indicator </t>
  </si>
  <si>
    <t>https://shop.mitutoyo.fr/web/mitutoyo/fr_FR/mitutoyo/01.05.0331/Base%20pneumatique/index.xhtml</t>
  </si>
  <si>
    <t xml:space="preserve">pneumatic base </t>
  </si>
  <si>
    <t>https://shop.mitutoyo.fr/web/mitutoyo/fr_FR/mitutoyo/01.05.03/Support%20articul%C3%A9%20magn%C3%A9ti/$catalogue/mitutoyoData/PR/7019B/index.xhtml</t>
  </si>
  <si>
    <t>https://shop.mitutoyo.fr/web/mitutoyo/fr_FR/mitutoyo/01.05.033/Base%20magn%C3%A9tique%20avec%20r%C3%A9glage%20fin/$catalogue/mitutoyoData/PR/7011SN/index.xhtml</t>
  </si>
  <si>
    <t>Magnetic stand basic</t>
  </si>
  <si>
    <t>Magnetic stand multiple joint</t>
  </si>
  <si>
    <t>V Block</t>
  </si>
  <si>
    <t>https://shop.mitutoyo.fr/web/mitutoyo/fr_FR/mitutoyo/01.05.077/Paire%20de%20v%C3%A9s/$catalogue/mitutoyoData/PR/911-111/index.xhtml</t>
  </si>
  <si>
    <t>https://shop.mitutoyo.fr/web/mitutoyo/fr_FR/mitutoyo/01.07.01/Jeu%20de%20cales%20-%20m%C3%A9trique%20-%20Cert.%20Insp.%20-%20ISO/$catalogue/mitutoyoData/PR/516-942-10/index.xhtml</t>
  </si>
  <si>
    <t>Granit surface plate</t>
  </si>
  <si>
    <t>Gauge block set</t>
  </si>
  <si>
    <t>External Micrometer</t>
  </si>
  <si>
    <t>0-100 0.001</t>
  </si>
  <si>
    <t>https://shop.mitutoyo.fr/web/mitutoyo/fr_FR/mitutoyo/01.02.01.0/Microm%C3%A8tre%20DIGIMATIC%20IP65%20en%20jeu%200-100%20mm/$catalogue/mitutoyoData/PR/293-963/index.xhtml</t>
  </si>
  <si>
    <t>https://shop.mitutoyo.fr/web/mitutoyo/fr_FR/mitutoyo/01.02.01.032/Microm.%20d%27ext%C3%A9rieur%20col%20de%20cygne%20en%20jeu/$catalogue/mitutoyoData/PR/103-915-10/index.xhtml</t>
  </si>
  <si>
    <t>150-300 0.01</t>
  </si>
  <si>
    <t>https://shop.mitutoyo.fr/web/mitutoyo/fr_FR/mitutoyo/01.02.01.031/Microm.%20d%27ext%C3%A9rieur%20col%20de%20cygne/$catalogue/mitutoyoData/PR/103-141-10/index.xhtml</t>
  </si>
  <si>
    <t>100-125 0.01</t>
  </si>
  <si>
    <t>https://shop.mitutoyo.fr/web/mitutoyo/fr_FR/mitutoyo/01.02.01.031/Microm.%20d%27ext%C3%A9rieur%20col%20de%20cygne/$catalogue/mitutoyoData/PR/103-142-10/index.xhtml</t>
  </si>
  <si>
    <t>125-150 0.01</t>
  </si>
  <si>
    <t>https://shop.mitutoyo.fr/web/mitutoyo/fr_FR/mitutoyo/1355993040307/Microm%C3%A8tre%20d%27int%C3%A9rieur%20Holtest%20en%20jeu%2020-50%20mm/$catalogue/mitutoyoData/PR/368-992/index.xhtml</t>
  </si>
  <si>
    <t>20-50 0.005</t>
  </si>
  <si>
    <t xml:space="preserve">Electronic depth gauge </t>
  </si>
  <si>
    <t>http://www.starrett.com/metrology/product-detail/3753A-8~200</t>
  </si>
  <si>
    <t>0-200 0.01</t>
  </si>
  <si>
    <t>Administrative/sales people</t>
  </si>
  <si>
    <t>Automotive wage table</t>
  </si>
  <si>
    <t>Wage cost calculation for salary</t>
  </si>
  <si>
    <t>Operator - Grade 4</t>
  </si>
  <si>
    <t>Brut/month</t>
  </si>
  <si>
    <t>Yearly for the company</t>
  </si>
  <si>
    <t>https://www.juristique.org/social/duree-du-travail</t>
  </si>
  <si>
    <t>Working time</t>
  </si>
  <si>
    <t>Days/year</t>
  </si>
  <si>
    <t>Days of weekend</t>
  </si>
  <si>
    <t>Bank holliday</t>
  </si>
  <si>
    <t>Payed holliday (5 week)</t>
  </si>
  <si>
    <t>Theoretical worked days</t>
  </si>
  <si>
    <t>Theoretical worked week</t>
  </si>
  <si>
    <t>https://www.kelwatt.fr/guide/prix-electricite-entreprise</t>
  </si>
  <si>
    <t>Price /kWh HT</t>
  </si>
  <si>
    <t xml:space="preserve">Electricity Subscription </t>
  </si>
  <si>
    <t>Electricity Rate /kWh</t>
  </si>
  <si>
    <t>Printer A3/A4/… Scan/Fax/Copy</t>
  </si>
  <si>
    <t>https://store.hp.com/FranceStore/Merch/Product.aspx?id=G5J38A&amp;opt=A80&amp;sel=PRN</t>
  </si>
  <si>
    <t>https://store.hp.com/FranceStore/Merch/Product.aspx?id=6QN64ET&amp;opt=ABF&amp;sel=DTP</t>
  </si>
  <si>
    <t>CAD PC</t>
  </si>
  <si>
    <t>https://store.hp.com/FranceStore/Merch/Product.aspx?id=3ML21AT&amp;opt=ABB&amp;mastersku=3ML21AT&amp;masteropt=ABB&amp;sel=MTO&amp;</t>
  </si>
  <si>
    <t>Screen 24"</t>
  </si>
  <si>
    <t xml:space="preserve">Black cartridge 2000 pages </t>
  </si>
  <si>
    <t>https://store.hp.com/FranceStore/Merch/Product.aspx?id=L0S70AE&amp;opt=&amp;mastersku=L0S70AE&amp;masteropt=&amp;sel=SUP&amp;</t>
  </si>
  <si>
    <t>https://store.hp.com/FranceStore/Merch/Product.aspx?id=3HZ52AE&amp;opt=&amp;mastersku=3HZ52AE&amp;masteropt=&amp;sel=SUP&amp;</t>
  </si>
  <si>
    <t xml:space="preserve">4 pack cartridge 1600 pages </t>
  </si>
  <si>
    <t>Laptop</t>
  </si>
  <si>
    <t>https://store.hp.com/FranceStore/Merch/Product.aspx?id=2ZC41ET&amp;opt=ABF&amp;mastersku=2ZC41ET&amp;masteropt=ABF&amp;sel=NTB&amp;</t>
  </si>
  <si>
    <t>https://store.hp.com/FranceStore/Merch/Product.aspx?id=1KM17AA&amp;opt=&amp;mastersku=1KM17AA&amp;masteropt=&amp;sel=DEF&amp;</t>
  </si>
  <si>
    <t>Laptop backpack</t>
  </si>
  <si>
    <t xml:space="preserve">Keyboard and mouse </t>
  </si>
  <si>
    <t>https://store.hp.com/FranceStore/Merch/Product.aspx?id=T6T83AA&amp;opt=ABF&amp;mastersku=T6T83AA&amp;masteropt=ABF&amp;sel=ACC&amp;</t>
  </si>
  <si>
    <t xml:space="preserve">Docking station </t>
  </si>
  <si>
    <t>https://store.hp.com/FranceStore/Merch/Product.aspx?id=1MK33AA&amp;opt=ABB&amp;mastersku=1MK33AA&amp;masteropt=ABB&amp;sel=ACC&amp;</t>
  </si>
  <si>
    <t xml:space="preserve">Office computer </t>
  </si>
  <si>
    <t>https://store.hp.com/FranceStore/Merch/Product.aspx?id=4CZ83ET&amp;opt=ABF&amp;mastersku=4CZ83ET&amp;masteropt=ABF&amp;sel=DTP&amp;</t>
  </si>
  <si>
    <t>https://products.office.com/fr-fr/compare-all-microsoft-office-products?tab=2</t>
  </si>
  <si>
    <t>Adjustable height Welding table + clamping devices , squares</t>
  </si>
  <si>
    <t>https://www.siegmund.com/fr/1-Tables-de-soudure/98-Professional-Extreme/2400x1200x200/Panorama,101.php</t>
  </si>
  <si>
    <t>HT</t>
  </si>
  <si>
    <t>TTC</t>
  </si>
  <si>
    <t>Comment on price</t>
  </si>
  <si>
    <t>/Year/user</t>
  </si>
  <si>
    <t>/month/user</t>
  </si>
  <si>
    <t xml:space="preserve">TVA </t>
  </si>
  <si>
    <t>Office Pack (3 license)</t>
  </si>
  <si>
    <t>Dedicated Software (Fusion 360) - 2 license</t>
  </si>
  <si>
    <t>A4 *2500</t>
  </si>
  <si>
    <t>https://www.officedepot.fr/a/pb/Papier-Office-Depot-A4-80-g-m2-Blanc-Business-2500-Feuilles/pr=&amp;id=1456200/</t>
  </si>
  <si>
    <t>A3*2500</t>
  </si>
  <si>
    <t>https://www.officedepot.fr/a/pb/Papier-Office-Depot-A3-80-g-m2-Blanc-Everyday-2500-Feuilles/pr=&amp;id=3057842/</t>
  </si>
  <si>
    <t>/month</t>
  </si>
  <si>
    <t>Internet/phone access 2 standard line, one mobile</t>
  </si>
  <si>
    <t>Orange Document</t>
  </si>
  <si>
    <t>Spec</t>
  </si>
  <si>
    <t xml:space="preserve">Price dollar </t>
  </si>
  <si>
    <t>Price TTC</t>
  </si>
  <si>
    <t>Price HT</t>
  </si>
  <si>
    <t>12-20 0.005</t>
  </si>
  <si>
    <t>https://shop.mitutoyo.fr/web/mitutoyo/fr_FR/mitutoyo/1355993040307/Microm%C3%A8tre%20d%27int%C3%A9rieur%20Holtest%20en%20jeu/$catalogue/mitutoyoData/PR/368-991/index.xhtml</t>
  </si>
  <si>
    <t>Indicators</t>
  </si>
  <si>
    <t>Inside micrometers</t>
  </si>
  <si>
    <t>Micrometres</t>
  </si>
  <si>
    <t xml:space="preserve">Reference Block </t>
  </si>
  <si>
    <t>Depth gauges</t>
  </si>
  <si>
    <t>https://www.master-outillage.com/facom/13765-servante-rouge-7-tiroirs-composition-d-outillage-v8-facom-jetv8m3-3148519073409.html</t>
  </si>
  <si>
    <t>Qté</t>
  </si>
  <si>
    <t>Source</t>
  </si>
  <si>
    <t>Quote</t>
  </si>
  <si>
    <t>Printer</t>
  </si>
  <si>
    <t>Printer consumable (4000 A4pages B&amp;W, 1600 A4pages Colors)</t>
  </si>
  <si>
    <t>Cost/year</t>
  </si>
  <si>
    <t>3 Axis CNC Mill Direct</t>
  </si>
  <si>
    <t>Manufacturing cost</t>
  </si>
  <si>
    <t>Milling tool holders</t>
  </si>
  <si>
    <t>Fixtures</t>
  </si>
  <si>
    <t>Variable</t>
  </si>
  <si>
    <t>No</t>
  </si>
  <si>
    <t>Yes</t>
  </si>
  <si>
    <t>Cutting fluid</t>
  </si>
  <si>
    <t>Cutting tools</t>
  </si>
  <si>
    <t xml:space="preserve">Way of costing </t>
  </si>
  <si>
    <t>Electricity/time</t>
  </si>
  <si>
    <t>5 % of initial cost /year</t>
  </si>
  <si>
    <t>Price $ HT</t>
  </si>
  <si>
    <t>Price $ TTC</t>
  </si>
  <si>
    <t>Spec info</t>
  </si>
  <si>
    <t xml:space="preserve">Roller cabinet + standard tooling </t>
  </si>
  <si>
    <t>Tooling kit V3</t>
  </si>
  <si>
    <t>Tooling kit V5</t>
  </si>
  <si>
    <t>OPE</t>
  </si>
  <si>
    <t>OPM per job (Cleaning in min)</t>
  </si>
  <si>
    <t>Explanation</t>
  </si>
  <si>
    <t>Technician - Grade 25</t>
  </si>
  <si>
    <t>Engineer - Grade IV A</t>
  </si>
  <si>
    <t>Specific workstation and tooling</t>
  </si>
  <si>
    <t>Gaz</t>
  </si>
  <si>
    <t>https://www.orexad.com/fr/projecteur-de-profil-pj-h30/p-G1213001821</t>
  </si>
  <si>
    <t>Profil projector</t>
  </si>
  <si>
    <t>510x342 mm</t>
  </si>
  <si>
    <t>https://www.orexad.com/fr/colonne-de-mesure-817clm-cap-600-770-pupitre-2d/p-G1197000019</t>
  </si>
  <si>
    <t xml:space="preserve">Measurement column </t>
  </si>
  <si>
    <t>600mm</t>
  </si>
  <si>
    <t>TIG Welder &amp; Chiller</t>
  </si>
  <si>
    <t>Tig Chiller</t>
  </si>
  <si>
    <t>https://www.orexad.com/fr/refroidisseurs-cool-arc/p-G1189001474</t>
  </si>
  <si>
    <t>https://www.orexad.com/fr/mobiflex-200-m-systeme-d-aspiration-des-fumees/p-G1189001541</t>
  </si>
  <si>
    <t>3% of initial cost/year</t>
  </si>
  <si>
    <t>Welding Helmet</t>
  </si>
  <si>
    <t>Number of machine/workstation</t>
  </si>
  <si>
    <t>Total time of production of machin or station per year (in hours)</t>
  </si>
  <si>
    <t>Setup time (fixture and tools) (min)</t>
  </si>
  <si>
    <t>People efficiency</t>
  </si>
  <si>
    <t>Sum</t>
  </si>
  <si>
    <t>CNC mill</t>
  </si>
  <si>
    <t>CNC lathe</t>
  </si>
  <si>
    <t>Welding/Assembly</t>
  </si>
  <si>
    <t xml:space="preserve">CNC programmation </t>
  </si>
  <si>
    <t>40% engineer</t>
  </si>
  <si>
    <t>Total</t>
  </si>
  <si>
    <t>Sum (hrs)</t>
  </si>
  <si>
    <t>Required  (hrs)</t>
  </si>
  <si>
    <t>Variable cost for 1 op (€/hour)</t>
  </si>
  <si>
    <t xml:space="preserve">Shopfloor allocation </t>
  </si>
  <si>
    <t>Because prototyping company so not running all time, 6 percent used for maintenance and cleaning of shop floor</t>
  </si>
  <si>
    <t xml:space="preserve">People not working all time, need to pay them during this time </t>
  </si>
  <si>
    <t>Maintenance manwork cost</t>
  </si>
  <si>
    <t>Yearly for the company (90%)</t>
  </si>
  <si>
    <t>Manwork</t>
  </si>
  <si>
    <t>Maintenance manwork</t>
  </si>
  <si>
    <t>Power consumption (kW)</t>
  </si>
  <si>
    <t>Cost/hour</t>
  </si>
  <si>
    <t>Subscription €/kVA</t>
  </si>
  <si>
    <t xml:space="preserve">Power needed </t>
  </si>
  <si>
    <t>Electricity subscription</t>
  </si>
  <si>
    <t>Electricity consumption for office and small components (avg 16kW)</t>
  </si>
  <si>
    <t>https://www.fournisseurs-electricite.com/edf/pro/tarifs-reglementes/jaune#decomposition-facture</t>
  </si>
  <si>
    <t>https://www.fournisseurs-electricite.com/guides/compteur/puissance/estimation?fbclid=IwAR0M9rlabDNFJxLa_aehdEGtK33qlQUwFO2xf_a1OlrFo_cEoo8_Df1M5hg</t>
  </si>
  <si>
    <t>€/hour</t>
  </si>
  <si>
    <t>Cost of machining part (€/mm^3)</t>
  </si>
  <si>
    <t>Cost of programing part Technician(€/mm^3)</t>
  </si>
  <si>
    <t>Cost of programing part Engineer (€/mm^3)</t>
  </si>
  <si>
    <t>Cost of programing part Operator (€/mm^3)</t>
  </si>
  <si>
    <t>Fixed cost/hour to charge on operation (machine/station/programing/metrology)</t>
  </si>
  <si>
    <t>Rond plein</t>
  </si>
  <si>
    <t>diamètre (mm)</t>
  </si>
  <si>
    <t>Alu 7075 T651</t>
  </si>
  <si>
    <t>https://www.telecomsupplier.fr/avaya-3730-dect-combine.html</t>
  </si>
  <si>
    <t>Mobile phone for shop floor</t>
  </si>
  <si>
    <t>https://www.telecomsupplier.fr/avaya-1608-i-ip-telephone-paquet-de-4.html</t>
  </si>
  <si>
    <t>4 phones</t>
  </si>
  <si>
    <t xml:space="preserve"> Cost of Setup + cleaning</t>
  </si>
  <si>
    <t>Yearly fixed cost of machine</t>
  </si>
  <si>
    <t>Fixed cost of machine / hour</t>
  </si>
  <si>
    <t>Cost of machine/hour running</t>
  </si>
  <si>
    <t>Link</t>
  </si>
  <si>
    <t>https://www.francebureau.com/media/catalogue-mobilier/bureau-modulaire-kibo.pdf</t>
  </si>
  <si>
    <t xml:space="preserve">Angle worktable </t>
  </si>
  <si>
    <t>Drawer</t>
  </si>
  <si>
    <t>Armoire sans porte</t>
  </si>
  <si>
    <t xml:space="preserve">Armoire avec porte </t>
  </si>
  <si>
    <t>Direction worktable</t>
  </si>
  <si>
    <t>https://www.francebureau.com/media/catalogue-mobilier/bureau-direction-etretat.pdf</t>
  </si>
  <si>
    <t>Meeting table</t>
  </si>
  <si>
    <t>https://www.francebureau.com/media/catalogue-mobilier/table-reunion-modulable-arc-reunion.pdf</t>
  </si>
  <si>
    <t>Chair</t>
  </si>
  <si>
    <t>https://www.francebureau.com/alto-16.html</t>
  </si>
  <si>
    <t>https://www.orexad.com/fr/etabli-standard/p-G1359000849</t>
  </si>
  <si>
    <t xml:space="preserve">Standard workstation </t>
  </si>
  <si>
    <t>https://www.orexad.com/fr/etabli-standard/p-G1359000830</t>
  </si>
  <si>
    <t>Standard workstation with drawer</t>
  </si>
  <si>
    <t>Roller Cabinet (3 V3 and 3+ V5)</t>
  </si>
  <si>
    <t xml:space="preserve"> </t>
  </si>
  <si>
    <t>Hauteur (mm)</t>
  </si>
  <si>
    <t>https://lemetal.fr/148-tole-plane-aluminium</t>
  </si>
  <si>
    <t>Acier S325JR</t>
  </si>
  <si>
    <t>https://rhmetal.fr/87-rond-acier-noir-s235</t>
  </si>
  <si>
    <t>https://www.metalaladecoupe.com/francais/barres_rondes_5_50.asp?tbout=acier</t>
  </si>
  <si>
    <t>Refilling/year (1time)</t>
  </si>
  <si>
    <t>Turning tool holders</t>
  </si>
  <si>
    <t>Energies</t>
  </si>
  <si>
    <t>Others</t>
  </si>
  <si>
    <t>Summary</t>
  </si>
  <si>
    <t>Worktable &amp; office storage</t>
  </si>
  <si>
    <t>Fixed Cost</t>
  </si>
  <si>
    <t>Manpower cost</t>
  </si>
  <si>
    <t>Operator cost/hour</t>
  </si>
  <si>
    <t>Engineer cost/hour</t>
  </si>
  <si>
    <t>Cost of measuring part Operator (€/mm^3)</t>
  </si>
  <si>
    <t>Cost of measuring part Technician(€/mm^3)</t>
  </si>
  <si>
    <t>Cost of measuring part Engineer (€/mm^3)</t>
  </si>
  <si>
    <t>CNC lathe with Y Axis</t>
  </si>
  <si>
    <t>Driven tool holder</t>
  </si>
  <si>
    <t>Turning insert holders</t>
  </si>
  <si>
    <t>Haas</t>
  </si>
  <si>
    <t>Hoffman</t>
  </si>
  <si>
    <t>Cooling tank capacity (L)</t>
  </si>
  <si>
    <t>Technician cost/hour</t>
  </si>
  <si>
    <t>1000W for aluminium</t>
  </si>
  <si>
    <t>150cmx300cmx8mm max</t>
  </si>
  <si>
    <t xml:space="preserve">Mild Steel </t>
  </si>
  <si>
    <t>20ga</t>
  </si>
  <si>
    <t>14ga</t>
  </si>
  <si>
    <t>11ga</t>
  </si>
  <si>
    <t>8ga</t>
  </si>
  <si>
    <t>6ga</t>
  </si>
  <si>
    <t xml:space="preserve">3ga </t>
  </si>
  <si>
    <t>1/4"</t>
  </si>
  <si>
    <t>5/16"</t>
  </si>
  <si>
    <t>3/8"</t>
  </si>
  <si>
    <t>in/min</t>
  </si>
  <si>
    <t>Thickness</t>
  </si>
  <si>
    <t>Thickness (mm)</t>
  </si>
  <si>
    <t>mm/min</t>
  </si>
  <si>
    <t>Stainless</t>
  </si>
  <si>
    <t xml:space="preserve">20ga </t>
  </si>
  <si>
    <t>Aluminium</t>
  </si>
  <si>
    <t>Setup time (min)</t>
  </si>
  <si>
    <t>https://www.haascnc.com/machines/lathes/st/models/y-axis/st-35y.html</t>
  </si>
  <si>
    <t>HAAS ST35-Y</t>
  </si>
  <si>
    <t>113L/min @ 6.9bar</t>
  </si>
  <si>
    <t>https://www.orexad.com/fr/compresseur-a-vis-lubrifie-serie-l/p-G3697000582</t>
  </si>
  <si>
    <t xml:space="preserve">Air compressor </t>
  </si>
  <si>
    <t>10 bar 153000 l/h</t>
  </si>
  <si>
    <t>Air compressor</t>
  </si>
  <si>
    <t>Electricity for air compressor (15kW)</t>
  </si>
  <si>
    <t>Other specific tools (scribing tool, eletrical pliers, simple measuring tools, …)</t>
  </si>
  <si>
    <t>Power tools</t>
  </si>
  <si>
    <t>Consumables (saw blades, drill bits, taps, abrasives, …)</t>
  </si>
  <si>
    <t>https://www.baileigh.com/variable-speed-drill-press-dp-1200vs</t>
  </si>
  <si>
    <t>Drill Press</t>
  </si>
  <si>
    <t>https://www.orexad.com/fr/vestiaire-ventile-sur-socle/r-PR_1012867?</t>
  </si>
  <si>
    <t>Locker</t>
  </si>
  <si>
    <t>https://www.orexad.com/fr/fond-tole-rayonnage-a-tablettes-tolees-g-robust/p-G1408010697</t>
  </si>
  <si>
    <t>Shelves</t>
  </si>
  <si>
    <t>https://www.orexad.com/fr/rayonnage-mi-lourd-double-face-horizontale-g-lever/r-PR_G1408014469?</t>
  </si>
  <si>
    <t>Stock Shelves</t>
  </si>
  <si>
    <t>https://www.orexad.com/fr/desserte-de-transport/p-G1359000463</t>
  </si>
  <si>
    <t>Small boxes cart</t>
  </si>
  <si>
    <t>https://www.orexad.com/fr/systemes-cn/p-G1359000803</t>
  </si>
  <si>
    <t>Tool holder cart</t>
  </si>
  <si>
    <t>https://www.orexad.com/fr/armoire-a-portes-battantes/p-G1359000412</t>
  </si>
  <si>
    <t>Closed drawer</t>
  </si>
  <si>
    <t>Office</t>
  </si>
  <si>
    <t>Storage equipment (Shelves, drawer, tool cart, boxes, …)</t>
  </si>
  <si>
    <t>Storage boxes</t>
  </si>
  <si>
    <t>https://www.orexad.com/fr/bac-rako/p-G1383000092</t>
  </si>
  <si>
    <t>6persons</t>
  </si>
  <si>
    <t>Depreciation time (year)</t>
  </si>
  <si>
    <t>Phone/mobile phone</t>
  </si>
  <si>
    <t>Measuring and deflash time / mm^3 (40% of machining time)</t>
  </si>
  <si>
    <t>Programation time and supply order / mm^3 (50% of machining time)</t>
  </si>
  <si>
    <t>Lifting equipment</t>
  </si>
  <si>
    <t>https://www.manutan.fr/fr/maf/pack-portique-d-atelier-chariot-palan-force-1600-kg</t>
  </si>
  <si>
    <t xml:space="preserve">Crane </t>
  </si>
  <si>
    <t>1600kg 4m height, 4m width</t>
  </si>
  <si>
    <t>Industrial hoover</t>
  </si>
  <si>
    <t>https://www.manutan.fr/fr/maf/aspirateur-eau-et-poussieres-nt-70-2-me-tc-karcher</t>
  </si>
  <si>
    <t>Disc and belt grinder</t>
  </si>
  <si>
    <t>https://www.manutan.fr/fr/maf/ponceuse-combinee-disque-bande-jsg-233-promac-230-v</t>
  </si>
  <si>
    <t>Drill press vise</t>
  </si>
  <si>
    <t>https://www.manutan.fr/fr/maf/etau-de-perceuse-rohm-machoire-largeur-100-mm-ouverture-95-mm</t>
  </si>
  <si>
    <t>https://www.manutan.fr/fr/maf/etau-magnat</t>
  </si>
  <si>
    <t>Vise</t>
  </si>
  <si>
    <t>Band Saw/Drill Press/Sheet metal bender/Hydraulic press/belt and disc grinder/Vise</t>
  </si>
  <si>
    <t>Conventionnal machining</t>
  </si>
  <si>
    <t>Laser Cutting (Operator needed for 0.5*time running )</t>
  </si>
  <si>
    <t xml:space="preserve">Assembly </t>
  </si>
  <si>
    <t>Oxygen 45CFM@90PSI</t>
  </si>
  <si>
    <t>Bar</t>
  </si>
  <si>
    <t>m^3/h</t>
  </si>
  <si>
    <t>m^3/s</t>
  </si>
  <si>
    <t>N/mm²</t>
  </si>
  <si>
    <t>https://www.cedeo.fr/p/outillage-et-equipements/oxygene-grande-bouteille-10-6m3-ref-g110-i1001l50r2a001-A1204487</t>
  </si>
  <si>
    <t>Assist gas O2</t>
  </si>
  <si>
    <t>Bottle</t>
  </si>
  <si>
    <t>10.6m^3 @ 200bar</t>
  </si>
  <si>
    <t>4.5hours of cutting</t>
  </si>
  <si>
    <t>Assist Gas O2 or air</t>
  </si>
  <si>
    <t>Programation time and supply order/ mm^3 (50% of machining time)</t>
  </si>
  <si>
    <t>Laser cutting</t>
  </si>
  <si>
    <t>Programation time / mm (50% of machining time)</t>
  </si>
  <si>
    <t>Measuring time / mm (40% of machining time)</t>
  </si>
  <si>
    <t>Cost of machining part (€/mm)</t>
  </si>
  <si>
    <t>Cost of programing part Operator (€/mm)</t>
  </si>
  <si>
    <t>Cost of programing part Technician(€/mm)</t>
  </si>
  <si>
    <t>Cost of measuring part Operator (€/mm)</t>
  </si>
  <si>
    <t>Cost of measuring part Technician(€/mm)</t>
  </si>
  <si>
    <t>http://www.eau-direct.fr/gestion/prix.html</t>
  </si>
  <si>
    <t>Eau/m^3</t>
  </si>
  <si>
    <t>Water (60m^3)</t>
  </si>
  <si>
    <t>Neutral gas : Argon, quality 2.2</t>
  </si>
  <si>
    <t xml:space="preserve">Price for one bottle </t>
  </si>
  <si>
    <t>Bery Inox</t>
  </si>
  <si>
    <t>Consumption (unity = bottles, for 1 year)</t>
  </si>
  <si>
    <t>Consumption for exhaust system (unity = bottles)</t>
  </si>
  <si>
    <t>Lenght of welding for exhaust system (m)</t>
  </si>
  <si>
    <t>Price (€/m)</t>
  </si>
  <si>
    <t>Metal rod : Ø 0,8 mm TIG inox</t>
  </si>
  <si>
    <t>Price (€/kg, HT)</t>
  </si>
  <si>
    <t>Consumption for exhaust system (m)</t>
  </si>
  <si>
    <t>Weight by welding rod (g/m)</t>
  </si>
  <si>
    <t>Price of consumption (€/m, HT)</t>
  </si>
  <si>
    <t>Metal rod : Ø 2 mm TIG aluminium</t>
  </si>
  <si>
    <t>https://www.promeca.com/soudage-et-accessoires/consommables-de-soudage/metaux-d-apport-soudage-tig/kg-de-metal-d-apport-aluminium-o-2-0-x-1000-mm</t>
  </si>
  <si>
    <t>Consumption (m of metal rod / m of welding)</t>
  </si>
  <si>
    <t>https://www.acier-detail-decoupe.fr/27-rond#/alliage-25cd4</t>
  </si>
  <si>
    <t>Acier 25CD4</t>
  </si>
  <si>
    <t>https://www.metalaladecoupe.com/francais/toles.asp?tbout=acier</t>
  </si>
  <si>
    <t>Acier S235</t>
  </si>
  <si>
    <t>Plaque</t>
  </si>
  <si>
    <t>Retours La Mache usinage</t>
  </si>
  <si>
    <t>Retours La Mache laser toles</t>
  </si>
  <si>
    <t>Type</t>
  </si>
  <si>
    <t>Volume (mm^3)</t>
  </si>
  <si>
    <t>Prix (/kg)</t>
  </si>
  <si>
    <t>Densité (kg/mm^3)</t>
  </si>
  <si>
    <t>Brut 2017A</t>
  </si>
  <si>
    <t>S235</t>
  </si>
  <si>
    <t>Rond plein 2017A</t>
  </si>
  <si>
    <t>S355</t>
  </si>
  <si>
    <t>Rond plein S355J2</t>
  </si>
  <si>
    <t>S700</t>
  </si>
  <si>
    <t>Brut S235</t>
  </si>
  <si>
    <t>AU4G A4</t>
  </si>
  <si>
    <t>Brut Alu 7075T6</t>
  </si>
  <si>
    <t>Rond plein Alu 7075T6</t>
  </si>
  <si>
    <t>Welding (set up, Tack welding, welding and verification)</t>
  </si>
  <si>
    <t>Time (min/m)</t>
  </si>
  <si>
    <t>Cost of operator (€/min)</t>
  </si>
  <si>
    <t>Cost of operator (€/m)</t>
  </si>
  <si>
    <t>€/length</t>
  </si>
  <si>
    <t>Filler (aluminium)</t>
  </si>
  <si>
    <t>Filler (Inox)</t>
  </si>
  <si>
    <t>Welding speed (min/m)</t>
  </si>
  <si>
    <t>Cost of aluminium welding part (€/m)</t>
  </si>
  <si>
    <t>Cost of steel welding part (€/m)</t>
  </si>
  <si>
    <t>Conventionnal milling machine</t>
  </si>
  <si>
    <t>https://www.machineseeker.fr/mss/schaublin+13</t>
  </si>
  <si>
    <t>https://www.surplex.com/fr/vente/c/tours-paralleles-4340.html</t>
  </si>
  <si>
    <t>Convetionnal mill and basic tooling</t>
  </si>
  <si>
    <t>Conventionnal Lathe and basic tooling</t>
  </si>
  <si>
    <t>Price Exc VAT</t>
  </si>
  <si>
    <t xml:space="preserve">Conventionnal turning machine </t>
  </si>
  <si>
    <t>3 % of initial cost /year</t>
  </si>
  <si>
    <t>Water rate/m^3</t>
  </si>
  <si>
    <t xml:space="preserve">Cutting tools </t>
  </si>
  <si>
    <t>Welder + Grade II C</t>
  </si>
  <si>
    <t>Welder - Grade II C</t>
  </si>
  <si>
    <t>Welder cost/hour</t>
  </si>
  <si>
    <t>Manwork availability (95%) /year (hrs)</t>
  </si>
  <si>
    <t>Fixed cost (5% of the time)</t>
  </si>
  <si>
    <t>Tool holders and fixtures</t>
  </si>
  <si>
    <t>Euro --&gt; Dollar Rate</t>
  </si>
  <si>
    <t>Welding/assy , CNC mill, CNC lathe, Laser Cutting, Assembly</t>
  </si>
  <si>
    <t>Manpower part of machining cost</t>
  </si>
  <si>
    <t>Sum of fixed cost/year (+5% extra equipment integrated)</t>
  </si>
  <si>
    <t>Medium removal rate steel</t>
  </si>
  <si>
    <t>Medium removal rate aluminium</t>
  </si>
  <si>
    <t>Multiplicator for al cutting</t>
  </si>
  <si>
    <t xml:space="preserve">Milling </t>
  </si>
  <si>
    <t>Removal rate (for Aluminium) (min/mm^3)</t>
  </si>
  <si>
    <t>Removal rate (for steel) (min/mm)</t>
  </si>
  <si>
    <t>Removal rate (for aluminium) (include measuring) (min/mm^3)</t>
  </si>
  <si>
    <t>For aluminium as standard</t>
  </si>
  <si>
    <t>For steel as standard</t>
  </si>
  <si>
    <t>Price for cutting aluminium</t>
  </si>
  <si>
    <t>Price for cutting Steel</t>
  </si>
  <si>
    <t>Forklift</t>
  </si>
  <si>
    <t>https://www.orexad.com/fr/transpalette-galvanise-2-5t/p-G3019000006</t>
  </si>
  <si>
    <t>Industrial Hoovers</t>
  </si>
  <si>
    <t>Measurement column</t>
  </si>
  <si>
    <t>5% of manwork OPE on shopfloor</t>
  </si>
  <si>
    <t>https://www.acier-detail-decoupe.fr/45-aluminium#/alliage-2017a</t>
  </si>
  <si>
    <t>diam ext (mm)</t>
  </si>
  <si>
    <t>diamètre int (mm)</t>
  </si>
  <si>
    <t>Prix (/m) TTC</t>
  </si>
  <si>
    <t>Prix volumique (€/mm^3) TTC</t>
  </si>
  <si>
    <t>http://www.blockenstock.fr/tube-6060-t6-c102x2607947</t>
  </si>
  <si>
    <t>Prix volumique (€/mm^3) (TTC)</t>
  </si>
  <si>
    <t>Prix volumique (€/mm^3) HT</t>
  </si>
  <si>
    <t>Moyenne 2017A</t>
  </si>
  <si>
    <t>Plastic Delrin</t>
  </si>
  <si>
    <t>Prix (€/m^2)</t>
  </si>
  <si>
    <t>https://plastique-en-ligne.com/Plaques/POM-C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</si>
</sst>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00\ &quot;€&quot;_-;\-* #,##0.0000\ &quot;€&quot;_-;_-* &quot;-&quot;??\ &quot;€&quot;_-;_-@_-"/>
    <numFmt numFmtId="165" formatCode="_-[$$-409]* #,##0.00_ ;_-[$$-409]* \-#,##0.00\ ;_-[$$-409]* &quot;-&quot;??_ ;_-@_ "/>
    <numFmt numFmtId="166" formatCode="_-* #,##0.00\ [$€-40C]_-;\-* #,##0.00\ [$€-40C]_-;_-* &quot;-&quot;??\ [$€-40C]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8">
    <xf numFmtId="0" fontId="0" fillId="0" borderId="0" xfId="0"/>
    <xf numFmtId="11" fontId="0" fillId="0" borderId="0" xfId="0" applyNumberFormat="1"/>
    <xf numFmtId="44" fontId="0" fillId="0" borderId="0" xfId="1" applyFont="1"/>
    <xf numFmtId="0" fontId="2" fillId="3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15" borderId="0" xfId="0" applyFill="1"/>
    <xf numFmtId="0" fontId="4" fillId="10" borderId="0" xfId="0" applyFont="1" applyFill="1" applyAlignment="1">
      <alignment horizontal="center" vertical="center"/>
    </xf>
    <xf numFmtId="0" fontId="3" fillId="10" borderId="0" xfId="0" applyFont="1" applyFill="1"/>
    <xf numFmtId="0" fontId="5" fillId="0" borderId="0" xfId="2"/>
    <xf numFmtId="9" fontId="0" fillId="0" borderId="0" xfId="0" applyNumberFormat="1"/>
    <xf numFmtId="44" fontId="0" fillId="0" borderId="0" xfId="0" applyNumberFormat="1"/>
    <xf numFmtId="8" fontId="0" fillId="0" borderId="0" xfId="0" applyNumberFormat="1"/>
    <xf numFmtId="17" fontId="0" fillId="0" borderId="0" xfId="0" applyNumberFormat="1"/>
    <xf numFmtId="6" fontId="0" fillId="0" borderId="0" xfId="0" applyNumberFormat="1"/>
    <xf numFmtId="9" fontId="0" fillId="0" borderId="0" xfId="3" applyFont="1"/>
    <xf numFmtId="1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NumberFormat="1"/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9" fontId="2" fillId="10" borderId="0" xfId="3" applyFont="1" applyFill="1" applyAlignment="1">
      <alignment horizontal="center" vertical="center"/>
    </xf>
    <xf numFmtId="0" fontId="0" fillId="0" borderId="0" xfId="3" applyNumberFormat="1" applyFont="1"/>
    <xf numFmtId="0" fontId="0" fillId="0" borderId="0" xfId="0" applyFill="1"/>
    <xf numFmtId="11" fontId="2" fillId="10" borderId="0" xfId="0" applyNumberFormat="1" applyFont="1" applyFill="1" applyAlignment="1">
      <alignment horizontal="center" vertical="center"/>
    </xf>
    <xf numFmtId="9" fontId="2" fillId="11" borderId="0" xfId="3" applyFont="1" applyFill="1" applyAlignment="1">
      <alignment horizontal="center" vertical="center"/>
    </xf>
    <xf numFmtId="11" fontId="2" fillId="11" borderId="0" xfId="0" applyNumberFormat="1" applyFont="1" applyFill="1" applyAlignment="1">
      <alignment horizontal="center" vertical="center"/>
    </xf>
    <xf numFmtId="11" fontId="0" fillId="0" borderId="0" xfId="1" applyNumberFormat="1" applyFont="1"/>
    <xf numFmtId="0" fontId="2" fillId="16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2" fillId="17" borderId="0" xfId="0" applyFont="1" applyFill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0" fillId="0" borderId="0" xfId="0" applyBorder="1"/>
    <xf numFmtId="44" fontId="0" fillId="0" borderId="0" xfId="0" applyNumberFormat="1" applyBorder="1"/>
    <xf numFmtId="0" fontId="2" fillId="18" borderId="0" xfId="0" applyFont="1" applyFill="1" applyAlignment="1">
      <alignment horizontal="center" vertical="center"/>
    </xf>
    <xf numFmtId="0" fontId="0" fillId="18" borderId="0" xfId="0" applyFill="1"/>
    <xf numFmtId="0" fontId="2" fillId="19" borderId="0" xfId="0" applyFont="1" applyFill="1" applyAlignment="1">
      <alignment horizontal="center" vertical="center"/>
    </xf>
    <xf numFmtId="8" fontId="0" fillId="0" borderId="3" xfId="0" applyNumberFormat="1" applyBorder="1"/>
    <xf numFmtId="0" fontId="0" fillId="0" borderId="4" xfId="0" applyBorder="1"/>
    <xf numFmtId="9" fontId="0" fillId="0" borderId="0" xfId="3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0" xfId="0" applyBorder="1"/>
    <xf numFmtId="0" fontId="2" fillId="0" borderId="10" xfId="0" applyFont="1" applyFill="1" applyBorder="1" applyAlignment="1">
      <alignment vertical="center"/>
    </xf>
    <xf numFmtId="8" fontId="0" fillId="0" borderId="11" xfId="0" applyNumberFormat="1" applyBorder="1"/>
    <xf numFmtId="44" fontId="0" fillId="0" borderId="3" xfId="1" applyFont="1" applyBorder="1"/>
    <xf numFmtId="44" fontId="0" fillId="0" borderId="11" xfId="1" applyFont="1" applyFill="1" applyBorder="1" applyAlignment="1">
      <alignment horizontal="center" vertical="center"/>
    </xf>
    <xf numFmtId="44" fontId="0" fillId="0" borderId="6" xfId="1" applyFont="1" applyFill="1" applyBorder="1" applyAlignment="1">
      <alignment vertical="center"/>
    </xf>
    <xf numFmtId="0" fontId="3" fillId="0" borderId="0" xfId="2" applyFont="1"/>
    <xf numFmtId="44" fontId="2" fillId="0" borderId="3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44" fontId="2" fillId="0" borderId="11" xfId="0" applyNumberFormat="1" applyFont="1" applyFill="1" applyBorder="1" applyAlignment="1">
      <alignment horizontal="center" vertical="center"/>
    </xf>
    <xf numFmtId="0" fontId="0" fillId="11" borderId="10" xfId="0" applyFill="1" applyBorder="1"/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/>
    <xf numFmtId="0" fontId="2" fillId="10" borderId="10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0" fillId="10" borderId="10" xfId="0" applyFill="1" applyBorder="1"/>
    <xf numFmtId="0" fontId="0" fillId="10" borderId="0" xfId="0" applyFill="1" applyBorder="1"/>
    <xf numFmtId="0" fontId="0" fillId="10" borderId="4" xfId="0" applyFill="1" applyBorder="1"/>
    <xf numFmtId="0" fontId="0" fillId="10" borderId="5" xfId="0" applyFill="1" applyBorder="1"/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9" fontId="2" fillId="0" borderId="0" xfId="3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9" fontId="2" fillId="12" borderId="0" xfId="3" applyFont="1" applyFill="1" applyAlignment="1">
      <alignment horizontal="center" vertical="center"/>
    </xf>
    <xf numFmtId="11" fontId="2" fillId="12" borderId="0" xfId="0" applyNumberFormat="1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4" fontId="0" fillId="0" borderId="0" xfId="1" applyFont="1" applyFill="1"/>
    <xf numFmtId="0" fontId="2" fillId="0" borderId="11" xfId="0" applyFont="1" applyFill="1" applyBorder="1" applyAlignment="1">
      <alignment vertical="center"/>
    </xf>
    <xf numFmtId="11" fontId="0" fillId="0" borderId="11" xfId="0" applyNumberFormat="1" applyFont="1" applyFill="1" applyBorder="1" applyAlignment="1">
      <alignment horizontal="right" vertical="center"/>
    </xf>
    <xf numFmtId="44" fontId="0" fillId="0" borderId="6" xfId="0" applyNumberFormat="1" applyFont="1" applyFill="1" applyBorder="1" applyAlignment="1">
      <alignment horizontal="right" vertical="center"/>
    </xf>
    <xf numFmtId="0" fontId="2" fillId="0" borderId="12" xfId="0" applyFont="1" applyBorder="1"/>
    <xf numFmtId="0" fontId="0" fillId="0" borderId="12" xfId="0" applyBorder="1"/>
    <xf numFmtId="44" fontId="0" fillId="0" borderId="12" xfId="1" applyFont="1" applyBorder="1"/>
    <xf numFmtId="2" fontId="0" fillId="0" borderId="12" xfId="0" applyNumberFormat="1" applyBorder="1"/>
    <xf numFmtId="44" fontId="0" fillId="0" borderId="12" xfId="0" applyNumberFormat="1" applyBorder="1"/>
    <xf numFmtId="0" fontId="5" fillId="0" borderId="12" xfId="2" applyBorder="1"/>
    <xf numFmtId="0" fontId="0" fillId="0" borderId="11" xfId="0" applyBorder="1"/>
    <xf numFmtId="0" fontId="0" fillId="0" borderId="6" xfId="0" applyBorder="1"/>
    <xf numFmtId="44" fontId="0" fillId="0" borderId="3" xfId="0" applyNumberFormat="1" applyBorder="1"/>
    <xf numFmtId="44" fontId="0" fillId="0" borderId="11" xfId="0" applyNumberFormat="1" applyBorder="1"/>
    <xf numFmtId="11" fontId="2" fillId="10" borderId="0" xfId="4" applyNumberFormat="1" applyFont="1" applyFill="1" applyAlignment="1">
      <alignment horizontal="center" vertical="center"/>
    </xf>
    <xf numFmtId="1" fontId="0" fillId="0" borderId="12" xfId="0" applyNumberFormat="1" applyBorder="1"/>
    <xf numFmtId="0" fontId="2" fillId="11" borderId="0" xfId="0" applyFont="1" applyFill="1" applyAlignment="1">
      <alignment horizontal="center" vertical="center"/>
    </xf>
    <xf numFmtId="0" fontId="0" fillId="10" borderId="0" xfId="0" applyFill="1"/>
    <xf numFmtId="0" fontId="0" fillId="12" borderId="4" xfId="0" applyFill="1" applyBorder="1"/>
    <xf numFmtId="0" fontId="0" fillId="12" borderId="5" xfId="0" applyFill="1" applyBorder="1"/>
    <xf numFmtId="9" fontId="0" fillId="0" borderId="11" xfId="3" applyFont="1" applyFill="1" applyBorder="1" applyAlignment="1">
      <alignment horizontal="right" vertical="center"/>
    </xf>
    <xf numFmtId="9" fontId="0" fillId="20" borderId="0" xfId="3" applyFont="1" applyFill="1"/>
    <xf numFmtId="0" fontId="2" fillId="12" borderId="10" xfId="0" applyFont="1" applyFill="1" applyBorder="1" applyAlignment="1">
      <alignment vertical="center"/>
    </xf>
    <xf numFmtId="9" fontId="2" fillId="12" borderId="0" xfId="0" applyNumberFormat="1" applyFont="1" applyFill="1" applyBorder="1" applyAlignment="1">
      <alignment vertical="center"/>
    </xf>
    <xf numFmtId="0" fontId="2" fillId="10" borderId="10" xfId="0" applyFont="1" applyFill="1" applyBorder="1" applyAlignment="1">
      <alignment vertical="center"/>
    </xf>
    <xf numFmtId="9" fontId="2" fillId="10" borderId="0" xfId="0" applyNumberFormat="1" applyFont="1" applyFill="1" applyBorder="1" applyAlignment="1">
      <alignment vertical="center"/>
    </xf>
    <xf numFmtId="0" fontId="2" fillId="11" borderId="10" xfId="0" applyFont="1" applyFill="1" applyBorder="1" applyAlignment="1">
      <alignment vertical="center"/>
    </xf>
    <xf numFmtId="9" fontId="2" fillId="11" borderId="0" xfId="0" applyNumberFormat="1" applyFont="1" applyFill="1" applyBorder="1" applyAlignment="1">
      <alignment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5" xfId="0" applyBorder="1" applyAlignment="1">
      <alignment horizontal="center"/>
    </xf>
    <xf numFmtId="0" fontId="2" fillId="11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16" borderId="0" xfId="0" applyFont="1" applyFill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</cellXfs>
  <cellStyles count="5">
    <cellStyle name="Lien hypertexte" xfId="2" builtinId="8"/>
    <cellStyle name="Milliers" xfId="4" builtinId="3"/>
    <cellStyle name="Monétaire" xfId="1" builtinId="4"/>
    <cellStyle name="Normal" xfId="0" builtinId="0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95122484689411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405949256342957E-2"/>
                  <c:y val="-0.33558435403907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cutter'!$D$12:$D$18</c:f>
              <c:numCache>
                <c:formatCode>General</c:formatCode>
                <c:ptCount val="7"/>
                <c:pt idx="0">
                  <c:v>2.31</c:v>
                </c:pt>
                <c:pt idx="1">
                  <c:v>3.26</c:v>
                </c:pt>
                <c:pt idx="2">
                  <c:v>4.12</c:v>
                </c:pt>
                <c:pt idx="3">
                  <c:v>5.82</c:v>
                </c:pt>
                <c:pt idx="4">
                  <c:v>6.35</c:v>
                </c:pt>
                <c:pt idx="5">
                  <c:v>7.9379999999999997</c:v>
                </c:pt>
                <c:pt idx="6">
                  <c:v>9.5250000000000004</c:v>
                </c:pt>
              </c:numCache>
            </c:numRef>
          </c:xVal>
          <c:yVal>
            <c:numRef>
              <c:f>'Laser cutter'!$E$12:$E$18</c:f>
              <c:numCache>
                <c:formatCode>General</c:formatCode>
                <c:ptCount val="7"/>
                <c:pt idx="0">
                  <c:v>3175</c:v>
                </c:pt>
                <c:pt idx="1">
                  <c:v>2184.4</c:v>
                </c:pt>
                <c:pt idx="2">
                  <c:v>1879.6</c:v>
                </c:pt>
                <c:pt idx="3">
                  <c:v>1498.6</c:v>
                </c:pt>
                <c:pt idx="4">
                  <c:v>1270</c:v>
                </c:pt>
                <c:pt idx="5">
                  <c:v>762</c:v>
                </c:pt>
                <c:pt idx="6">
                  <c:v>584.19999999999993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9FF-B254-0D8DAECE6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1672"/>
        <c:axId val="455681184"/>
      </c:scatterChart>
      <c:valAx>
        <c:axId val="8384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5681184"/>
        <c:crosses val="autoZero"/>
        <c:crossBetween val="midCat"/>
      </c:valAx>
      <c:valAx>
        <c:axId val="4556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84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2804024496937875E-3"/>
                  <c:y val="-9.6443205016039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cutter'!$D$19:$D$23</c:f>
              <c:numCache>
                <c:formatCode>General</c:formatCode>
                <c:ptCount val="5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  <c:pt idx="3">
                  <c:v>3.26</c:v>
                </c:pt>
                <c:pt idx="4">
                  <c:v>4.12</c:v>
                </c:pt>
              </c:numCache>
            </c:numRef>
          </c:xVal>
          <c:yVal>
            <c:numRef>
              <c:f>'Laser cutter'!$E$19:$E$23</c:f>
              <c:numCache>
                <c:formatCode>General</c:formatCode>
                <c:ptCount val="5"/>
                <c:pt idx="0">
                  <c:v>19812</c:v>
                </c:pt>
                <c:pt idx="1">
                  <c:v>5486.4</c:v>
                </c:pt>
                <c:pt idx="2">
                  <c:v>1879.6</c:v>
                </c:pt>
                <c:pt idx="3">
                  <c:v>1193.8</c:v>
                </c:pt>
                <c:pt idx="4">
                  <c:v>609.59999999999991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6-49EE-8B85-A3087D124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89736"/>
        <c:axId val="573884160"/>
      </c:scatterChart>
      <c:valAx>
        <c:axId val="57388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4160"/>
        <c:crosses val="autoZero"/>
        <c:crossBetween val="midCat"/>
      </c:valAx>
      <c:valAx>
        <c:axId val="5738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920384951881019E-2"/>
                  <c:y val="-0.36496172353455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cutter'!$D$24:$D$26</c:f>
              <c:numCache>
                <c:formatCode>General</c:formatCode>
                <c:ptCount val="3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</c:numCache>
            </c:numRef>
          </c:xVal>
          <c:yVal>
            <c:numRef>
              <c:f>'Laser cutter'!$E$24:$E$26</c:f>
              <c:numCache>
                <c:formatCode>General</c:formatCode>
                <c:ptCount val="3"/>
                <c:pt idx="0">
                  <c:v>7620</c:v>
                </c:pt>
                <c:pt idx="1">
                  <c:v>3048</c:v>
                </c:pt>
                <c:pt idx="2">
                  <c:v>711.19999999999993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B-4ED3-9968-E380B51A4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54808"/>
        <c:axId val="578357760"/>
      </c:scatterChart>
      <c:valAx>
        <c:axId val="57835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57760"/>
        <c:crosses val="autoZero"/>
        <c:crossBetween val="midCat"/>
      </c:valAx>
      <c:valAx>
        <c:axId val="5783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54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17</xdr:row>
      <xdr:rowOff>157162</xdr:rowOff>
    </xdr:from>
    <xdr:to>
      <xdr:col>18</xdr:col>
      <xdr:colOff>742950</xdr:colOff>
      <xdr:row>32</xdr:row>
      <xdr:rowOff>42862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B725B47-22F5-4FDD-9D77-2484D4344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</xdr:colOff>
      <xdr:row>19</xdr:row>
      <xdr:rowOff>157162</xdr:rowOff>
    </xdr:from>
    <xdr:to>
      <xdr:col>11</xdr:col>
      <xdr:colOff>719137</xdr:colOff>
      <xdr:row>34</xdr:row>
      <xdr:rowOff>42862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E2A4E3E-38A7-45F7-B843-64F8166B9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52387</xdr:colOff>
      <xdr:row>34</xdr:row>
      <xdr:rowOff>147637</xdr:rowOff>
    </xdr:from>
    <xdr:to>
      <xdr:col>11</xdr:col>
      <xdr:colOff>719137</xdr:colOff>
      <xdr:row>49</xdr:row>
      <xdr:rowOff>33337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18380E8-761B-438B-AD8E-A63499686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deo.fr/p/outillage-et-equipements/oxygene-grande-bouteille-10-6m3-ref-g110-i1001l50r2a001-A1204487" TargetMode="External"/><Relationship Id="rId2" Type="http://schemas.openxmlformats.org/officeDocument/2006/relationships/hyperlink" Target="https://www.baileigh.com/cnc-laser-table-fl-510hd-500" TargetMode="External"/><Relationship Id="rId1" Type="http://schemas.openxmlformats.org/officeDocument/2006/relationships/hyperlink" Target="https://www.bosslaser.com/metal-cutting-product/" TargetMode="External"/><Relationship Id="rId4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meca.com/soudage-et-accessoires/consommables-de-soudage/metaux-d-apport-soudage-tig/kg-de-metal-d-apport-aluminium-o-2-0-x-1000-mm" TargetMode="External"/><Relationship Id="rId2" Type="http://schemas.openxmlformats.org/officeDocument/2006/relationships/hyperlink" Target="https://www.promeca.com/soudage-et-accessoires/consommables-de-soudage/metaux-d-apport-soudage-tig" TargetMode="External"/><Relationship Id="rId1" Type="http://schemas.openxmlformats.org/officeDocument/2006/relationships/hyperlink" Target="https://www.siegmund.com/fr/1-Tables-de-soudure/98-Professional-Extreme/2400x1200x200/Panorama,101.php" TargetMode="External"/><Relationship Id="rId5" Type="http://schemas.openxmlformats.org/officeDocument/2006/relationships/hyperlink" Target="https://www.orexad.com/fr/mobiflex-200-m-systeme-d-aspiration-des-fumees/p-G1189001541" TargetMode="External"/><Relationship Id="rId4" Type="http://schemas.openxmlformats.org/officeDocument/2006/relationships/hyperlink" Target="https://www.promeca.com/poste-a-souder-tig220-ac-dc-ta34-ref-eau-esab-caddy-tig2200iac-dc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urplex.com/fr/vente/c/tours-paralleles-4340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rhmetal.fr/87-rond-acier-noir-s235" TargetMode="External"/><Relationship Id="rId7" Type="http://schemas.openxmlformats.org/officeDocument/2006/relationships/hyperlink" Target="https://www.metalaladecoupe.com/francais/barres_rondes_5_50.asp?tbout=acier" TargetMode="External"/><Relationship Id="rId2" Type="http://schemas.openxmlformats.org/officeDocument/2006/relationships/hyperlink" Target="https://lemetal.fr/148-tole-plane-aluminium" TargetMode="External"/><Relationship Id="rId1" Type="http://schemas.openxmlformats.org/officeDocument/2006/relationships/hyperlink" Target="http://www.blockenstock.fr/epaisseur-32mm-et-plus-c102x2963106" TargetMode="External"/><Relationship Id="rId6" Type="http://schemas.openxmlformats.org/officeDocument/2006/relationships/hyperlink" Target="https://plastique-en-ligne.com/Plaques/POM-C" TargetMode="External"/><Relationship Id="rId5" Type="http://schemas.openxmlformats.org/officeDocument/2006/relationships/hyperlink" Target="https://www.metalaladecoupe.com/francais/toles.asp?tbout=acier" TargetMode="External"/><Relationship Id="rId4" Type="http://schemas.openxmlformats.org/officeDocument/2006/relationships/hyperlink" Target="https://www.acier-detail-decoupe.fr/27-ron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uristique.org/social/duree-du-travail" TargetMode="External"/><Relationship Id="rId2" Type="http://schemas.openxmlformats.org/officeDocument/2006/relationships/hyperlink" Target="https://travail-emploi.gouv.fr/emploi/accompagnement-des-tpe-pme/tpe-pme/article/le-simulateur-du-cout-d-embauche" TargetMode="External"/><Relationship Id="rId1" Type="http://schemas.openxmlformats.org/officeDocument/2006/relationships/hyperlink" Target="https://www.gestionnaire-paie.com/convention-collective-automobile-salaires-minima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au-direct.fr/gestion/prix.html" TargetMode="External"/><Relationship Id="rId1" Type="http://schemas.openxmlformats.org/officeDocument/2006/relationships/hyperlink" Target="https://www.kelwatt.fr/guide/prix-electricite-entrepris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.mitutoyo.fr/web/mitutoyo/fr_FR/mitutoyo/1355993040307/Microm%C3%A8tre%20d%27int%C3%A9rieur%20Holtest%20en%20jeu%2020-50%20mm/$catalogue/mitutoyoData/PR/368-992/index.xhtml" TargetMode="External"/><Relationship Id="rId2" Type="http://schemas.openxmlformats.org/officeDocument/2006/relationships/hyperlink" Target="http://www.starrett.com/metrology/product-detail/3753A-8~200" TargetMode="External"/><Relationship Id="rId1" Type="http://schemas.openxmlformats.org/officeDocument/2006/relationships/hyperlink" Target="https://shop.mitutoyo.fr/web/mitutoyo/fr_FR/mitutoyo/1305010043843/Comparateur%20%C3%A0%20palpeur%20orientable%2C%20mod%C3%A8le%20horizontal/$catalogue/mitutoyoData/PR/513-401-10E/index.x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ileigh.com/semi-auto-band-saw-bs-330sa" TargetMode="External"/><Relationship Id="rId3" Type="http://schemas.openxmlformats.org/officeDocument/2006/relationships/hyperlink" Target="https://www.baileigh.com/sheet-metal-brake-hb-4816e" TargetMode="External"/><Relationship Id="rId7" Type="http://schemas.openxmlformats.org/officeDocument/2006/relationships/hyperlink" Target="https://www.promeca.com/cle-dynamometrique-10-50-nm-facom-j208-50pb-promotion" TargetMode="External"/><Relationship Id="rId2" Type="http://schemas.openxmlformats.org/officeDocument/2006/relationships/hyperlink" Target="https://www.master-outillage.com/facom/13765-servante-rouge-7-tiroirs-composition-d-outillage-v8-facom-jetv8m3-3148519073409.html" TargetMode="External"/><Relationship Id="rId1" Type="http://schemas.openxmlformats.org/officeDocument/2006/relationships/hyperlink" Target="https://www.promeca.com/composition-v5-servante-chrono-6m3-facom-chrono-v5pb-promotion" TargetMode="External"/><Relationship Id="rId6" Type="http://schemas.openxmlformats.org/officeDocument/2006/relationships/hyperlink" Target="https://www.promeca.com/cle-dynamometrique-40-200-nm-facom-s-208-200pb-promotion" TargetMode="External"/><Relationship Id="rId5" Type="http://schemas.openxmlformats.org/officeDocument/2006/relationships/hyperlink" Target="https://www.promeca.com/cle-dynamo-a-declenchement-avec-cliquet-60-340-nm-facom-s-208a340" TargetMode="External"/><Relationship Id="rId10" Type="http://schemas.openxmlformats.org/officeDocument/2006/relationships/hyperlink" Target="https://www.orexad.com/fr/etabli-standard/p-G1359000830" TargetMode="External"/><Relationship Id="rId4" Type="http://schemas.openxmlformats.org/officeDocument/2006/relationships/hyperlink" Target="https://www.baileigh.com/hydraulic-shop-press-hsp-10h" TargetMode="External"/><Relationship Id="rId9" Type="http://schemas.openxmlformats.org/officeDocument/2006/relationships/hyperlink" Target="https://www.orexad.com/fr/etabli-standard/p-G1359000849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ffmann-group.com/FR/fr/hof/Accessoires-machines/Etaux/Etau-haute-pression-CN---NC8/p/360405-125L" TargetMode="External"/><Relationship Id="rId2" Type="http://schemas.openxmlformats.org/officeDocument/2006/relationships/hyperlink" Target="https://www.haascnc.com/machines/vertical-mills/vf-series/models/medium/vf-3ssyt.html" TargetMode="External"/><Relationship Id="rId1" Type="http://schemas.openxmlformats.org/officeDocument/2006/relationships/hyperlink" Target="https://www.haascnc.com/shop/category/pricelist.html" TargetMode="External"/><Relationship Id="rId4" Type="http://schemas.openxmlformats.org/officeDocument/2006/relationships/hyperlink" Target="https://www.hoffmann-group.com/FR/fr/hof/Accessoires-machines/Porte-outils/c/3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haascnc.com/shop/category/priceli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7"/>
  <sheetViews>
    <sheetView topLeftCell="G1" zoomScale="80" zoomScaleNormal="80" workbookViewId="0">
      <selection activeCell="J43" sqref="J43"/>
    </sheetView>
  </sheetViews>
  <sheetFormatPr baseColWidth="10" defaultRowHeight="14.4" x14ac:dyDescent="0.3"/>
  <cols>
    <col min="2" max="2" width="33" customWidth="1"/>
    <col min="3" max="3" width="12.88671875" bestFit="1" customWidth="1"/>
    <col min="4" max="4" width="64.44140625" bestFit="1" customWidth="1"/>
    <col min="5" max="5" width="4.88671875" customWidth="1"/>
    <col min="6" max="6" width="14.88671875" bestFit="1" customWidth="1"/>
    <col min="7" max="7" width="86.33203125" bestFit="1" customWidth="1"/>
    <col min="8" max="8" width="12.88671875" bestFit="1" customWidth="1"/>
    <col min="9" max="9" width="14.6640625" bestFit="1" customWidth="1"/>
    <col min="10" max="10" width="12.44140625" bestFit="1" customWidth="1"/>
    <col min="11" max="11" width="4.5546875" customWidth="1"/>
    <col min="12" max="12" width="63.33203125" bestFit="1" customWidth="1"/>
    <col min="13" max="13" width="9.33203125" bestFit="1" customWidth="1"/>
    <col min="14" max="14" width="33.109375" bestFit="1" customWidth="1"/>
    <col min="15" max="15" width="8.44140625" bestFit="1" customWidth="1"/>
    <col min="16" max="16" width="37.109375" bestFit="1" customWidth="1"/>
    <col min="17" max="17" width="13.88671875" bestFit="1" customWidth="1"/>
    <col min="18" max="18" width="15" bestFit="1" customWidth="1"/>
    <col min="19" max="19" width="19.109375" customWidth="1"/>
    <col min="20" max="20" width="4.6640625" customWidth="1"/>
    <col min="21" max="21" width="21" bestFit="1" customWidth="1"/>
    <col min="22" max="22" width="14.5546875" bestFit="1" customWidth="1"/>
    <col min="24" max="24" width="4.88671875" customWidth="1"/>
  </cols>
  <sheetData>
    <row r="1" spans="1:27" x14ac:dyDescent="0.3">
      <c r="A1" s="138" t="s">
        <v>53</v>
      </c>
      <c r="B1" s="138"/>
      <c r="C1" s="138"/>
      <c r="D1" s="43"/>
      <c r="F1" s="135" t="s">
        <v>14</v>
      </c>
      <c r="G1" s="135"/>
      <c r="H1" s="135"/>
      <c r="I1" s="32"/>
      <c r="J1" s="32"/>
      <c r="L1" s="134" t="s">
        <v>233</v>
      </c>
      <c r="M1" s="134"/>
      <c r="N1" s="134"/>
      <c r="O1" s="134"/>
      <c r="P1" s="134"/>
      <c r="Q1" s="134"/>
      <c r="R1" s="31"/>
      <c r="S1" s="31"/>
      <c r="U1" s="131" t="s">
        <v>25</v>
      </c>
      <c r="V1" s="131"/>
      <c r="W1" s="131"/>
      <c r="Y1" s="121" t="s">
        <v>48</v>
      </c>
      <c r="Z1" s="121"/>
      <c r="AA1" s="121"/>
    </row>
    <row r="2" spans="1:27" ht="28.8" x14ac:dyDescent="0.3">
      <c r="A2" s="43" t="s">
        <v>33</v>
      </c>
      <c r="B2" s="43" t="s">
        <v>16</v>
      </c>
      <c r="C2" s="43" t="s">
        <v>54</v>
      </c>
      <c r="D2" s="43" t="s">
        <v>252</v>
      </c>
      <c r="F2" s="3" t="s">
        <v>33</v>
      </c>
      <c r="G2" s="3" t="s">
        <v>26</v>
      </c>
      <c r="H2" s="3" t="s">
        <v>17</v>
      </c>
      <c r="I2" s="34" t="s">
        <v>408</v>
      </c>
      <c r="J2" s="32" t="s">
        <v>231</v>
      </c>
      <c r="L2" s="8" t="s">
        <v>15</v>
      </c>
      <c r="M2" s="31"/>
      <c r="N2" s="8" t="s">
        <v>16</v>
      </c>
      <c r="O2" s="31" t="s">
        <v>236</v>
      </c>
      <c r="P2" s="31" t="s">
        <v>241</v>
      </c>
      <c r="Q2" s="8" t="s">
        <v>17</v>
      </c>
      <c r="R2" s="35" t="s">
        <v>408</v>
      </c>
      <c r="S2" s="31" t="s">
        <v>231</v>
      </c>
      <c r="U2" s="12" t="s">
        <v>15</v>
      </c>
      <c r="V2" s="12" t="s">
        <v>26</v>
      </c>
      <c r="W2" s="12" t="s">
        <v>17</v>
      </c>
      <c r="Y2" s="16" t="s">
        <v>15</v>
      </c>
      <c r="Z2" s="16" t="s">
        <v>16</v>
      </c>
      <c r="AA2" s="16" t="s">
        <v>17</v>
      </c>
    </row>
    <row r="3" spans="1:27" x14ac:dyDescent="0.3">
      <c r="A3" s="47" t="s">
        <v>55</v>
      </c>
      <c r="B3" s="48" t="s">
        <v>28</v>
      </c>
      <c r="C3" s="49">
        <f>'Manpower &amp; time'!C5</f>
        <v>21376</v>
      </c>
      <c r="D3" s="49"/>
      <c r="F3" s="4" t="s">
        <v>34</v>
      </c>
      <c r="G3" t="s">
        <v>222</v>
      </c>
      <c r="H3" s="23">
        <f>SUM(Metrology!E14:E17)</f>
        <v>2320</v>
      </c>
      <c r="I3" s="33">
        <v>10</v>
      </c>
      <c r="J3" s="23">
        <f>H3/I3</f>
        <v>232</v>
      </c>
      <c r="L3" s="122" t="s">
        <v>520</v>
      </c>
      <c r="M3" s="122"/>
      <c r="N3" t="s">
        <v>232</v>
      </c>
      <c r="O3" t="s">
        <v>237</v>
      </c>
      <c r="Q3" s="22">
        <f>'CNC mill'!B22</f>
        <v>108020</v>
      </c>
      <c r="R3">
        <v>10</v>
      </c>
      <c r="S3" s="22">
        <f>Q3/R3</f>
        <v>10802</v>
      </c>
      <c r="U3" s="13" t="s">
        <v>27</v>
      </c>
      <c r="V3" t="s">
        <v>28</v>
      </c>
      <c r="Z3" t="s">
        <v>49</v>
      </c>
    </row>
    <row r="4" spans="1:27" x14ac:dyDescent="0.3">
      <c r="A4" s="47"/>
      <c r="B4" s="48" t="s">
        <v>56</v>
      </c>
      <c r="C4" s="49">
        <f>'Manpower &amp; time'!C6</f>
        <v>39809</v>
      </c>
      <c r="D4" s="49"/>
      <c r="F4" s="4"/>
      <c r="G4" t="s">
        <v>221</v>
      </c>
      <c r="H4" s="23">
        <f>SUM(Metrology!E18:E19)</f>
        <v>1838.4</v>
      </c>
      <c r="I4" s="33">
        <v>10</v>
      </c>
      <c r="J4" s="23">
        <f t="shared" ref="J4:J36" si="0">H4/I4</f>
        <v>183.84</v>
      </c>
      <c r="L4" s="9" t="s">
        <v>290</v>
      </c>
      <c r="M4" s="9">
        <v>22.4</v>
      </c>
      <c r="N4" t="s">
        <v>234</v>
      </c>
      <c r="O4" t="s">
        <v>237</v>
      </c>
      <c r="Q4" s="22">
        <f>'CNC mill'!B23*'CNC mill'!C23</f>
        <v>4000</v>
      </c>
      <c r="R4">
        <v>5</v>
      </c>
      <c r="S4" s="22">
        <f t="shared" ref="S4:S6" si="1">Q4/R4</f>
        <v>800</v>
      </c>
      <c r="U4" s="13"/>
      <c r="V4" t="s">
        <v>28</v>
      </c>
      <c r="Z4" t="s">
        <v>50</v>
      </c>
    </row>
    <row r="5" spans="1:27" x14ac:dyDescent="0.3">
      <c r="A5" s="47"/>
      <c r="B5" s="48" t="s">
        <v>57</v>
      </c>
      <c r="C5" s="49">
        <f>'Manpower &amp; time'!C8</f>
        <v>69843</v>
      </c>
      <c r="D5" s="49"/>
      <c r="F5" s="4"/>
      <c r="G5" t="s">
        <v>220</v>
      </c>
      <c r="H5" s="23">
        <f>SUM(Metrology!E2:E8)+Metrology!E2+Metrology!E4+Metrology!E3+Metrology!E7+Metrology!E8</f>
        <v>1272</v>
      </c>
      <c r="I5" s="33">
        <v>10</v>
      </c>
      <c r="J5" s="23">
        <f t="shared" si="0"/>
        <v>127.2</v>
      </c>
      <c r="L5" s="9" t="s">
        <v>250</v>
      </c>
      <c r="M5" s="36">
        <f>C10</f>
        <v>0.8</v>
      </c>
      <c r="N5" t="s">
        <v>235</v>
      </c>
      <c r="O5" t="s">
        <v>237</v>
      </c>
      <c r="Q5" s="22">
        <f>'CNC mill'!B24</f>
        <v>2500</v>
      </c>
      <c r="R5">
        <v>5</v>
      </c>
      <c r="S5" s="22">
        <f t="shared" si="1"/>
        <v>500</v>
      </c>
      <c r="U5" s="14" t="s">
        <v>29</v>
      </c>
      <c r="V5" t="s">
        <v>30</v>
      </c>
    </row>
    <row r="6" spans="1:27" x14ac:dyDescent="0.3">
      <c r="A6" s="47"/>
      <c r="B6" s="48" t="s">
        <v>58</v>
      </c>
      <c r="C6" s="49">
        <f>'Manpower &amp; time'!C6</f>
        <v>39809</v>
      </c>
      <c r="D6" s="49"/>
      <c r="F6" s="4"/>
      <c r="G6" t="s">
        <v>37</v>
      </c>
      <c r="H6" s="22">
        <f>Metrology!E23</f>
        <v>48334.81</v>
      </c>
      <c r="I6" s="33">
        <v>10</v>
      </c>
      <c r="J6" s="23">
        <f t="shared" si="0"/>
        <v>4833.4809999999998</v>
      </c>
      <c r="L6" s="9" t="s">
        <v>251</v>
      </c>
      <c r="M6" s="9">
        <v>5</v>
      </c>
      <c r="N6" t="s">
        <v>22</v>
      </c>
      <c r="O6" t="s">
        <v>237</v>
      </c>
      <c r="P6" t="s">
        <v>243</v>
      </c>
      <c r="Q6" s="22">
        <f>0.05*Q3</f>
        <v>5401</v>
      </c>
      <c r="R6">
        <v>1</v>
      </c>
      <c r="S6" s="22">
        <f t="shared" si="1"/>
        <v>5401</v>
      </c>
      <c r="U6" s="14"/>
      <c r="V6" t="s">
        <v>31</v>
      </c>
    </row>
    <row r="7" spans="1:27" x14ac:dyDescent="0.3">
      <c r="A7" s="47"/>
      <c r="B7" s="48" t="s">
        <v>269</v>
      </c>
      <c r="C7" s="48">
        <v>5</v>
      </c>
      <c r="D7" s="48" t="s">
        <v>514</v>
      </c>
      <c r="F7" s="4"/>
      <c r="G7" t="s">
        <v>223</v>
      </c>
      <c r="H7" s="23">
        <f>SUM(Metrology!E10:E12)</f>
        <v>3209.6000000000004</v>
      </c>
      <c r="I7" s="33">
        <v>10</v>
      </c>
      <c r="J7" s="23">
        <f t="shared" si="0"/>
        <v>320.96000000000004</v>
      </c>
      <c r="L7" s="9" t="s">
        <v>521</v>
      </c>
      <c r="M7" s="39">
        <f>1/10000</f>
        <v>1E-4</v>
      </c>
      <c r="N7" t="s">
        <v>19</v>
      </c>
      <c r="O7" t="s">
        <v>238</v>
      </c>
      <c r="P7" t="s">
        <v>291</v>
      </c>
      <c r="Q7" s="30">
        <f>M4*0.8*C14</f>
        <v>1.4031359999999997</v>
      </c>
      <c r="U7" s="14"/>
    </row>
    <row r="8" spans="1:27" x14ac:dyDescent="0.3">
      <c r="A8" s="46" t="s">
        <v>59</v>
      </c>
      <c r="B8" t="s">
        <v>60</v>
      </c>
      <c r="C8">
        <v>35</v>
      </c>
      <c r="F8" s="4"/>
      <c r="G8" t="s">
        <v>224</v>
      </c>
      <c r="H8" s="23">
        <f>2*Metrology!E21</f>
        <v>492.90039304557206</v>
      </c>
      <c r="I8" s="33">
        <v>10</v>
      </c>
      <c r="J8" s="23">
        <f t="shared" si="0"/>
        <v>49.290039304557205</v>
      </c>
      <c r="L8" s="9" t="s">
        <v>411</v>
      </c>
      <c r="M8" s="39">
        <f>M7*0.5</f>
        <v>5.0000000000000002E-5</v>
      </c>
      <c r="N8" t="s">
        <v>240</v>
      </c>
      <c r="O8" t="s">
        <v>238</v>
      </c>
      <c r="P8" t="s">
        <v>298</v>
      </c>
      <c r="Q8" s="2">
        <v>20</v>
      </c>
      <c r="U8" s="14"/>
    </row>
    <row r="9" spans="1:27" x14ac:dyDescent="0.3">
      <c r="A9" s="46"/>
      <c r="B9" t="s">
        <v>61</v>
      </c>
      <c r="C9" s="27">
        <f>'Manpower &amp; time'!B17</f>
        <v>45.6</v>
      </c>
      <c r="D9" s="27"/>
      <c r="F9" s="4"/>
      <c r="G9" t="s">
        <v>531</v>
      </c>
      <c r="H9" s="22">
        <f>Metrology!E25</f>
        <v>5390</v>
      </c>
      <c r="I9" s="33">
        <v>10</v>
      </c>
      <c r="J9" s="23">
        <f t="shared" si="0"/>
        <v>539</v>
      </c>
      <c r="L9" s="44" t="s">
        <v>410</v>
      </c>
      <c r="M9" s="39">
        <f>M7*0.4</f>
        <v>4.0000000000000003E-5</v>
      </c>
      <c r="N9" t="s">
        <v>239</v>
      </c>
      <c r="O9" t="s">
        <v>238</v>
      </c>
      <c r="P9" t="s">
        <v>338</v>
      </c>
      <c r="Q9" s="22">
        <f>1*'CNC mill'!F31</f>
        <v>88.025599999999997</v>
      </c>
      <c r="R9">
        <v>1</v>
      </c>
      <c r="S9" s="22">
        <f t="shared" ref="S9" si="2">Q9/R9</f>
        <v>88.025599999999997</v>
      </c>
      <c r="U9" s="14"/>
    </row>
    <row r="10" spans="1:27" ht="28.8" x14ac:dyDescent="0.3">
      <c r="A10" s="46"/>
      <c r="B10" t="s">
        <v>62</v>
      </c>
      <c r="C10" s="26">
        <v>0.8</v>
      </c>
      <c r="D10" s="55" t="s">
        <v>284</v>
      </c>
      <c r="F10" s="5" t="s">
        <v>38</v>
      </c>
      <c r="G10" s="38" t="s">
        <v>294</v>
      </c>
      <c r="H10" s="22">
        <f>Energies!B6</f>
        <v>2874.8160000000003</v>
      </c>
      <c r="I10">
        <v>1</v>
      </c>
      <c r="J10" s="23">
        <f t="shared" si="0"/>
        <v>2874.8160000000003</v>
      </c>
      <c r="L10" s="18" t="s">
        <v>271</v>
      </c>
      <c r="M10" s="18">
        <v>20</v>
      </c>
      <c r="U10" s="14"/>
      <c r="V10" t="s">
        <v>28</v>
      </c>
    </row>
    <row r="11" spans="1:27" x14ac:dyDescent="0.3">
      <c r="A11" s="46"/>
      <c r="B11" t="s">
        <v>272</v>
      </c>
      <c r="C11" s="26">
        <v>0.95</v>
      </c>
      <c r="D11" s="26" t="s">
        <v>285</v>
      </c>
      <c r="F11" s="5"/>
      <c r="G11" s="38" t="s">
        <v>295</v>
      </c>
      <c r="H11" s="2">
        <f>16*C8*C9*C14</f>
        <v>1999.4687999999999</v>
      </c>
      <c r="I11">
        <v>1</v>
      </c>
      <c r="J11" s="23">
        <f t="shared" si="0"/>
        <v>1999.4687999999999</v>
      </c>
      <c r="L11" s="133" t="s">
        <v>18</v>
      </c>
      <c r="M11" s="133"/>
      <c r="N11" t="s">
        <v>351</v>
      </c>
      <c r="O11" t="s">
        <v>237</v>
      </c>
      <c r="Q11" s="2">
        <f>'CNC lathe'!B2</f>
        <v>133720</v>
      </c>
      <c r="R11">
        <v>10</v>
      </c>
      <c r="S11" s="22">
        <f>Q11/R11</f>
        <v>13372</v>
      </c>
      <c r="U11" s="15" t="s">
        <v>51</v>
      </c>
      <c r="V11" t="s">
        <v>52</v>
      </c>
    </row>
    <row r="12" spans="1:27" ht="28.8" x14ac:dyDescent="0.3">
      <c r="A12" s="46"/>
      <c r="B12" s="56" t="s">
        <v>270</v>
      </c>
      <c r="C12" s="37">
        <f>C9*C8*C10*C7</f>
        <v>6384.0000000000009</v>
      </c>
      <c r="D12" s="26"/>
      <c r="F12" s="5"/>
      <c r="G12" s="38" t="s">
        <v>450</v>
      </c>
      <c r="H12" s="2">
        <f>Energies!C10*60</f>
        <v>132.96</v>
      </c>
      <c r="I12">
        <v>1</v>
      </c>
      <c r="J12" s="23">
        <f t="shared" si="0"/>
        <v>132.96</v>
      </c>
      <c r="L12" s="10" t="s">
        <v>290</v>
      </c>
      <c r="M12" s="10">
        <v>29.8</v>
      </c>
      <c r="N12" t="s">
        <v>339</v>
      </c>
      <c r="O12" t="s">
        <v>237</v>
      </c>
      <c r="Q12" s="22">
        <f>12*'CNC lathe'!B6+6*'CNC lathe'!B7</f>
        <v>19200</v>
      </c>
      <c r="R12">
        <v>10</v>
      </c>
      <c r="S12" s="22">
        <f>Q12/R12</f>
        <v>1920</v>
      </c>
      <c r="U12" s="17"/>
      <c r="V12" t="s">
        <v>28</v>
      </c>
    </row>
    <row r="13" spans="1:27" x14ac:dyDescent="0.3">
      <c r="A13" s="50" t="s">
        <v>340</v>
      </c>
      <c r="B13" t="s">
        <v>174</v>
      </c>
      <c r="C13" s="22">
        <f>Energies!B6</f>
        <v>2874.8160000000003</v>
      </c>
      <c r="D13" s="22"/>
      <c r="F13" s="5"/>
      <c r="G13" t="s">
        <v>39</v>
      </c>
      <c r="I13">
        <v>1</v>
      </c>
      <c r="J13" s="23">
        <f t="shared" si="0"/>
        <v>0</v>
      </c>
      <c r="L13" s="10" t="s">
        <v>250</v>
      </c>
      <c r="M13" s="40">
        <f>C10</f>
        <v>0.8</v>
      </c>
      <c r="N13" t="s">
        <v>353</v>
      </c>
      <c r="O13" t="s">
        <v>237</v>
      </c>
      <c r="Q13" s="22">
        <f>'CNC lathe'!B8*30</f>
        <v>4800</v>
      </c>
      <c r="R13">
        <v>5</v>
      </c>
      <c r="S13" s="22">
        <f t="shared" ref="S13:S14" si="3">Q13/R13</f>
        <v>960</v>
      </c>
    </row>
    <row r="14" spans="1:27" x14ac:dyDescent="0.3">
      <c r="A14" s="51"/>
      <c r="B14" t="s">
        <v>175</v>
      </c>
      <c r="C14" s="30">
        <f>Energies!B7</f>
        <v>7.8299999999999995E-2</v>
      </c>
      <c r="D14" s="33"/>
      <c r="F14" s="6" t="s">
        <v>288</v>
      </c>
      <c r="G14" t="s">
        <v>158</v>
      </c>
      <c r="H14" s="22">
        <f>C6</f>
        <v>39809</v>
      </c>
      <c r="I14" s="33">
        <v>1</v>
      </c>
      <c r="J14" s="23">
        <f t="shared" si="0"/>
        <v>39809</v>
      </c>
      <c r="L14" s="10" t="s">
        <v>251</v>
      </c>
      <c r="M14" s="10">
        <v>5</v>
      </c>
      <c r="N14" t="s">
        <v>22</v>
      </c>
      <c r="O14" t="s">
        <v>237</v>
      </c>
      <c r="P14" t="s">
        <v>243</v>
      </c>
      <c r="Q14" s="2">
        <f>0.05*Q11</f>
        <v>6686</v>
      </c>
      <c r="R14">
        <v>1</v>
      </c>
      <c r="S14" s="22">
        <f t="shared" si="3"/>
        <v>6686</v>
      </c>
    </row>
    <row r="15" spans="1:27" x14ac:dyDescent="0.3">
      <c r="A15" s="51"/>
      <c r="B15" t="s">
        <v>505</v>
      </c>
      <c r="C15" s="22">
        <f>Energies!C10</f>
        <v>2.2160000000000002</v>
      </c>
      <c r="F15" s="6"/>
      <c r="G15" t="s">
        <v>278</v>
      </c>
      <c r="H15" s="22">
        <f>C5*0.4</f>
        <v>27937.200000000001</v>
      </c>
      <c r="I15" s="33">
        <v>1</v>
      </c>
      <c r="J15" s="23">
        <f t="shared" si="0"/>
        <v>27937.200000000001</v>
      </c>
      <c r="L15" s="10" t="s">
        <v>521</v>
      </c>
      <c r="M15" s="41">
        <f>1/10000</f>
        <v>1E-4</v>
      </c>
      <c r="N15" t="s">
        <v>19</v>
      </c>
      <c r="O15" t="s">
        <v>238</v>
      </c>
      <c r="P15" t="s">
        <v>291</v>
      </c>
      <c r="Q15" s="30">
        <f>M12*0.8*C14</f>
        <v>1.8666720000000001</v>
      </c>
    </row>
    <row r="16" spans="1:27" x14ac:dyDescent="0.3">
      <c r="A16" s="52" t="s">
        <v>341</v>
      </c>
      <c r="B16" t="s">
        <v>513</v>
      </c>
      <c r="C16" s="33">
        <v>1.12964</v>
      </c>
      <c r="F16" s="6"/>
      <c r="G16" t="s">
        <v>532</v>
      </c>
      <c r="H16" s="22">
        <f>'Manpower &amp; time'!G9</f>
        <v>10868.89</v>
      </c>
      <c r="I16" s="33">
        <v>1</v>
      </c>
      <c r="J16" s="23">
        <f t="shared" si="0"/>
        <v>10868.89</v>
      </c>
      <c r="L16" s="10" t="s">
        <v>439</v>
      </c>
      <c r="M16" s="41">
        <f>M15*0.5</f>
        <v>5.0000000000000002E-5</v>
      </c>
      <c r="N16" t="s">
        <v>240</v>
      </c>
      <c r="O16" t="s">
        <v>238</v>
      </c>
      <c r="P16" t="s">
        <v>291</v>
      </c>
      <c r="Q16" s="2">
        <v>10</v>
      </c>
    </row>
    <row r="17" spans="1:19" x14ac:dyDescent="0.3">
      <c r="A17" s="52"/>
      <c r="B17" t="s">
        <v>204</v>
      </c>
      <c r="C17" s="26">
        <v>0.2</v>
      </c>
      <c r="D17" s="26"/>
      <c r="F17" s="6"/>
      <c r="G17" t="s">
        <v>289</v>
      </c>
      <c r="H17" s="22">
        <f>'Manpower &amp; time'!B32</f>
        <v>13108.788</v>
      </c>
      <c r="I17" s="33">
        <v>1</v>
      </c>
      <c r="J17" s="23">
        <f t="shared" si="0"/>
        <v>13108.788</v>
      </c>
      <c r="L17" s="10" t="s">
        <v>410</v>
      </c>
      <c r="M17" s="41">
        <f>M15*0.4</f>
        <v>4.0000000000000003E-5</v>
      </c>
      <c r="N17" t="s">
        <v>239</v>
      </c>
      <c r="O17" t="s">
        <v>238</v>
      </c>
      <c r="P17" t="s">
        <v>338</v>
      </c>
      <c r="Q17" s="22">
        <f>'CNC lathe'!F14</f>
        <v>88.025599999999997</v>
      </c>
      <c r="R17">
        <v>1</v>
      </c>
      <c r="S17" s="22">
        <f>Q17/R17</f>
        <v>88.025599999999997</v>
      </c>
    </row>
    <row r="18" spans="1:19" x14ac:dyDescent="0.3">
      <c r="F18" s="7" t="s">
        <v>40</v>
      </c>
      <c r="G18" t="s">
        <v>41</v>
      </c>
      <c r="H18" s="22">
        <f>IT!D11+IT!D12+IT!D13+4*IT!D15+IT!D16+3*IT!D17+IT!D18</f>
        <v>4796.88</v>
      </c>
      <c r="I18" s="33">
        <v>3</v>
      </c>
      <c r="J18" s="23">
        <f t="shared" si="0"/>
        <v>1598.96</v>
      </c>
      <c r="L18" s="10" t="s">
        <v>271</v>
      </c>
      <c r="M18" s="10">
        <v>15</v>
      </c>
    </row>
    <row r="19" spans="1:19" x14ac:dyDescent="0.3">
      <c r="F19" s="7"/>
      <c r="G19" t="s">
        <v>229</v>
      </c>
      <c r="H19" s="22">
        <f>IT!D5</f>
        <v>192.96</v>
      </c>
      <c r="I19" s="33">
        <v>3</v>
      </c>
      <c r="J19" s="23">
        <f t="shared" si="0"/>
        <v>64.320000000000007</v>
      </c>
      <c r="L19" s="123" t="s">
        <v>20</v>
      </c>
      <c r="M19" s="123"/>
      <c r="N19" t="s">
        <v>21</v>
      </c>
      <c r="O19" t="s">
        <v>237</v>
      </c>
      <c r="Q19" s="22">
        <f>'Laser cutter'!G4</f>
        <v>185010.26875818847</v>
      </c>
      <c r="R19">
        <v>10</v>
      </c>
      <c r="S19" s="22">
        <f>Q19/R19</f>
        <v>18501.026875818847</v>
      </c>
    </row>
    <row r="20" spans="1:19" x14ac:dyDescent="0.3">
      <c r="F20" s="7"/>
      <c r="G20" t="s">
        <v>230</v>
      </c>
      <c r="H20" s="22">
        <f>2*IT!D6+IT!D7+2*IT!D8+IT!D9</f>
        <v>277.54199999999997</v>
      </c>
      <c r="I20" s="33">
        <v>1</v>
      </c>
      <c r="J20" s="23">
        <f t="shared" si="0"/>
        <v>277.54199999999997</v>
      </c>
      <c r="L20" s="11" t="s">
        <v>290</v>
      </c>
      <c r="M20" s="11">
        <v>7.5</v>
      </c>
      <c r="N20" t="s">
        <v>22</v>
      </c>
      <c r="O20" t="s">
        <v>237</v>
      </c>
      <c r="P20" t="s">
        <v>243</v>
      </c>
      <c r="Q20" s="22">
        <f>0.05*Q19</f>
        <v>9250.5134379094234</v>
      </c>
      <c r="R20">
        <v>1</v>
      </c>
      <c r="S20" s="22">
        <f>Q20/R20</f>
        <v>9250.5134379094234</v>
      </c>
    </row>
    <row r="21" spans="1:19" x14ac:dyDescent="0.3">
      <c r="F21" s="7"/>
      <c r="G21" t="s">
        <v>205</v>
      </c>
      <c r="H21" s="22">
        <f>IT!D3*12*3</f>
        <v>316.8</v>
      </c>
      <c r="I21" s="33">
        <v>1</v>
      </c>
      <c r="J21" s="23">
        <f t="shared" si="0"/>
        <v>316.8</v>
      </c>
      <c r="L21" s="11" t="s">
        <v>250</v>
      </c>
      <c r="M21" s="86">
        <f>C10</f>
        <v>0.8</v>
      </c>
      <c r="N21" t="s">
        <v>23</v>
      </c>
      <c r="O21" t="s">
        <v>238</v>
      </c>
      <c r="P21" t="s">
        <v>291</v>
      </c>
      <c r="Q21" s="30">
        <f>M20*0.8*C14</f>
        <v>0.4698</v>
      </c>
    </row>
    <row r="22" spans="1:19" x14ac:dyDescent="0.3">
      <c r="F22" s="7"/>
      <c r="G22" t="s">
        <v>206</v>
      </c>
      <c r="H22" s="22">
        <f>IT!D2*2</f>
        <v>796.80000000000007</v>
      </c>
      <c r="I22" s="33">
        <v>1</v>
      </c>
      <c r="J22" s="23">
        <f t="shared" si="0"/>
        <v>796.80000000000007</v>
      </c>
      <c r="L22" s="11" t="s">
        <v>251</v>
      </c>
      <c r="M22" s="11">
        <v>5</v>
      </c>
      <c r="N22" t="s">
        <v>438</v>
      </c>
      <c r="O22" t="s">
        <v>238</v>
      </c>
      <c r="P22" t="s">
        <v>291</v>
      </c>
      <c r="Q22" s="22">
        <f>'Laser cutter'!G5/20</f>
        <v>5.0728</v>
      </c>
    </row>
    <row r="23" spans="1:19" x14ac:dyDescent="0.3">
      <c r="F23" s="7"/>
      <c r="G23" t="s">
        <v>42</v>
      </c>
      <c r="H23" s="22">
        <f>12*IT!D20</f>
        <v>1224</v>
      </c>
      <c r="I23" s="33">
        <v>1</v>
      </c>
      <c r="J23" s="23">
        <f t="shared" si="0"/>
        <v>1224</v>
      </c>
      <c r="L23" s="11" t="s">
        <v>522</v>
      </c>
      <c r="M23" s="87">
        <v>4.6000000000000001E-4</v>
      </c>
      <c r="N23" s="57"/>
      <c r="O23" s="57"/>
      <c r="P23" s="57"/>
      <c r="Q23" s="57"/>
      <c r="R23" s="57"/>
      <c r="S23" s="57"/>
    </row>
    <row r="24" spans="1:19" x14ac:dyDescent="0.3">
      <c r="F24" s="7"/>
      <c r="G24" t="s">
        <v>409</v>
      </c>
      <c r="H24" s="22">
        <f>IT!D23+IT!D22</f>
        <v>381</v>
      </c>
      <c r="I24" s="33">
        <v>3</v>
      </c>
      <c r="J24" s="23">
        <f t="shared" si="0"/>
        <v>127</v>
      </c>
      <c r="L24" s="11" t="s">
        <v>441</v>
      </c>
      <c r="M24" s="87">
        <f>M23*0.5</f>
        <v>2.3000000000000001E-4</v>
      </c>
      <c r="N24" s="57"/>
      <c r="O24" s="84"/>
      <c r="P24" s="57"/>
      <c r="Q24" s="84"/>
      <c r="R24" s="57"/>
      <c r="S24" s="84"/>
    </row>
    <row r="25" spans="1:19" x14ac:dyDescent="0.3">
      <c r="F25" s="4" t="s">
        <v>403</v>
      </c>
      <c r="G25" t="s">
        <v>43</v>
      </c>
      <c r="H25" s="89">
        <v>200</v>
      </c>
      <c r="I25" s="33">
        <v>1</v>
      </c>
      <c r="J25" s="23">
        <f t="shared" si="0"/>
        <v>200</v>
      </c>
      <c r="L25" s="11" t="s">
        <v>442</v>
      </c>
      <c r="M25" s="87">
        <f>M23*0.4</f>
        <v>1.8400000000000003E-4</v>
      </c>
      <c r="N25" s="85"/>
      <c r="O25" s="85"/>
      <c r="P25" s="85"/>
      <c r="Q25" s="85"/>
      <c r="R25" s="85"/>
      <c r="S25" s="85"/>
    </row>
    <row r="26" spans="1:19" x14ac:dyDescent="0.3">
      <c r="F26" s="4"/>
      <c r="G26" t="s">
        <v>343</v>
      </c>
      <c r="H26" s="22">
        <f>Office!D2*2+Office!D3*2+Office!D4*2+Office!D5*2+Office!D6+Office!D7+Office!D8*10</f>
        <v>10550</v>
      </c>
      <c r="I26">
        <v>10</v>
      </c>
      <c r="J26" s="23">
        <f>H26/I26</f>
        <v>1055</v>
      </c>
      <c r="L26" s="88" t="s">
        <v>377</v>
      </c>
      <c r="M26" s="88">
        <v>8</v>
      </c>
    </row>
    <row r="27" spans="1:19" x14ac:dyDescent="0.3">
      <c r="F27" s="5" t="s">
        <v>45</v>
      </c>
      <c r="G27" t="s">
        <v>424</v>
      </c>
      <c r="H27" s="22">
        <f>SUM(Manufacturing!F2:F7)+Manufacturing!F8*4</f>
        <v>19442.431854396091</v>
      </c>
      <c r="I27">
        <v>10</v>
      </c>
      <c r="J27" s="23">
        <f t="shared" si="0"/>
        <v>1944.2431854396091</v>
      </c>
      <c r="L27" s="9" t="s">
        <v>24</v>
      </c>
      <c r="M27" s="9"/>
      <c r="N27" t="s">
        <v>263</v>
      </c>
      <c r="O27" t="s">
        <v>237</v>
      </c>
      <c r="Q27" s="22">
        <f>Welding!F2+Welding!F3</f>
        <v>5308.6</v>
      </c>
      <c r="R27">
        <v>10</v>
      </c>
      <c r="S27" s="22">
        <f>Q27/R27</f>
        <v>530.86</v>
      </c>
    </row>
    <row r="28" spans="1:19" x14ac:dyDescent="0.3">
      <c r="F28" s="5"/>
      <c r="G28" t="s">
        <v>412</v>
      </c>
      <c r="H28" s="22">
        <f>Manufacturing!F32</f>
        <v>3259</v>
      </c>
      <c r="I28">
        <v>10</v>
      </c>
      <c r="J28" s="23">
        <f t="shared" si="0"/>
        <v>325.89999999999998</v>
      </c>
      <c r="L28" s="9" t="s">
        <v>290</v>
      </c>
      <c r="M28" s="9"/>
      <c r="N28" t="s">
        <v>44</v>
      </c>
      <c r="O28" t="s">
        <v>237</v>
      </c>
      <c r="Q28" s="22">
        <f>Welding!F4</f>
        <v>3859.6</v>
      </c>
      <c r="R28">
        <v>10</v>
      </c>
      <c r="S28" s="22">
        <f t="shared" ref="S28:S32" si="4">Q28/R28</f>
        <v>385.96</v>
      </c>
    </row>
    <row r="29" spans="1:19" x14ac:dyDescent="0.3">
      <c r="F29" s="5"/>
      <c r="G29" t="s">
        <v>528</v>
      </c>
      <c r="H29" s="22">
        <f>Manufacturing!F36</f>
        <v>1031.54</v>
      </c>
      <c r="I29">
        <v>10</v>
      </c>
      <c r="J29" s="23">
        <f t="shared" si="0"/>
        <v>103.154</v>
      </c>
      <c r="L29" s="9" t="s">
        <v>250</v>
      </c>
      <c r="M29" s="36">
        <f>C10</f>
        <v>0.8</v>
      </c>
      <c r="N29" t="s">
        <v>268</v>
      </c>
      <c r="O29" t="s">
        <v>237</v>
      </c>
      <c r="Q29" s="22">
        <f>Welding!F6</f>
        <v>146</v>
      </c>
      <c r="R29">
        <v>5</v>
      </c>
      <c r="S29" s="22">
        <f t="shared" si="4"/>
        <v>29.2</v>
      </c>
    </row>
    <row r="30" spans="1:19" x14ac:dyDescent="0.3">
      <c r="F30" s="5"/>
      <c r="G30" t="s">
        <v>331</v>
      </c>
      <c r="H30" s="22">
        <f>Manufacturing!F10*3+Manufacturing!F11*3</f>
        <v>8137.4519999999993</v>
      </c>
      <c r="I30">
        <v>10</v>
      </c>
      <c r="J30" s="23">
        <f t="shared" si="0"/>
        <v>813.74519999999995</v>
      </c>
      <c r="L30" s="9" t="s">
        <v>494</v>
      </c>
      <c r="M30" s="103">
        <f>Welding!B32</f>
        <v>140.43083213990764</v>
      </c>
      <c r="N30" t="s">
        <v>32</v>
      </c>
      <c r="O30" t="s">
        <v>237</v>
      </c>
      <c r="Q30" s="22">
        <f>Welding!F6+Welding!F7</f>
        <v>196</v>
      </c>
      <c r="R30">
        <v>2</v>
      </c>
      <c r="S30" s="22">
        <f t="shared" si="4"/>
        <v>98</v>
      </c>
    </row>
    <row r="31" spans="1:19" x14ac:dyDescent="0.3">
      <c r="F31" s="5"/>
      <c r="G31" t="s">
        <v>386</v>
      </c>
      <c r="H31" s="22">
        <f>0.5*H30</f>
        <v>4068.7259999999997</v>
      </c>
      <c r="I31">
        <v>10</v>
      </c>
      <c r="J31" s="23">
        <f t="shared" si="0"/>
        <v>406.87259999999998</v>
      </c>
      <c r="L31" s="9"/>
      <c r="M31" s="9"/>
      <c r="N31" t="s">
        <v>255</v>
      </c>
      <c r="O31" t="s">
        <v>237</v>
      </c>
      <c r="Q31" s="22">
        <f>Welding!F5</f>
        <v>8579</v>
      </c>
      <c r="R31">
        <v>10</v>
      </c>
      <c r="S31" s="22">
        <f t="shared" si="4"/>
        <v>857.9</v>
      </c>
    </row>
    <row r="32" spans="1:19" x14ac:dyDescent="0.3">
      <c r="F32" s="5"/>
      <c r="G32" t="s">
        <v>387</v>
      </c>
      <c r="H32" s="22">
        <v>4000</v>
      </c>
      <c r="I32">
        <v>5</v>
      </c>
      <c r="J32" s="23">
        <f t="shared" si="0"/>
        <v>800</v>
      </c>
      <c r="L32" s="9"/>
      <c r="M32" s="9"/>
      <c r="N32" t="s">
        <v>22</v>
      </c>
      <c r="O32" t="s">
        <v>237</v>
      </c>
      <c r="P32" t="s">
        <v>267</v>
      </c>
      <c r="Q32" s="22">
        <f>0.03*(Q27+Q28)</f>
        <v>275.04599999999999</v>
      </c>
      <c r="R32">
        <v>1</v>
      </c>
      <c r="S32" s="22">
        <f t="shared" si="4"/>
        <v>275.04599999999999</v>
      </c>
    </row>
    <row r="33" spans="6:19" x14ac:dyDescent="0.3">
      <c r="F33" s="5"/>
      <c r="G33" t="s">
        <v>388</v>
      </c>
      <c r="H33" s="22">
        <v>3000</v>
      </c>
      <c r="I33">
        <v>1</v>
      </c>
      <c r="J33" s="23">
        <f t="shared" si="0"/>
        <v>3000</v>
      </c>
      <c r="L33" s="9"/>
      <c r="M33" s="9"/>
      <c r="N33" t="s">
        <v>19</v>
      </c>
      <c r="O33" t="s">
        <v>238</v>
      </c>
      <c r="P33" t="s">
        <v>242</v>
      </c>
    </row>
    <row r="34" spans="6:19" x14ac:dyDescent="0.3">
      <c r="F34" s="5"/>
      <c r="G34" t="s">
        <v>392</v>
      </c>
      <c r="H34" s="22">
        <f>Manufacturing!F23</f>
        <v>2302.5700000000002</v>
      </c>
      <c r="I34">
        <v>10</v>
      </c>
      <c r="J34" s="23">
        <f t="shared" si="0"/>
        <v>230.25700000000001</v>
      </c>
      <c r="L34" s="18"/>
      <c r="M34" s="18"/>
      <c r="N34" t="s">
        <v>492</v>
      </c>
      <c r="O34" s="136" t="s">
        <v>238</v>
      </c>
      <c r="P34" s="137" t="s">
        <v>491</v>
      </c>
      <c r="Q34" s="22">
        <f>Welding!B29</f>
        <v>8.5247116655159064E-2</v>
      </c>
    </row>
    <row r="35" spans="6:19" x14ac:dyDescent="0.3">
      <c r="F35" s="5"/>
      <c r="G35" t="s">
        <v>47</v>
      </c>
      <c r="H35" s="22">
        <f>Manufacturing!F20*6+Manufacturing!F21*3</f>
        <v>7066.95</v>
      </c>
      <c r="I35">
        <v>10</v>
      </c>
      <c r="J35" s="23">
        <f t="shared" si="0"/>
        <v>706.69499999999994</v>
      </c>
      <c r="L35" s="19"/>
      <c r="M35" s="19"/>
      <c r="N35" t="s">
        <v>493</v>
      </c>
      <c r="O35" s="136"/>
      <c r="P35" s="137"/>
      <c r="Q35" s="22">
        <f>Welding!B23</f>
        <v>5.0185057685504804E-2</v>
      </c>
    </row>
    <row r="36" spans="6:19" x14ac:dyDescent="0.3">
      <c r="F36" s="5"/>
      <c r="G36" t="s">
        <v>404</v>
      </c>
      <c r="H36" s="22">
        <f>Manufacturing!F25*5+Manufacturing!F26+Manufacturing!F27+Manufacturing!F28+Manufacturing!F29*3+Manufacturing!F30*30</f>
        <v>7110.13</v>
      </c>
      <c r="I36">
        <v>10</v>
      </c>
      <c r="J36" s="23">
        <f t="shared" si="0"/>
        <v>711.01300000000003</v>
      </c>
      <c r="L36" s="106"/>
      <c r="M36" s="106"/>
      <c r="N36" t="s">
        <v>256</v>
      </c>
      <c r="O36" t="s">
        <v>238</v>
      </c>
      <c r="P36" t="s">
        <v>491</v>
      </c>
      <c r="Q36" s="22">
        <f>Welding!B17</f>
        <v>14.354066985645932</v>
      </c>
    </row>
    <row r="37" spans="6:19" x14ac:dyDescent="0.3">
      <c r="F37" s="5"/>
      <c r="G37" s="38" t="s">
        <v>384</v>
      </c>
      <c r="H37" s="22">
        <f>Manufacturing!F17</f>
        <v>12999</v>
      </c>
      <c r="I37">
        <v>10</v>
      </c>
      <c r="J37" s="23">
        <f>H37/I37</f>
        <v>1299.9000000000001</v>
      </c>
      <c r="L37" s="133" t="s">
        <v>425</v>
      </c>
      <c r="M37" s="133"/>
      <c r="N37" t="s">
        <v>497</v>
      </c>
      <c r="O37" t="s">
        <v>237</v>
      </c>
      <c r="Q37" s="2">
        <f>'Conventionnal machinning'!B2</f>
        <v>15000</v>
      </c>
      <c r="R37">
        <v>10</v>
      </c>
      <c r="S37" s="22">
        <f>Q37/R37</f>
        <v>1500</v>
      </c>
    </row>
    <row r="38" spans="6:19" x14ac:dyDescent="0.3">
      <c r="F38" s="5"/>
      <c r="G38" s="38" t="s">
        <v>385</v>
      </c>
      <c r="H38" s="22">
        <f>15*C14*C8*C9</f>
        <v>1874.5019999999997</v>
      </c>
      <c r="I38">
        <v>1</v>
      </c>
      <c r="J38" s="23">
        <f>H38/I38</f>
        <v>1874.5019999999997</v>
      </c>
      <c r="L38" s="105" t="s">
        <v>290</v>
      </c>
      <c r="M38" s="105">
        <v>6</v>
      </c>
      <c r="N38" t="s">
        <v>503</v>
      </c>
      <c r="O38" t="s">
        <v>237</v>
      </c>
      <c r="Q38" s="22">
        <f>'Conventionnal machinning'!B4</f>
        <v>10000</v>
      </c>
      <c r="R38">
        <v>10</v>
      </c>
      <c r="S38" s="22">
        <f>Q38/R38</f>
        <v>1000</v>
      </c>
    </row>
    <row r="39" spans="6:19" x14ac:dyDescent="0.3">
      <c r="F39" s="5"/>
      <c r="G39" s="38" t="s">
        <v>530</v>
      </c>
      <c r="H39" s="22">
        <f>2*Manufacturing!F34</f>
        <v>2150</v>
      </c>
      <c r="I39">
        <v>10</v>
      </c>
      <c r="J39" s="23">
        <f>H39/I39</f>
        <v>215</v>
      </c>
      <c r="L39" s="105" t="s">
        <v>250</v>
      </c>
      <c r="M39" s="40">
        <v>0.44</v>
      </c>
      <c r="N39" t="s">
        <v>512</v>
      </c>
      <c r="O39" t="s">
        <v>237</v>
      </c>
      <c r="Q39" s="22">
        <f>(Q5+Q4+Q12+Q13)*0.25</f>
        <v>7625</v>
      </c>
      <c r="R39">
        <v>5</v>
      </c>
      <c r="S39" s="22">
        <f t="shared" ref="S39:S40" si="5">Q39/R39</f>
        <v>1525</v>
      </c>
    </row>
    <row r="40" spans="6:19" ht="15" thickBot="1" x14ac:dyDescent="0.35">
      <c r="F40" s="57"/>
      <c r="G40" s="38"/>
      <c r="J40" s="23"/>
      <c r="L40" s="105" t="s">
        <v>251</v>
      </c>
      <c r="M40" s="105">
        <v>5</v>
      </c>
      <c r="N40" t="s">
        <v>22</v>
      </c>
      <c r="O40" t="s">
        <v>237</v>
      </c>
      <c r="P40" t="s">
        <v>504</v>
      </c>
      <c r="Q40" s="2">
        <f>0.03*(Q38+Q37)</f>
        <v>750</v>
      </c>
      <c r="R40">
        <v>1</v>
      </c>
      <c r="S40" s="22">
        <f t="shared" si="5"/>
        <v>750</v>
      </c>
    </row>
    <row r="41" spans="6:19" ht="15" thickBot="1" x14ac:dyDescent="0.35">
      <c r="F41" s="141" t="s">
        <v>342</v>
      </c>
      <c r="G41" s="142"/>
      <c r="H41" s="142"/>
      <c r="I41" s="142"/>
      <c r="J41" s="143"/>
      <c r="L41" s="105" t="s">
        <v>523</v>
      </c>
      <c r="M41" s="41">
        <f>3*1/10000</f>
        <v>2.9999999999999997E-4</v>
      </c>
      <c r="N41" t="s">
        <v>19</v>
      </c>
      <c r="O41" t="s">
        <v>238</v>
      </c>
      <c r="P41" t="s">
        <v>291</v>
      </c>
      <c r="Q41" s="30">
        <f>M38*0.8*C14</f>
        <v>0.37584000000000001</v>
      </c>
    </row>
    <row r="42" spans="6:19" x14ac:dyDescent="0.3">
      <c r="F42" s="58" t="s">
        <v>344</v>
      </c>
      <c r="G42" s="145" t="s">
        <v>516</v>
      </c>
      <c r="H42" s="145"/>
      <c r="I42" s="145"/>
      <c r="J42" s="53">
        <f>SUM(J3:J39)*1.05</f>
        <v>127164.0277159814</v>
      </c>
      <c r="L42" s="105" t="s">
        <v>271</v>
      </c>
      <c r="M42" s="105">
        <v>10</v>
      </c>
      <c r="N42" t="s">
        <v>506</v>
      </c>
      <c r="O42" t="s">
        <v>238</v>
      </c>
      <c r="P42" t="s">
        <v>291</v>
      </c>
      <c r="Q42" s="2">
        <v>10</v>
      </c>
    </row>
    <row r="43" spans="6:19" ht="15" thickBot="1" x14ac:dyDescent="0.35">
      <c r="F43" s="61"/>
      <c r="G43" s="144" t="s">
        <v>303</v>
      </c>
      <c r="H43" s="144"/>
      <c r="I43" s="144"/>
      <c r="J43" s="62">
        <f>J42/SUM('Manpower &amp; time'!B28:I28)</f>
        <v>13.458903563382842</v>
      </c>
    </row>
    <row r="44" spans="6:19" ht="15" thickBot="1" x14ac:dyDescent="0.35">
      <c r="F44" s="59" t="s">
        <v>345</v>
      </c>
      <c r="G44" s="145" t="s">
        <v>346</v>
      </c>
      <c r="H44" s="145"/>
      <c r="I44" s="145"/>
      <c r="J44" s="63">
        <f>'Manpower &amp; time'!H5</f>
        <v>12.68856351404828</v>
      </c>
      <c r="L44" s="81" t="s">
        <v>342</v>
      </c>
      <c r="M44" s="82"/>
      <c r="N44" s="82"/>
      <c r="O44" s="82"/>
      <c r="P44" s="82"/>
      <c r="Q44" s="82"/>
      <c r="R44" s="83"/>
    </row>
    <row r="45" spans="6:19" x14ac:dyDescent="0.3">
      <c r="F45" s="60"/>
      <c r="G45" s="144" t="s">
        <v>357</v>
      </c>
      <c r="H45" s="144"/>
      <c r="I45" s="144"/>
      <c r="J45" s="64">
        <f>'Manpower &amp; time'!H6</f>
        <v>23.630193905817173</v>
      </c>
      <c r="L45" s="139" t="s">
        <v>520</v>
      </c>
      <c r="M45" s="140"/>
      <c r="N45" s="126" t="s">
        <v>312</v>
      </c>
      <c r="O45" s="126"/>
      <c r="P45" s="126"/>
      <c r="Q45" s="126"/>
      <c r="R45" s="67">
        <f>SUM(S3:S6)+S9</f>
        <v>17591.025600000001</v>
      </c>
    </row>
    <row r="46" spans="6:19" x14ac:dyDescent="0.3">
      <c r="F46" s="60"/>
      <c r="G46" s="144" t="s">
        <v>509</v>
      </c>
      <c r="H46" s="144"/>
      <c r="I46" s="144"/>
      <c r="J46" s="64">
        <f>'Manpower &amp; time'!H7</f>
        <v>29.773842500989314</v>
      </c>
      <c r="L46" s="129" t="s">
        <v>524</v>
      </c>
      <c r="M46" s="130"/>
      <c r="N46" s="120" t="s">
        <v>313</v>
      </c>
      <c r="O46" s="120"/>
      <c r="P46" s="120"/>
      <c r="Q46" s="120"/>
      <c r="R46" s="70">
        <f>R45/(M5*C8*C9)+J43</f>
        <v>27.236335894209908</v>
      </c>
    </row>
    <row r="47" spans="6:19" ht="15" thickBot="1" x14ac:dyDescent="0.35">
      <c r="F47" s="54"/>
      <c r="G47" s="132" t="s">
        <v>347</v>
      </c>
      <c r="H47" s="132"/>
      <c r="I47" s="132"/>
      <c r="J47" s="65">
        <f>'Manpower &amp; time'!H8</f>
        <v>41.458053027305105</v>
      </c>
      <c r="L47" s="113" t="s">
        <v>527</v>
      </c>
      <c r="M47" s="114">
        <v>2.5</v>
      </c>
      <c r="N47" s="120" t="s">
        <v>314</v>
      </c>
      <c r="O47" s="120"/>
      <c r="P47" s="120"/>
      <c r="Q47" s="120"/>
      <c r="R47" s="70">
        <f>R46+Q8+Q7</f>
        <v>48.639471894209905</v>
      </c>
    </row>
    <row r="48" spans="6:19" x14ac:dyDescent="0.3">
      <c r="J48" s="49"/>
      <c r="L48" s="77"/>
      <c r="M48" s="78"/>
      <c r="N48" s="120"/>
      <c r="O48" s="120"/>
      <c r="P48" s="120"/>
      <c r="Q48" s="120"/>
      <c r="R48" s="90"/>
    </row>
    <row r="49" spans="6:18" x14ac:dyDescent="0.3">
      <c r="J49" s="49"/>
      <c r="L49" s="77"/>
      <c r="M49" s="78"/>
      <c r="N49" s="120" t="s">
        <v>299</v>
      </c>
      <c r="O49" s="120"/>
      <c r="P49" s="120"/>
      <c r="Q49" s="120"/>
      <c r="R49" s="91">
        <f>('Manpower &amp; time'!H5+R47)*M7/60</f>
        <v>1.0221339234709698E-4</v>
      </c>
    </row>
    <row r="50" spans="6:18" x14ac:dyDescent="0.3">
      <c r="J50" s="49"/>
      <c r="L50" s="77"/>
      <c r="M50" s="78"/>
      <c r="N50" s="120" t="s">
        <v>515</v>
      </c>
      <c r="O50" s="120"/>
      <c r="P50" s="120"/>
      <c r="Q50" s="120"/>
      <c r="R50" s="109">
        <f>('Manpower &amp; time'!H5)*M7/60/R49</f>
        <v>0.20689662451407484</v>
      </c>
    </row>
    <row r="51" spans="6:18" x14ac:dyDescent="0.3">
      <c r="J51" s="49"/>
      <c r="L51" s="77"/>
      <c r="M51" s="78"/>
      <c r="N51" s="120"/>
      <c r="O51" s="120"/>
      <c r="P51" s="120"/>
      <c r="Q51" s="120"/>
      <c r="R51" s="91"/>
    </row>
    <row r="52" spans="6:18" x14ac:dyDescent="0.3">
      <c r="J52" s="49"/>
      <c r="L52" s="77"/>
      <c r="M52" s="78"/>
      <c r="N52" s="120" t="s">
        <v>302</v>
      </c>
      <c r="O52" s="120"/>
      <c r="P52" s="120"/>
      <c r="Q52" s="120"/>
      <c r="R52" s="91">
        <f>('Manpower &amp; time'!H5+J43)*M8/60</f>
        <v>2.1789555897859274E-5</v>
      </c>
    </row>
    <row r="53" spans="6:18" x14ac:dyDescent="0.3">
      <c r="L53" s="77"/>
      <c r="M53" s="78"/>
      <c r="N53" s="120" t="s">
        <v>300</v>
      </c>
      <c r="O53" s="120"/>
      <c r="P53" s="120"/>
      <c r="Q53" s="120"/>
      <c r="R53" s="91">
        <f>('Manpower &amp; time'!H6+J43)*M8/60</f>
        <v>3.0907581224333346E-5</v>
      </c>
    </row>
    <row r="54" spans="6:18" x14ac:dyDescent="0.3">
      <c r="J54" s="27"/>
      <c r="L54" s="77"/>
      <c r="M54" s="78"/>
      <c r="N54" s="120" t="s">
        <v>301</v>
      </c>
      <c r="O54" s="120"/>
      <c r="P54" s="120"/>
      <c r="Q54" s="120"/>
      <c r="R54" s="91">
        <f>('Manpower &amp; time'!H8+J43)*M8/60</f>
        <v>4.5764130492239956E-5</v>
      </c>
    </row>
    <row r="55" spans="6:18" x14ac:dyDescent="0.3">
      <c r="J55" s="26"/>
      <c r="L55" s="77"/>
      <c r="M55" s="78"/>
      <c r="N55" s="120" t="s">
        <v>348</v>
      </c>
      <c r="O55" s="120"/>
      <c r="P55" s="120"/>
      <c r="Q55" s="120"/>
      <c r="R55" s="91">
        <f>('Manpower &amp; time'!H5+J43)*M$9/60</f>
        <v>1.7431644718287417E-5</v>
      </c>
    </row>
    <row r="56" spans="6:18" x14ac:dyDescent="0.3">
      <c r="J56" s="26"/>
      <c r="L56" s="77"/>
      <c r="M56" s="78"/>
      <c r="N56" s="120" t="s">
        <v>349</v>
      </c>
      <c r="O56" s="120"/>
      <c r="P56" s="120"/>
      <c r="Q56" s="120"/>
      <c r="R56" s="91">
        <f>('Manpower &amp; time'!H6+J43)*M$9/60</f>
        <v>2.4726064979466676E-5</v>
      </c>
    </row>
    <row r="57" spans="6:18" x14ac:dyDescent="0.3">
      <c r="J57" s="26"/>
      <c r="L57" s="77"/>
      <c r="M57" s="78"/>
      <c r="N57" s="120" t="s">
        <v>350</v>
      </c>
      <c r="O57" s="120"/>
      <c r="P57" s="120"/>
      <c r="Q57" s="120"/>
      <c r="R57" s="91">
        <f>('Manpower &amp; time'!H8+J43)*M$9/60</f>
        <v>3.6611304393791964E-5</v>
      </c>
    </row>
    <row r="58" spans="6:18" ht="15" thickBot="1" x14ac:dyDescent="0.35">
      <c r="J58" s="22"/>
      <c r="L58" s="79"/>
      <c r="M58" s="80"/>
      <c r="N58" s="119" t="s">
        <v>311</v>
      </c>
      <c r="O58" s="119"/>
      <c r="P58" s="119"/>
      <c r="Q58" s="119"/>
      <c r="R58" s="92">
        <f>('Manpower &amp; time'!H5+R46)*(M10+M6)/60</f>
        <v>16.63537475344091</v>
      </c>
    </row>
    <row r="59" spans="6:18" x14ac:dyDescent="0.3">
      <c r="L59" s="146" t="s">
        <v>18</v>
      </c>
      <c r="M59" s="147"/>
      <c r="N59" s="126" t="s">
        <v>312</v>
      </c>
      <c r="O59" s="126"/>
      <c r="P59" s="126"/>
      <c r="Q59" s="126"/>
      <c r="R59" s="67">
        <f>SUM(S11:S14)+S17</f>
        <v>23026.025600000001</v>
      </c>
    </row>
    <row r="60" spans="6:18" x14ac:dyDescent="0.3">
      <c r="L60" s="127" t="s">
        <v>524</v>
      </c>
      <c r="M60" s="128"/>
      <c r="N60" s="120" t="s">
        <v>313</v>
      </c>
      <c r="O60" s="120"/>
      <c r="P60" s="120"/>
      <c r="Q60" s="120"/>
      <c r="R60" s="70">
        <f>R59/(M13*C8*C9)+J43</f>
        <v>31.493071483182341</v>
      </c>
    </row>
    <row r="61" spans="6:18" x14ac:dyDescent="0.3">
      <c r="L61" s="115" t="s">
        <v>527</v>
      </c>
      <c r="M61" s="116">
        <v>2.5</v>
      </c>
      <c r="N61" s="120" t="s">
        <v>314</v>
      </c>
      <c r="O61" s="120"/>
      <c r="P61" s="120"/>
      <c r="Q61" s="120"/>
      <c r="R61" s="70">
        <f>R60+Q16+Q15</f>
        <v>43.359743483182342</v>
      </c>
    </row>
    <row r="62" spans="6:18" x14ac:dyDescent="0.3">
      <c r="J62" s="26"/>
      <c r="L62" s="71"/>
      <c r="M62" s="72"/>
      <c r="N62" s="120"/>
      <c r="O62" s="120"/>
      <c r="P62" s="120"/>
      <c r="Q62" s="120"/>
      <c r="R62" s="90"/>
    </row>
    <row r="63" spans="6:18" x14ac:dyDescent="0.3">
      <c r="L63" s="71"/>
      <c r="M63" s="72"/>
      <c r="N63" s="120" t="s">
        <v>299</v>
      </c>
      <c r="O63" s="120"/>
      <c r="P63" s="120"/>
      <c r="Q63" s="120"/>
      <c r="R63" s="91">
        <f>(J44+R61)*M15/60</f>
        <v>9.3413844995384382E-5</v>
      </c>
    </row>
    <row r="64" spans="6:18" x14ac:dyDescent="0.3">
      <c r="F64" s="38"/>
      <c r="L64" s="71"/>
      <c r="M64" s="72"/>
      <c r="N64" s="120" t="s">
        <v>515</v>
      </c>
      <c r="O64" s="120"/>
      <c r="P64" s="120"/>
      <c r="Q64" s="120"/>
      <c r="R64" s="109">
        <f>(J44)*M15/60/R63</f>
        <v>0.22638620493345551</v>
      </c>
    </row>
    <row r="65" spans="12:18" x14ac:dyDescent="0.3">
      <c r="L65" s="71"/>
      <c r="M65" s="72"/>
      <c r="N65" s="120"/>
      <c r="O65" s="120"/>
      <c r="P65" s="120"/>
      <c r="Q65" s="120"/>
      <c r="R65" s="91"/>
    </row>
    <row r="66" spans="12:18" x14ac:dyDescent="0.3">
      <c r="L66" s="71"/>
      <c r="M66" s="72"/>
      <c r="N66" s="120" t="s">
        <v>302</v>
      </c>
      <c r="O66" s="120"/>
      <c r="P66" s="120"/>
      <c r="Q66" s="120"/>
      <c r="R66" s="91">
        <f>(J44+J43)*M$16/60</f>
        <v>2.1789555897859274E-5</v>
      </c>
    </row>
    <row r="67" spans="12:18" x14ac:dyDescent="0.3">
      <c r="L67" s="71"/>
      <c r="M67" s="72"/>
      <c r="N67" s="120" t="s">
        <v>300</v>
      </c>
      <c r="O67" s="120"/>
      <c r="P67" s="120"/>
      <c r="Q67" s="120"/>
      <c r="R67" s="91">
        <f>(J45+J43)*M$16/60</f>
        <v>3.0907581224333346E-5</v>
      </c>
    </row>
    <row r="68" spans="12:18" x14ac:dyDescent="0.3">
      <c r="L68" s="71"/>
      <c r="M68" s="72"/>
      <c r="N68" s="120" t="s">
        <v>301</v>
      </c>
      <c r="O68" s="120"/>
      <c r="P68" s="120"/>
      <c r="Q68" s="120"/>
      <c r="R68" s="91">
        <f>(J47+J43)*M$16/60</f>
        <v>4.5764130492239956E-5</v>
      </c>
    </row>
    <row r="69" spans="12:18" x14ac:dyDescent="0.3">
      <c r="L69" s="71"/>
      <c r="M69" s="72"/>
      <c r="N69" s="120" t="s">
        <v>348</v>
      </c>
      <c r="O69" s="120"/>
      <c r="P69" s="120"/>
      <c r="Q69" s="120"/>
      <c r="R69" s="91">
        <f>(J44+J43)*M$17/60</f>
        <v>1.7431644718287417E-5</v>
      </c>
    </row>
    <row r="70" spans="12:18" x14ac:dyDescent="0.3">
      <c r="L70" s="71"/>
      <c r="M70" s="72"/>
      <c r="N70" s="120" t="s">
        <v>349</v>
      </c>
      <c r="O70" s="120"/>
      <c r="P70" s="120"/>
      <c r="Q70" s="120"/>
      <c r="R70" s="91">
        <f>(J45+J43)*M$17/60</f>
        <v>2.4726064979466676E-5</v>
      </c>
    </row>
    <row r="71" spans="12:18" x14ac:dyDescent="0.3">
      <c r="L71" s="71"/>
      <c r="M71" s="72"/>
      <c r="N71" s="120" t="s">
        <v>350</v>
      </c>
      <c r="O71" s="120"/>
      <c r="P71" s="120"/>
      <c r="Q71" s="120"/>
      <c r="R71" s="91">
        <f>(J47+J43)*M$17/60</f>
        <v>3.6611304393791964E-5</v>
      </c>
    </row>
    <row r="72" spans="12:18" ht="15" thickBot="1" x14ac:dyDescent="0.35">
      <c r="L72" s="73"/>
      <c r="M72" s="74"/>
      <c r="N72" s="119" t="s">
        <v>311</v>
      </c>
      <c r="O72" s="119"/>
      <c r="P72" s="119"/>
      <c r="Q72" s="119"/>
      <c r="R72" s="92">
        <f>(J44+R60)*(M14+M18)/60</f>
        <v>14.727211665743539</v>
      </c>
    </row>
    <row r="73" spans="12:18" x14ac:dyDescent="0.3">
      <c r="L73" s="124" t="s">
        <v>440</v>
      </c>
      <c r="M73" s="125"/>
      <c r="N73" s="126" t="s">
        <v>312</v>
      </c>
      <c r="O73" s="126"/>
      <c r="P73" s="126"/>
      <c r="Q73" s="126"/>
      <c r="R73" s="67">
        <f>S19+S20</f>
        <v>27751.54031372827</v>
      </c>
    </row>
    <row r="74" spans="12:18" x14ac:dyDescent="0.3">
      <c r="L74" s="117" t="s">
        <v>525</v>
      </c>
      <c r="M74" s="118"/>
      <c r="N74" s="120" t="s">
        <v>313</v>
      </c>
      <c r="O74" s="120"/>
      <c r="P74" s="120"/>
      <c r="Q74" s="120"/>
      <c r="R74" s="70">
        <f>R73/(M21*C8*C9)+J43</f>
        <v>35.194132505839193</v>
      </c>
    </row>
    <row r="75" spans="12:18" x14ac:dyDescent="0.3">
      <c r="L75" s="111" t="s">
        <v>526</v>
      </c>
      <c r="M75" s="112">
        <f>'Laser cutter'!J14</f>
        <v>0.71739130434782605</v>
      </c>
      <c r="N75" s="120" t="s">
        <v>314</v>
      </c>
      <c r="O75" s="120"/>
      <c r="P75" s="120"/>
      <c r="Q75" s="120"/>
      <c r="R75" s="70">
        <f>R74+Q21+Q22</f>
        <v>40.736732505839193</v>
      </c>
    </row>
    <row r="76" spans="12:18" x14ac:dyDescent="0.3">
      <c r="L76" s="117"/>
      <c r="M76" s="118"/>
      <c r="N76" s="120"/>
      <c r="O76" s="120"/>
      <c r="P76" s="120"/>
      <c r="Q76" s="120"/>
      <c r="R76" s="90"/>
    </row>
    <row r="77" spans="12:18" x14ac:dyDescent="0.3">
      <c r="L77" s="117"/>
      <c r="M77" s="118"/>
      <c r="N77" s="120" t="s">
        <v>443</v>
      </c>
      <c r="O77" s="120"/>
      <c r="P77" s="120"/>
      <c r="Q77" s="120"/>
      <c r="R77" s="91">
        <f>(J44*0.5+R75)*M23/60</f>
        <v>3.6095444268195221E-4</v>
      </c>
    </row>
    <row r="78" spans="12:18" x14ac:dyDescent="0.3">
      <c r="L78" s="117"/>
      <c r="M78" s="118"/>
      <c r="N78" s="120" t="s">
        <v>444</v>
      </c>
      <c r="O78" s="120"/>
      <c r="P78" s="120"/>
      <c r="Q78" s="120"/>
      <c r="R78" s="91">
        <f>(J44+J43)*M$24/60</f>
        <v>1.0023195713015264E-4</v>
      </c>
    </row>
    <row r="79" spans="12:18" x14ac:dyDescent="0.3">
      <c r="L79" s="117"/>
      <c r="M79" s="118"/>
      <c r="N79" s="120" t="s">
        <v>445</v>
      </c>
      <c r="O79" s="120"/>
      <c r="P79" s="120"/>
      <c r="Q79" s="120"/>
      <c r="R79" s="91">
        <f>(J45+J43)*M$24/60</f>
        <v>1.4217487363193338E-4</v>
      </c>
    </row>
    <row r="80" spans="12:18" x14ac:dyDescent="0.3">
      <c r="L80" s="117"/>
      <c r="M80" s="118"/>
      <c r="N80" s="120"/>
      <c r="O80" s="120"/>
      <c r="P80" s="120"/>
      <c r="Q80" s="120"/>
      <c r="R80" s="91"/>
    </row>
    <row r="81" spans="12:19" x14ac:dyDescent="0.3">
      <c r="L81" s="117"/>
      <c r="M81" s="118"/>
      <c r="N81" s="120" t="s">
        <v>446</v>
      </c>
      <c r="O81" s="120"/>
      <c r="P81" s="120"/>
      <c r="Q81" s="120"/>
      <c r="R81" s="91">
        <f>(J44+J43)*M$25/60</f>
        <v>8.0185565704122129E-5</v>
      </c>
    </row>
    <row r="82" spans="12:19" x14ac:dyDescent="0.3">
      <c r="L82" s="117"/>
      <c r="M82" s="118"/>
      <c r="N82" s="120" t="s">
        <v>447</v>
      </c>
      <c r="O82" s="120"/>
      <c r="P82" s="120"/>
      <c r="Q82" s="120"/>
      <c r="R82" s="91">
        <f>(J45+J43)*M$25/60</f>
        <v>1.1373989890554672E-4</v>
      </c>
    </row>
    <row r="83" spans="12:19" x14ac:dyDescent="0.3">
      <c r="L83" s="117"/>
      <c r="M83" s="118"/>
      <c r="N83" s="120"/>
      <c r="O83" s="120"/>
      <c r="P83" s="120"/>
      <c r="Q83" s="120"/>
      <c r="R83" s="91"/>
    </row>
    <row r="84" spans="12:19" ht="15" thickBot="1" x14ac:dyDescent="0.35">
      <c r="L84" s="107"/>
      <c r="M84" s="108"/>
      <c r="N84" s="119" t="s">
        <v>311</v>
      </c>
      <c r="O84" s="119"/>
      <c r="P84" s="119"/>
      <c r="Q84" s="119"/>
      <c r="R84" s="92">
        <f>(J44+R74)*(M26+M22)/60</f>
        <v>10.374584137642286</v>
      </c>
    </row>
    <row r="85" spans="12:19" x14ac:dyDescent="0.3">
      <c r="L85" s="139" t="s">
        <v>24</v>
      </c>
      <c r="M85" s="140"/>
      <c r="N85" s="126" t="s">
        <v>312</v>
      </c>
      <c r="O85" s="126"/>
      <c r="P85" s="126"/>
      <c r="Q85" s="126"/>
      <c r="R85" s="101">
        <f>SUM(S27:S32)</f>
        <v>2176.9659999999999</v>
      </c>
    </row>
    <row r="86" spans="12:19" x14ac:dyDescent="0.3">
      <c r="L86" s="75"/>
      <c r="M86" s="76"/>
      <c r="N86" s="120" t="s">
        <v>313</v>
      </c>
      <c r="O86" s="120"/>
      <c r="P86" s="120"/>
      <c r="Q86" s="120"/>
      <c r="R86" s="62">
        <f>R85/(M29*C8*C9)+J43</f>
        <v>15.163920793959283</v>
      </c>
      <c r="S86" s="23"/>
    </row>
    <row r="87" spans="12:19" x14ac:dyDescent="0.3">
      <c r="L87" s="77"/>
      <c r="M87" s="78"/>
      <c r="N87" s="120" t="s">
        <v>314</v>
      </c>
      <c r="O87" s="120"/>
      <c r="P87" s="120"/>
      <c r="Q87" s="120"/>
      <c r="R87" s="62">
        <f>R86+Q33</f>
        <v>15.163920793959283</v>
      </c>
    </row>
    <row r="88" spans="12:19" x14ac:dyDescent="0.3">
      <c r="L88" s="77"/>
      <c r="M88" s="78"/>
      <c r="N88" s="120"/>
      <c r="O88" s="120"/>
      <c r="P88" s="120"/>
      <c r="Q88" s="120"/>
      <c r="R88" s="99"/>
    </row>
    <row r="89" spans="12:19" x14ac:dyDescent="0.3">
      <c r="L89" s="77"/>
      <c r="M89" s="78"/>
      <c r="N89" s="120" t="s">
        <v>495</v>
      </c>
      <c r="O89" s="120"/>
      <c r="P89" s="120"/>
      <c r="Q89" s="120"/>
      <c r="R89" s="102">
        <f>Q34+Q36+(R87+J46)*M30/60</f>
        <v>119.61677233589825</v>
      </c>
    </row>
    <row r="90" spans="12:19" x14ac:dyDescent="0.3">
      <c r="L90" s="77"/>
      <c r="M90" s="78"/>
      <c r="N90" s="120" t="s">
        <v>496</v>
      </c>
      <c r="O90" s="120"/>
      <c r="P90" s="120"/>
      <c r="Q90" s="120"/>
      <c r="R90" s="62">
        <f>Q35+Q36+(R87+J46)*M30/60</f>
        <v>119.58171027692859</v>
      </c>
    </row>
    <row r="91" spans="12:19" ht="15" thickBot="1" x14ac:dyDescent="0.35">
      <c r="L91" s="79"/>
      <c r="M91" s="80"/>
      <c r="N91" s="119"/>
      <c r="O91" s="119"/>
      <c r="P91" s="119"/>
      <c r="Q91" s="119"/>
      <c r="R91" s="100"/>
    </row>
    <row r="92" spans="12:19" x14ac:dyDescent="0.3">
      <c r="L92" s="146" t="s">
        <v>425</v>
      </c>
      <c r="M92" s="147"/>
      <c r="N92" s="126" t="s">
        <v>312</v>
      </c>
      <c r="O92" s="126"/>
      <c r="P92" s="126"/>
      <c r="Q92" s="126"/>
      <c r="R92" s="67">
        <f>SUM(S37:S40)</f>
        <v>4775</v>
      </c>
    </row>
    <row r="93" spans="12:19" x14ac:dyDescent="0.3">
      <c r="L93" s="68"/>
      <c r="M93" s="69"/>
      <c r="N93" s="120" t="s">
        <v>313</v>
      </c>
      <c r="O93" s="120"/>
      <c r="P93" s="120"/>
      <c r="Q93" s="120"/>
      <c r="R93" s="70">
        <f>R92/(M39*C8*C9)+J43</f>
        <v>20.25857319199984</v>
      </c>
    </row>
    <row r="94" spans="12:19" x14ac:dyDescent="0.3">
      <c r="L94" s="71"/>
      <c r="M94" s="72"/>
      <c r="N94" s="120" t="s">
        <v>314</v>
      </c>
      <c r="O94" s="120"/>
      <c r="P94" s="120"/>
      <c r="Q94" s="120"/>
      <c r="R94" s="70">
        <f>R93+Q42+Q41</f>
        <v>30.63441319199984</v>
      </c>
    </row>
    <row r="95" spans="12:19" x14ac:dyDescent="0.3">
      <c r="L95" s="71"/>
      <c r="M95" s="72"/>
      <c r="N95" s="120"/>
      <c r="O95" s="120"/>
      <c r="P95" s="120"/>
      <c r="Q95" s="120"/>
      <c r="R95" s="90"/>
    </row>
    <row r="96" spans="12:19" x14ac:dyDescent="0.3">
      <c r="L96" s="71"/>
      <c r="M96" s="72"/>
      <c r="N96" s="120" t="s">
        <v>299</v>
      </c>
      <c r="O96" s="120"/>
      <c r="P96" s="120"/>
      <c r="Q96" s="120"/>
      <c r="R96" s="91">
        <f>(J44+R94)*M41/60</f>
        <v>2.166148835302406E-4</v>
      </c>
    </row>
    <row r="97" spans="12:18" ht="15" thickBot="1" x14ac:dyDescent="0.35">
      <c r="L97" s="73"/>
      <c r="M97" s="74"/>
      <c r="N97" s="119" t="s">
        <v>311</v>
      </c>
      <c r="O97" s="119"/>
      <c r="P97" s="119"/>
      <c r="Q97" s="119"/>
      <c r="R97" s="92">
        <f>(J44+R93)*(M40+M42)/60</f>
        <v>8.23678417651203</v>
      </c>
    </row>
  </sheetData>
  <mergeCells count="87">
    <mergeCell ref="L85:M85"/>
    <mergeCell ref="N87:Q87"/>
    <mergeCell ref="N88:Q88"/>
    <mergeCell ref="L59:M59"/>
    <mergeCell ref="N66:Q66"/>
    <mergeCell ref="N67:Q67"/>
    <mergeCell ref="L92:M92"/>
    <mergeCell ref="N92:Q92"/>
    <mergeCell ref="N93:Q93"/>
    <mergeCell ref="N94:Q94"/>
    <mergeCell ref="N95:Q95"/>
    <mergeCell ref="N48:Q48"/>
    <mergeCell ref="N49:Q49"/>
    <mergeCell ref="N58:Q58"/>
    <mergeCell ref="N52:Q52"/>
    <mergeCell ref="N97:Q97"/>
    <mergeCell ref="N96:Q96"/>
    <mergeCell ref="N90:Q90"/>
    <mergeCell ref="N91:Q91"/>
    <mergeCell ref="N89:Q89"/>
    <mergeCell ref="N71:Q71"/>
    <mergeCell ref="N72:Q72"/>
    <mergeCell ref="N70:Q70"/>
    <mergeCell ref="N57:Q57"/>
    <mergeCell ref="N85:Q85"/>
    <mergeCell ref="N86:Q86"/>
    <mergeCell ref="N68:Q68"/>
    <mergeCell ref="N69:Q69"/>
    <mergeCell ref="N59:Q59"/>
    <mergeCell ref="N60:Q60"/>
    <mergeCell ref="N61:Q61"/>
    <mergeCell ref="N62:Q62"/>
    <mergeCell ref="N63:Q63"/>
    <mergeCell ref="A1:C1"/>
    <mergeCell ref="L45:M45"/>
    <mergeCell ref="F41:J41"/>
    <mergeCell ref="G43:I43"/>
    <mergeCell ref="G42:I42"/>
    <mergeCell ref="L37:M37"/>
    <mergeCell ref="G44:I44"/>
    <mergeCell ref="G45:I45"/>
    <mergeCell ref="G47:I47"/>
    <mergeCell ref="L11:M11"/>
    <mergeCell ref="L1:Q1"/>
    <mergeCell ref="F1:H1"/>
    <mergeCell ref="O34:O35"/>
    <mergeCell ref="P34:P35"/>
    <mergeCell ref="N45:Q45"/>
    <mergeCell ref="N46:Q46"/>
    <mergeCell ref="N47:Q47"/>
    <mergeCell ref="G46:I46"/>
    <mergeCell ref="Y1:AA1"/>
    <mergeCell ref="L3:M3"/>
    <mergeCell ref="L19:M19"/>
    <mergeCell ref="L73:M73"/>
    <mergeCell ref="N73:Q73"/>
    <mergeCell ref="N50:Q50"/>
    <mergeCell ref="N51:Q51"/>
    <mergeCell ref="N64:Q64"/>
    <mergeCell ref="N65:Q65"/>
    <mergeCell ref="L60:M60"/>
    <mergeCell ref="L46:M46"/>
    <mergeCell ref="N53:Q53"/>
    <mergeCell ref="N54:Q54"/>
    <mergeCell ref="N55:Q55"/>
    <mergeCell ref="N56:Q56"/>
    <mergeCell ref="U1:W1"/>
    <mergeCell ref="N74:Q74"/>
    <mergeCell ref="N75:Q75"/>
    <mergeCell ref="N76:Q76"/>
    <mergeCell ref="N82:Q82"/>
    <mergeCell ref="N83:Q83"/>
    <mergeCell ref="N84:Q84"/>
    <mergeCell ref="N77:Q77"/>
    <mergeCell ref="N78:Q78"/>
    <mergeCell ref="N79:Q79"/>
    <mergeCell ref="N80:Q80"/>
    <mergeCell ref="N81:Q81"/>
    <mergeCell ref="L80:M80"/>
    <mergeCell ref="L81:M81"/>
    <mergeCell ref="L82:M82"/>
    <mergeCell ref="L83:M83"/>
    <mergeCell ref="L74:M74"/>
    <mergeCell ref="L76:M76"/>
    <mergeCell ref="L77:M77"/>
    <mergeCell ref="L78:M78"/>
    <mergeCell ref="L79:M7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S26"/>
  <sheetViews>
    <sheetView workbookViewId="0">
      <selection activeCell="H4" sqref="H4"/>
    </sheetView>
  </sheetViews>
  <sheetFormatPr baseColWidth="10" defaultRowHeight="14.4" x14ac:dyDescent="0.3"/>
  <cols>
    <col min="2" max="2" width="13.109375" bestFit="1" customWidth="1"/>
    <col min="3" max="3" width="20" bestFit="1" customWidth="1"/>
    <col min="5" max="5" width="9.5546875" bestFit="1" customWidth="1"/>
    <col min="7" max="7" width="12.88671875" bestFit="1" customWidth="1"/>
    <col min="9" max="10" width="25.33203125" bestFit="1" customWidth="1"/>
    <col min="15" max="15" width="20.6640625" bestFit="1" customWidth="1"/>
  </cols>
  <sheetData>
    <row r="1" spans="1:19" x14ac:dyDescent="0.3">
      <c r="A1" s="20" t="s">
        <v>13</v>
      </c>
    </row>
    <row r="3" spans="1:19" x14ac:dyDescent="0.3">
      <c r="A3" t="s">
        <v>101</v>
      </c>
      <c r="C3" t="s">
        <v>246</v>
      </c>
      <c r="D3" t="s">
        <v>245</v>
      </c>
      <c r="E3" t="s">
        <v>244</v>
      </c>
      <c r="F3" t="s">
        <v>216</v>
      </c>
      <c r="G3" t="s">
        <v>217</v>
      </c>
    </row>
    <row r="4" spans="1:19" x14ac:dyDescent="0.3">
      <c r="A4" t="s">
        <v>99</v>
      </c>
      <c r="B4" t="s">
        <v>359</v>
      </c>
      <c r="C4" t="s">
        <v>358</v>
      </c>
      <c r="E4">
        <v>208995</v>
      </c>
      <c r="G4" s="2">
        <f>E4/Summary!C16</f>
        <v>185010.26875818847</v>
      </c>
      <c r="H4" s="20" t="s">
        <v>100</v>
      </c>
      <c r="P4" t="s">
        <v>430</v>
      </c>
      <c r="Q4" t="s">
        <v>429</v>
      </c>
      <c r="R4" t="s">
        <v>431</v>
      </c>
      <c r="S4" t="s">
        <v>432</v>
      </c>
    </row>
    <row r="5" spans="1:19" x14ac:dyDescent="0.3">
      <c r="A5" t="s">
        <v>434</v>
      </c>
      <c r="B5" t="s">
        <v>436</v>
      </c>
      <c r="C5" t="s">
        <v>437</v>
      </c>
      <c r="F5">
        <v>126.82</v>
      </c>
      <c r="G5" s="2">
        <f>(1-Summary!C17)*'Laser cutter'!F5</f>
        <v>101.456</v>
      </c>
      <c r="H5" s="20" t="s">
        <v>433</v>
      </c>
      <c r="O5" t="s">
        <v>428</v>
      </c>
      <c r="P5">
        <v>76.5</v>
      </c>
      <c r="Q5">
        <v>6.2</v>
      </c>
      <c r="R5">
        <f>P5/3600</f>
        <v>2.1250000000000002E-2</v>
      </c>
      <c r="S5">
        <f>Q5/10</f>
        <v>0.62</v>
      </c>
    </row>
    <row r="6" spans="1:19" x14ac:dyDescent="0.3">
      <c r="O6" t="s">
        <v>435</v>
      </c>
      <c r="R6">
        <v>10.6</v>
      </c>
      <c r="S6">
        <v>20</v>
      </c>
    </row>
    <row r="7" spans="1:19" x14ac:dyDescent="0.3">
      <c r="R7">
        <f>R6*S6/S7</f>
        <v>341.93548387096774</v>
      </c>
      <c r="S7">
        <v>0.62</v>
      </c>
    </row>
    <row r="8" spans="1:19" x14ac:dyDescent="0.3">
      <c r="R8">
        <f>R7/R5/3600</f>
        <v>4.4697448872021921</v>
      </c>
    </row>
    <row r="9" spans="1:19" x14ac:dyDescent="0.3">
      <c r="B9" t="s">
        <v>371</v>
      </c>
      <c r="C9" t="s">
        <v>370</v>
      </c>
      <c r="D9" t="s">
        <v>372</v>
      </c>
      <c r="E9" t="s">
        <v>373</v>
      </c>
    </row>
    <row r="10" spans="1:19" x14ac:dyDescent="0.3">
      <c r="A10" t="s">
        <v>360</v>
      </c>
      <c r="B10" t="s">
        <v>361</v>
      </c>
      <c r="C10">
        <v>780</v>
      </c>
      <c r="D10">
        <v>0.81</v>
      </c>
      <c r="E10">
        <f>C10*25.4</f>
        <v>19812</v>
      </c>
      <c r="F10">
        <f t="shared" ref="F10:F11" si="0">1/E10</f>
        <v>5.0474459923278822E-5</v>
      </c>
    </row>
    <row r="11" spans="1:19" x14ac:dyDescent="0.3">
      <c r="B11" t="s">
        <v>362</v>
      </c>
      <c r="C11">
        <v>230</v>
      </c>
      <c r="D11">
        <v>1.63</v>
      </c>
      <c r="E11">
        <f t="shared" ref="E11:E26" si="1">C11*25.4</f>
        <v>5842</v>
      </c>
      <c r="F11">
        <f t="shared" si="0"/>
        <v>1.7117425539198904E-4</v>
      </c>
    </row>
    <row r="12" spans="1:19" x14ac:dyDescent="0.3">
      <c r="B12" t="s">
        <v>363</v>
      </c>
      <c r="C12">
        <v>125</v>
      </c>
      <c r="D12">
        <v>2.31</v>
      </c>
      <c r="E12">
        <f t="shared" si="1"/>
        <v>3175</v>
      </c>
      <c r="F12">
        <f>1/E12</f>
        <v>3.1496062992125983E-4</v>
      </c>
      <c r="I12" t="s">
        <v>517</v>
      </c>
      <c r="J12" t="s">
        <v>518</v>
      </c>
    </row>
    <row r="13" spans="1:19" x14ac:dyDescent="0.3">
      <c r="B13" t="s">
        <v>364</v>
      </c>
      <c r="C13">
        <v>86</v>
      </c>
      <c r="D13">
        <v>3.26</v>
      </c>
      <c r="E13">
        <f t="shared" si="1"/>
        <v>2184.4</v>
      </c>
      <c r="F13">
        <f t="shared" ref="F13:F26" si="2">1/E13</f>
        <v>4.5779161325764511E-4</v>
      </c>
      <c r="I13">
        <v>4.6000000000000001E-4</v>
      </c>
      <c r="J13">
        <v>3.3E-4</v>
      </c>
    </row>
    <row r="14" spans="1:19" x14ac:dyDescent="0.3">
      <c r="B14" t="s">
        <v>365</v>
      </c>
      <c r="C14">
        <v>74</v>
      </c>
      <c r="D14">
        <v>4.12</v>
      </c>
      <c r="E14">
        <f t="shared" si="1"/>
        <v>1879.6</v>
      </c>
      <c r="F14">
        <f t="shared" si="2"/>
        <v>5.3202809108320926E-4</v>
      </c>
      <c r="I14" t="s">
        <v>519</v>
      </c>
      <c r="J14" s="110">
        <f>J13/I13</f>
        <v>0.71739130434782605</v>
      </c>
    </row>
    <row r="15" spans="1:19" x14ac:dyDescent="0.3">
      <c r="B15" t="s">
        <v>366</v>
      </c>
      <c r="C15">
        <v>59</v>
      </c>
      <c r="D15">
        <v>5.82</v>
      </c>
      <c r="E15">
        <f t="shared" si="1"/>
        <v>1498.6</v>
      </c>
      <c r="F15">
        <f t="shared" si="2"/>
        <v>6.672894701721607E-4</v>
      </c>
    </row>
    <row r="16" spans="1:19" x14ac:dyDescent="0.3">
      <c r="B16" t="s">
        <v>367</v>
      </c>
      <c r="C16">
        <v>50</v>
      </c>
      <c r="D16">
        <v>6.35</v>
      </c>
      <c r="E16">
        <f t="shared" si="1"/>
        <v>1270</v>
      </c>
      <c r="F16">
        <f t="shared" si="2"/>
        <v>7.874015748031496E-4</v>
      </c>
    </row>
    <row r="17" spans="1:6" x14ac:dyDescent="0.3">
      <c r="B17" t="s">
        <v>368</v>
      </c>
      <c r="C17">
        <v>30</v>
      </c>
      <c r="D17">
        <v>7.9379999999999997</v>
      </c>
      <c r="E17">
        <f t="shared" si="1"/>
        <v>762</v>
      </c>
      <c r="F17">
        <f t="shared" si="2"/>
        <v>1.3123359580052493E-3</v>
      </c>
    </row>
    <row r="18" spans="1:6" x14ac:dyDescent="0.3">
      <c r="B18" t="s">
        <v>369</v>
      </c>
      <c r="C18">
        <v>23</v>
      </c>
      <c r="D18">
        <v>9.5250000000000004</v>
      </c>
      <c r="E18">
        <f t="shared" si="1"/>
        <v>584.19999999999993</v>
      </c>
      <c r="F18">
        <f t="shared" si="2"/>
        <v>1.7117425539198907E-3</v>
      </c>
    </row>
    <row r="19" spans="1:6" x14ac:dyDescent="0.3">
      <c r="A19" t="s">
        <v>374</v>
      </c>
      <c r="B19" t="s">
        <v>361</v>
      </c>
      <c r="C19">
        <v>780</v>
      </c>
      <c r="D19">
        <v>0.81</v>
      </c>
      <c r="E19">
        <f t="shared" si="1"/>
        <v>19812</v>
      </c>
      <c r="F19">
        <f t="shared" si="2"/>
        <v>5.0474459923278822E-5</v>
      </c>
    </row>
    <row r="20" spans="1:6" x14ac:dyDescent="0.3">
      <c r="B20" t="s">
        <v>362</v>
      </c>
      <c r="C20">
        <v>216</v>
      </c>
      <c r="D20">
        <v>1.63</v>
      </c>
      <c r="E20">
        <f t="shared" si="1"/>
        <v>5486.4</v>
      </c>
      <c r="F20">
        <f t="shared" si="2"/>
        <v>1.8226888305628464E-4</v>
      </c>
    </row>
    <row r="21" spans="1:6" x14ac:dyDescent="0.3">
      <c r="B21" t="s">
        <v>363</v>
      </c>
      <c r="C21">
        <v>74</v>
      </c>
      <c r="D21">
        <v>2.31</v>
      </c>
      <c r="E21">
        <f t="shared" si="1"/>
        <v>1879.6</v>
      </c>
      <c r="F21">
        <f t="shared" si="2"/>
        <v>5.3202809108320926E-4</v>
      </c>
    </row>
    <row r="22" spans="1:6" x14ac:dyDescent="0.3">
      <c r="B22" t="s">
        <v>364</v>
      </c>
      <c r="C22">
        <v>47</v>
      </c>
      <c r="D22">
        <v>3.26</v>
      </c>
      <c r="E22">
        <f t="shared" si="1"/>
        <v>1193.8</v>
      </c>
      <c r="F22">
        <f t="shared" si="2"/>
        <v>8.3766124979058477E-4</v>
      </c>
    </row>
    <row r="23" spans="1:6" x14ac:dyDescent="0.3">
      <c r="B23" t="s">
        <v>365</v>
      </c>
      <c r="C23">
        <v>24</v>
      </c>
      <c r="D23">
        <v>4.12</v>
      </c>
      <c r="E23">
        <f t="shared" si="1"/>
        <v>609.59999999999991</v>
      </c>
      <c r="F23">
        <f t="shared" si="2"/>
        <v>1.6404199475065619E-3</v>
      </c>
    </row>
    <row r="24" spans="1:6" x14ac:dyDescent="0.3">
      <c r="A24" t="s">
        <v>376</v>
      </c>
      <c r="B24" t="s">
        <v>375</v>
      </c>
      <c r="C24">
        <v>300</v>
      </c>
      <c r="D24">
        <v>0.81</v>
      </c>
      <c r="E24">
        <f t="shared" si="1"/>
        <v>7620</v>
      </c>
      <c r="F24">
        <f t="shared" si="2"/>
        <v>1.3123359580052493E-4</v>
      </c>
    </row>
    <row r="25" spans="1:6" x14ac:dyDescent="0.3">
      <c r="B25" t="s">
        <v>362</v>
      </c>
      <c r="C25">
        <v>120</v>
      </c>
      <c r="D25">
        <v>1.63</v>
      </c>
      <c r="E25">
        <f t="shared" si="1"/>
        <v>3048</v>
      </c>
      <c r="F25">
        <f t="shared" si="2"/>
        <v>3.2808398950131233E-4</v>
      </c>
    </row>
    <row r="26" spans="1:6" x14ac:dyDescent="0.3">
      <c r="B26" t="s">
        <v>363</v>
      </c>
      <c r="C26">
        <v>28</v>
      </c>
      <c r="D26">
        <v>2.31</v>
      </c>
      <c r="E26">
        <f t="shared" si="1"/>
        <v>711.19999999999993</v>
      </c>
      <c r="F26">
        <f t="shared" si="2"/>
        <v>1.4060742407199101E-3</v>
      </c>
    </row>
  </sheetData>
  <hyperlinks>
    <hyperlink ref="A1" r:id="rId1"/>
    <hyperlink ref="H4" r:id="rId2"/>
    <hyperlink ref="H5" r:id="rId3"/>
  </hyperlinks>
  <pageMargins left="0.7" right="0.7" top="0.75" bottom="0.75" header="0.3" footer="0.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G34"/>
  <sheetViews>
    <sheetView workbookViewId="0">
      <selection activeCell="G4" sqref="G4"/>
    </sheetView>
  </sheetViews>
  <sheetFormatPr baseColWidth="10" defaultRowHeight="14.4" x14ac:dyDescent="0.3"/>
  <cols>
    <col min="1" max="1" width="56" bestFit="1" customWidth="1"/>
    <col min="2" max="2" width="19" customWidth="1"/>
  </cols>
  <sheetData>
    <row r="1" spans="1:7" x14ac:dyDescent="0.3">
      <c r="A1" t="s">
        <v>26</v>
      </c>
      <c r="B1" t="s">
        <v>246</v>
      </c>
      <c r="C1" t="s">
        <v>245</v>
      </c>
      <c r="D1" t="s">
        <v>244</v>
      </c>
      <c r="E1" t="s">
        <v>216</v>
      </c>
      <c r="F1" t="s">
        <v>217</v>
      </c>
      <c r="G1" t="s">
        <v>227</v>
      </c>
    </row>
    <row r="2" spans="1:7" x14ac:dyDescent="0.3">
      <c r="A2" t="s">
        <v>114</v>
      </c>
      <c r="F2" s="2">
        <v>4386</v>
      </c>
      <c r="G2" s="20" t="s">
        <v>115</v>
      </c>
    </row>
    <row r="3" spans="1:7" x14ac:dyDescent="0.3">
      <c r="A3" t="s">
        <v>264</v>
      </c>
      <c r="F3" s="2">
        <v>922.6</v>
      </c>
      <c r="G3" t="s">
        <v>265</v>
      </c>
    </row>
    <row r="4" spans="1:7" x14ac:dyDescent="0.3">
      <c r="A4" t="s">
        <v>44</v>
      </c>
      <c r="F4" s="2">
        <v>3859.6</v>
      </c>
      <c r="G4" s="20" t="s">
        <v>266</v>
      </c>
    </row>
    <row r="5" spans="1:7" x14ac:dyDescent="0.3">
      <c r="A5" t="s">
        <v>197</v>
      </c>
      <c r="F5" s="2">
        <v>8579</v>
      </c>
      <c r="G5" s="20" t="s">
        <v>198</v>
      </c>
    </row>
    <row r="6" spans="1:7" x14ac:dyDescent="0.3">
      <c r="A6" t="s">
        <v>119</v>
      </c>
      <c r="F6" s="2">
        <v>146</v>
      </c>
      <c r="G6" t="s">
        <v>118</v>
      </c>
    </row>
    <row r="7" spans="1:7" x14ac:dyDescent="0.3">
      <c r="A7" t="s">
        <v>121</v>
      </c>
      <c r="F7" s="2">
        <v>50</v>
      </c>
      <c r="G7" t="s">
        <v>120</v>
      </c>
    </row>
    <row r="8" spans="1:7" x14ac:dyDescent="0.3">
      <c r="F8" s="2"/>
    </row>
    <row r="9" spans="1:7" x14ac:dyDescent="0.3">
      <c r="A9" t="s">
        <v>123</v>
      </c>
      <c r="F9" s="2"/>
      <c r="G9" s="20" t="s">
        <v>122</v>
      </c>
    </row>
    <row r="12" spans="1:7" x14ac:dyDescent="0.3">
      <c r="A12" s="93" t="s">
        <v>451</v>
      </c>
      <c r="B12" s="93"/>
      <c r="C12" s="93" t="s">
        <v>227</v>
      </c>
    </row>
    <row r="13" spans="1:7" x14ac:dyDescent="0.3">
      <c r="A13" s="94" t="s">
        <v>452</v>
      </c>
      <c r="B13" s="95">
        <v>200</v>
      </c>
      <c r="C13" s="94" t="s">
        <v>453</v>
      </c>
    </row>
    <row r="14" spans="1:7" x14ac:dyDescent="0.3">
      <c r="A14" s="94" t="s">
        <v>454</v>
      </c>
      <c r="B14" s="94">
        <v>18</v>
      </c>
      <c r="C14" s="94" t="s">
        <v>453</v>
      </c>
    </row>
    <row r="15" spans="1:7" x14ac:dyDescent="0.3">
      <c r="A15" s="94" t="s">
        <v>455</v>
      </c>
      <c r="B15" s="96">
        <f>B14*5/228</f>
        <v>0.39473684210526316</v>
      </c>
      <c r="C15" s="94"/>
    </row>
    <row r="16" spans="1:7" x14ac:dyDescent="0.3">
      <c r="A16" s="94" t="s">
        <v>456</v>
      </c>
      <c r="B16" s="94">
        <v>5.5</v>
      </c>
      <c r="C16" s="94"/>
    </row>
    <row r="17" spans="1:4" x14ac:dyDescent="0.3">
      <c r="A17" s="94" t="s">
        <v>457</v>
      </c>
      <c r="B17" s="97">
        <f>B15*B13/B16</f>
        <v>14.354066985645932</v>
      </c>
      <c r="C17" s="94"/>
      <c r="D17" s="22"/>
    </row>
    <row r="19" spans="1:4" x14ac:dyDescent="0.3">
      <c r="A19" s="93" t="s">
        <v>458</v>
      </c>
      <c r="B19" s="93"/>
      <c r="C19" s="93" t="s">
        <v>227</v>
      </c>
    </row>
    <row r="20" spans="1:4" x14ac:dyDescent="0.3">
      <c r="A20" s="94" t="s">
        <v>459</v>
      </c>
      <c r="B20" s="94">
        <v>12.8</v>
      </c>
      <c r="C20" s="94" t="s">
        <v>453</v>
      </c>
    </row>
    <row r="21" spans="1:4" x14ac:dyDescent="0.3">
      <c r="A21" s="94" t="s">
        <v>460</v>
      </c>
      <c r="B21" s="94">
        <v>11</v>
      </c>
      <c r="C21" s="94" t="s">
        <v>453</v>
      </c>
    </row>
    <row r="22" spans="1:4" x14ac:dyDescent="0.3">
      <c r="A22" s="94" t="s">
        <v>461</v>
      </c>
      <c r="B22" s="94">
        <f>PI()*0.04*0.04*100*7.8</f>
        <v>3.9207076316800622</v>
      </c>
      <c r="C22" s="94"/>
    </row>
    <row r="23" spans="1:4" x14ac:dyDescent="0.3">
      <c r="A23" s="94" t="s">
        <v>462</v>
      </c>
      <c r="B23" s="95">
        <f>B20*B22/1000</f>
        <v>5.0185057685504804E-2</v>
      </c>
      <c r="C23" s="94"/>
    </row>
    <row r="25" spans="1:4" x14ac:dyDescent="0.3">
      <c r="A25" s="93" t="s">
        <v>463</v>
      </c>
      <c r="B25" s="93"/>
      <c r="C25" s="93" t="s">
        <v>227</v>
      </c>
    </row>
    <row r="26" spans="1:4" x14ac:dyDescent="0.3">
      <c r="A26" s="94" t="s">
        <v>459</v>
      </c>
      <c r="B26" s="94">
        <v>10.050000000000001</v>
      </c>
      <c r="C26" s="98" t="s">
        <v>464</v>
      </c>
    </row>
    <row r="27" spans="1:4" x14ac:dyDescent="0.3">
      <c r="A27" s="94" t="s">
        <v>465</v>
      </c>
      <c r="B27" s="94">
        <v>2</v>
      </c>
      <c r="C27" s="94" t="s">
        <v>453</v>
      </c>
    </row>
    <row r="28" spans="1:4" x14ac:dyDescent="0.3">
      <c r="A28" s="94" t="s">
        <v>461</v>
      </c>
      <c r="B28" s="94">
        <f>PI()*0.1*0.1*100*2.7</f>
        <v>8.4823001646924432</v>
      </c>
      <c r="C28" s="94"/>
    </row>
    <row r="29" spans="1:4" x14ac:dyDescent="0.3">
      <c r="A29" s="94" t="s">
        <v>462</v>
      </c>
      <c r="B29" s="95">
        <f>B26*B28/1000</f>
        <v>8.5247116655159064E-2</v>
      </c>
      <c r="C29" s="94"/>
    </row>
    <row r="30" spans="1:4" x14ac:dyDescent="0.3">
      <c r="C30" s="93"/>
    </row>
    <row r="31" spans="1:4" x14ac:dyDescent="0.3">
      <c r="A31" s="94" t="s">
        <v>487</v>
      </c>
      <c r="B31" s="94"/>
      <c r="C31" s="93" t="s">
        <v>227</v>
      </c>
    </row>
    <row r="32" spans="1:4" x14ac:dyDescent="0.3">
      <c r="A32" s="94" t="s">
        <v>488</v>
      </c>
      <c r="B32" s="104">
        <f>30/(2*PI()*0.034)</f>
        <v>140.43083213990764</v>
      </c>
      <c r="C32" s="94" t="s">
        <v>453</v>
      </c>
    </row>
    <row r="33" spans="1:3" x14ac:dyDescent="0.3">
      <c r="A33" s="94" t="s">
        <v>489</v>
      </c>
      <c r="B33" s="97">
        <f>'Manpower &amp; time'!H6/60</f>
        <v>0.39383656509695286</v>
      </c>
      <c r="C33" s="94"/>
    </row>
    <row r="34" spans="1:3" x14ac:dyDescent="0.3">
      <c r="A34" s="94" t="s">
        <v>490</v>
      </c>
      <c r="B34" s="97">
        <f>B33*B32</f>
        <v>55.306796563687996</v>
      </c>
      <c r="C34" s="94"/>
    </row>
  </sheetData>
  <hyperlinks>
    <hyperlink ref="G5" r:id="rId1"/>
    <hyperlink ref="G9" r:id="rId2"/>
    <hyperlink ref="C26" r:id="rId3"/>
    <hyperlink ref="G2" r:id="rId4"/>
    <hyperlink ref="G4" r:id="rId5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C4"/>
  <sheetViews>
    <sheetView workbookViewId="0">
      <selection activeCell="C4" sqref="C4"/>
    </sheetView>
  </sheetViews>
  <sheetFormatPr baseColWidth="10" defaultRowHeight="14.4" x14ac:dyDescent="0.3"/>
  <cols>
    <col min="1" max="1" width="35.109375" bestFit="1" customWidth="1"/>
    <col min="2" max="2" width="12.6640625" bestFit="1" customWidth="1"/>
  </cols>
  <sheetData>
    <row r="1" spans="1:3" x14ac:dyDescent="0.3">
      <c r="A1" t="s">
        <v>26</v>
      </c>
      <c r="B1" t="s">
        <v>502</v>
      </c>
      <c r="C1" t="s">
        <v>227</v>
      </c>
    </row>
    <row r="2" spans="1:3" x14ac:dyDescent="0.3">
      <c r="A2" t="s">
        <v>500</v>
      </c>
      <c r="B2" s="2">
        <v>15000</v>
      </c>
      <c r="C2" t="s">
        <v>498</v>
      </c>
    </row>
    <row r="4" spans="1:3" x14ac:dyDescent="0.3">
      <c r="A4" t="s">
        <v>501</v>
      </c>
      <c r="B4" s="2">
        <v>10000</v>
      </c>
      <c r="C4" s="20" t="s">
        <v>499</v>
      </c>
    </row>
  </sheetData>
  <hyperlinks>
    <hyperlink ref="C4" r:id="rId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abSelected="1" topLeftCell="A61" workbookViewId="0">
      <selection activeCell="C73" sqref="C73"/>
    </sheetView>
  </sheetViews>
  <sheetFormatPr baseColWidth="10" defaultRowHeight="14.4" x14ac:dyDescent="0.3"/>
  <cols>
    <col min="1" max="1" width="14.6640625" bestFit="1" customWidth="1"/>
    <col min="2" max="2" width="12.5546875" bestFit="1" customWidth="1"/>
    <col min="3" max="3" width="14.33203125" bestFit="1" customWidth="1"/>
    <col min="5" max="5" width="23.88671875" bestFit="1" customWidth="1"/>
    <col min="13" max="13" width="13.5546875" customWidth="1"/>
    <col min="14" max="14" width="15.33203125" customWidth="1"/>
    <col min="15" max="15" width="12.5546875" customWidth="1"/>
    <col min="17" max="17" width="21.33203125" customWidth="1"/>
    <col min="19" max="19" width="15" customWidth="1"/>
    <col min="20" max="20" width="13.88671875" customWidth="1"/>
    <col min="21" max="22" width="14.44140625" customWidth="1"/>
    <col min="23" max="23" width="22.33203125" customWidth="1"/>
  </cols>
  <sheetData>
    <row r="1" spans="1:23" x14ac:dyDescent="0.3">
      <c r="A1" s="20" t="s">
        <v>5</v>
      </c>
      <c r="S1" s="20" t="s">
        <v>334</v>
      </c>
    </row>
    <row r="2" spans="1:23" x14ac:dyDescent="0.3">
      <c r="A2" t="s">
        <v>0</v>
      </c>
      <c r="G2" t="s">
        <v>9</v>
      </c>
      <c r="M2" t="s">
        <v>6</v>
      </c>
      <c r="S2" s="45">
        <v>5754</v>
      </c>
    </row>
    <row r="3" spans="1:23" x14ac:dyDescent="0.3">
      <c r="A3" t="s">
        <v>4</v>
      </c>
      <c r="B3" t="s">
        <v>1</v>
      </c>
      <c r="C3" t="s">
        <v>2</v>
      </c>
      <c r="D3" t="s">
        <v>7</v>
      </c>
      <c r="E3" t="s">
        <v>3</v>
      </c>
      <c r="G3" t="s">
        <v>10</v>
      </c>
      <c r="H3" t="s">
        <v>11</v>
      </c>
      <c r="I3" t="s">
        <v>7</v>
      </c>
      <c r="J3" t="s">
        <v>3</v>
      </c>
      <c r="M3" t="s">
        <v>4</v>
      </c>
      <c r="N3" t="s">
        <v>1</v>
      </c>
      <c r="O3" t="s">
        <v>2</v>
      </c>
      <c r="P3" t="s">
        <v>7</v>
      </c>
      <c r="Q3" t="s">
        <v>3</v>
      </c>
      <c r="R3" t="s">
        <v>332</v>
      </c>
      <c r="S3" t="s">
        <v>4</v>
      </c>
      <c r="T3" t="s">
        <v>1</v>
      </c>
      <c r="U3" t="s">
        <v>333</v>
      </c>
      <c r="V3" t="s">
        <v>7</v>
      </c>
      <c r="W3" t="s">
        <v>3</v>
      </c>
    </row>
    <row r="4" spans="1:23" x14ac:dyDescent="0.3">
      <c r="A4">
        <v>10</v>
      </c>
      <c r="B4">
        <v>100</v>
      </c>
      <c r="C4">
        <v>500</v>
      </c>
      <c r="D4" s="2">
        <v>19.79</v>
      </c>
      <c r="E4" s="1">
        <f>D4/(A4*B4*C4)</f>
        <v>3.9579999999999997E-5</v>
      </c>
      <c r="G4">
        <v>10</v>
      </c>
      <c r="H4">
        <v>500</v>
      </c>
      <c r="I4" s="2">
        <v>5.14</v>
      </c>
      <c r="J4" s="1">
        <f>I4/(PI()*G4^2*H4)</f>
        <v>3.2722256299693677E-5</v>
      </c>
      <c r="M4">
        <v>40</v>
      </c>
      <c r="N4">
        <v>40</v>
      </c>
      <c r="O4">
        <v>80</v>
      </c>
      <c r="P4" s="2">
        <v>5.2</v>
      </c>
      <c r="Q4" s="1">
        <f>P4/(M4*N4*O4)</f>
        <v>4.0624999999999998E-5</v>
      </c>
      <c r="S4">
        <v>6</v>
      </c>
      <c r="T4">
        <v>1000</v>
      </c>
      <c r="U4">
        <v>1000</v>
      </c>
      <c r="V4" s="2">
        <v>285.88</v>
      </c>
      <c r="W4" s="1">
        <f>V4/(S4*T4*U4)</f>
        <v>4.7646666666666666E-5</v>
      </c>
    </row>
    <row r="5" spans="1:23" x14ac:dyDescent="0.3">
      <c r="A5">
        <v>10</v>
      </c>
      <c r="B5">
        <v>150</v>
      </c>
      <c r="C5">
        <v>500</v>
      </c>
      <c r="D5" s="2">
        <v>31.49</v>
      </c>
      <c r="E5" s="1">
        <f t="shared" ref="E5:E7" si="0">D5/(A5*B5*C5)</f>
        <v>4.1986666666666662E-5</v>
      </c>
      <c r="G5">
        <v>20</v>
      </c>
      <c r="H5">
        <v>990</v>
      </c>
      <c r="I5" s="2">
        <v>17.13</v>
      </c>
      <c r="J5" s="1">
        <f t="shared" ref="J5:J11" si="1">I5/(PI()*G5^2*H5)</f>
        <v>1.3769314015980641E-5</v>
      </c>
      <c r="M5">
        <v>40</v>
      </c>
      <c r="N5">
        <v>40</v>
      </c>
      <c r="O5">
        <v>160</v>
      </c>
      <c r="P5" s="2">
        <v>9.18</v>
      </c>
      <c r="Q5" s="1">
        <f t="shared" ref="Q5:Q10" si="2">P5/(M5*N5*O5)</f>
        <v>3.5859374999999996E-5</v>
      </c>
      <c r="S5">
        <v>8</v>
      </c>
      <c r="T5">
        <v>1000</v>
      </c>
      <c r="U5">
        <v>1000</v>
      </c>
      <c r="V5" s="2">
        <v>379.84</v>
      </c>
      <c r="W5" s="1">
        <f t="shared" ref="W5:W6" si="3">V5/(S5*T5*U5)</f>
        <v>4.7479999999999999E-5</v>
      </c>
    </row>
    <row r="6" spans="1:23" x14ac:dyDescent="0.3">
      <c r="A6">
        <v>10</v>
      </c>
      <c r="B6">
        <v>300</v>
      </c>
      <c r="C6">
        <v>500</v>
      </c>
      <c r="D6" s="2">
        <v>57.83</v>
      </c>
      <c r="E6" s="1">
        <f t="shared" si="0"/>
        <v>3.8553333333333329E-5</v>
      </c>
      <c r="G6">
        <v>25</v>
      </c>
      <c r="H6">
        <v>990</v>
      </c>
      <c r="I6" s="2">
        <v>26.99</v>
      </c>
      <c r="J6" s="1">
        <f t="shared" si="1"/>
        <v>1.388474154036446E-5</v>
      </c>
      <c r="M6">
        <v>40</v>
      </c>
      <c r="N6">
        <v>40</v>
      </c>
      <c r="O6">
        <v>500</v>
      </c>
      <c r="P6" s="2">
        <v>25.09</v>
      </c>
      <c r="Q6" s="1">
        <f t="shared" si="2"/>
        <v>3.1362499999999997E-5</v>
      </c>
      <c r="S6">
        <v>10</v>
      </c>
      <c r="T6">
        <v>1000</v>
      </c>
      <c r="U6">
        <v>1000</v>
      </c>
      <c r="V6" s="2">
        <v>473.8</v>
      </c>
      <c r="W6" s="1">
        <f t="shared" si="3"/>
        <v>4.7380000000000004E-5</v>
      </c>
    </row>
    <row r="7" spans="1:23" x14ac:dyDescent="0.3">
      <c r="A7">
        <v>10</v>
      </c>
      <c r="B7">
        <v>500</v>
      </c>
      <c r="C7">
        <v>500</v>
      </c>
      <c r="D7" s="2">
        <v>96.39</v>
      </c>
      <c r="E7" s="1">
        <f t="shared" si="0"/>
        <v>3.8556000000000002E-5</v>
      </c>
      <c r="G7">
        <v>30</v>
      </c>
      <c r="H7">
        <v>990</v>
      </c>
      <c r="I7" s="2">
        <v>34.28</v>
      </c>
      <c r="J7" s="1">
        <f t="shared" si="1"/>
        <v>1.2246535239484113E-5</v>
      </c>
      <c r="M7">
        <v>50</v>
      </c>
      <c r="N7">
        <v>50</v>
      </c>
      <c r="O7">
        <v>500</v>
      </c>
      <c r="P7" s="2">
        <v>41.62</v>
      </c>
      <c r="Q7" s="1">
        <f t="shared" si="2"/>
        <v>3.3296000000000001E-5</v>
      </c>
      <c r="V7" t="s">
        <v>8</v>
      </c>
      <c r="W7" s="1">
        <f>AVERAGE(W4:W6)</f>
        <v>4.7502222222222225E-5</v>
      </c>
    </row>
    <row r="8" spans="1:23" x14ac:dyDescent="0.3">
      <c r="A8">
        <v>32</v>
      </c>
      <c r="B8">
        <v>32</v>
      </c>
      <c r="C8">
        <v>550</v>
      </c>
      <c r="D8" s="2">
        <v>23.26</v>
      </c>
      <c r="E8" s="1">
        <f>D8/(A8*B8*C8)</f>
        <v>4.1299715909090912E-5</v>
      </c>
      <c r="G8">
        <v>40</v>
      </c>
      <c r="H8">
        <v>160</v>
      </c>
      <c r="I8" s="2">
        <v>10.92</v>
      </c>
      <c r="J8" s="1">
        <f t="shared" si="1"/>
        <v>1.357790608252732E-5</v>
      </c>
      <c r="M8">
        <v>50</v>
      </c>
      <c r="N8">
        <v>50</v>
      </c>
      <c r="O8">
        <v>100</v>
      </c>
      <c r="P8" s="2">
        <v>9.18</v>
      </c>
      <c r="Q8" s="1">
        <f t="shared" si="2"/>
        <v>3.6720000000000001E-5</v>
      </c>
    </row>
    <row r="9" spans="1:23" x14ac:dyDescent="0.3">
      <c r="A9">
        <v>32</v>
      </c>
      <c r="B9">
        <v>50</v>
      </c>
      <c r="C9">
        <v>360</v>
      </c>
      <c r="D9" s="2">
        <v>20.56</v>
      </c>
      <c r="E9" s="1">
        <f t="shared" ref="E9:E15" si="4">D9/(A9*B9*C9)</f>
        <v>3.5694444444444444E-5</v>
      </c>
      <c r="G9">
        <v>40</v>
      </c>
      <c r="H9">
        <v>500</v>
      </c>
      <c r="I9" s="2">
        <v>25.7</v>
      </c>
      <c r="J9" s="1">
        <f t="shared" si="1"/>
        <v>1.0225705093654274E-5</v>
      </c>
      <c r="M9">
        <v>60</v>
      </c>
      <c r="N9">
        <v>60</v>
      </c>
      <c r="O9">
        <v>500</v>
      </c>
      <c r="P9" s="2">
        <v>57.83</v>
      </c>
      <c r="Q9" s="1">
        <f t="shared" si="2"/>
        <v>3.2127777777777776E-5</v>
      </c>
    </row>
    <row r="10" spans="1:23" x14ac:dyDescent="0.3">
      <c r="A10">
        <v>32</v>
      </c>
      <c r="B10">
        <v>50</v>
      </c>
      <c r="C10">
        <v>550</v>
      </c>
      <c r="D10" s="2">
        <v>31.82</v>
      </c>
      <c r="E10" s="1">
        <f t="shared" si="4"/>
        <v>3.6159090909090908E-5</v>
      </c>
      <c r="G10">
        <v>40</v>
      </c>
      <c r="H10">
        <v>800</v>
      </c>
      <c r="I10" s="2">
        <v>43.7</v>
      </c>
      <c r="J10" s="1">
        <f t="shared" si="1"/>
        <v>1.0867298457993479E-5</v>
      </c>
      <c r="M10">
        <v>60</v>
      </c>
      <c r="N10">
        <v>60</v>
      </c>
      <c r="O10">
        <v>995</v>
      </c>
      <c r="P10" s="2">
        <v>119.95</v>
      </c>
      <c r="Q10" s="1">
        <f t="shared" si="2"/>
        <v>3.348687883863763E-5</v>
      </c>
    </row>
    <row r="11" spans="1:23" x14ac:dyDescent="0.3">
      <c r="A11">
        <v>32</v>
      </c>
      <c r="B11">
        <v>60</v>
      </c>
      <c r="C11">
        <v>265</v>
      </c>
      <c r="D11" s="2">
        <v>15.91</v>
      </c>
      <c r="E11" s="1">
        <f t="shared" si="4"/>
        <v>3.1269654088050312E-5</v>
      </c>
      <c r="G11">
        <v>50</v>
      </c>
      <c r="H11">
        <v>150</v>
      </c>
      <c r="I11" s="2">
        <v>14.69</v>
      </c>
      <c r="J11" s="1">
        <f t="shared" si="1"/>
        <v>1.2469259274773026E-5</v>
      </c>
      <c r="P11" t="s">
        <v>8</v>
      </c>
      <c r="Q11" s="1">
        <f>AVERAGE(Q4:Q10)</f>
        <v>3.478250451663077E-5</v>
      </c>
    </row>
    <row r="12" spans="1:23" x14ac:dyDescent="0.3">
      <c r="A12">
        <v>40</v>
      </c>
      <c r="B12">
        <v>120</v>
      </c>
      <c r="C12">
        <v>120</v>
      </c>
      <c r="D12" s="2">
        <v>21.85</v>
      </c>
      <c r="E12" s="1">
        <f t="shared" si="4"/>
        <v>3.7934027777777779E-5</v>
      </c>
      <c r="I12" t="s">
        <v>8</v>
      </c>
      <c r="J12" s="1">
        <f>AVERAGE(J4:J11)</f>
        <v>1.4970377000558874E-5</v>
      </c>
    </row>
    <row r="13" spans="1:23" x14ac:dyDescent="0.3">
      <c r="A13">
        <v>50</v>
      </c>
      <c r="B13">
        <v>100</v>
      </c>
      <c r="C13">
        <v>100</v>
      </c>
      <c r="D13" s="2">
        <v>17.989999999999998</v>
      </c>
      <c r="E13" s="1">
        <f t="shared" si="4"/>
        <v>3.5979999999999998E-5</v>
      </c>
      <c r="J13" s="1"/>
    </row>
    <row r="14" spans="1:23" x14ac:dyDescent="0.3">
      <c r="A14">
        <v>50</v>
      </c>
      <c r="B14">
        <v>100</v>
      </c>
      <c r="C14">
        <v>300</v>
      </c>
      <c r="D14" s="2">
        <v>53.98</v>
      </c>
      <c r="E14" s="1">
        <f t="shared" si="4"/>
        <v>3.5986666666666665E-5</v>
      </c>
    </row>
    <row r="15" spans="1:23" x14ac:dyDescent="0.3">
      <c r="A15">
        <v>50</v>
      </c>
      <c r="B15">
        <v>100</v>
      </c>
      <c r="C15">
        <v>500</v>
      </c>
      <c r="D15" s="2">
        <v>83.54</v>
      </c>
      <c r="E15" s="1">
        <f t="shared" si="4"/>
        <v>3.3416E-5</v>
      </c>
      <c r="M15" t="s">
        <v>6</v>
      </c>
      <c r="N15" t="s">
        <v>304</v>
      </c>
      <c r="S15" t="s">
        <v>6</v>
      </c>
      <c r="T15" t="s">
        <v>304</v>
      </c>
      <c r="U15" t="s">
        <v>533</v>
      </c>
    </row>
    <row r="16" spans="1:23" x14ac:dyDescent="0.3">
      <c r="D16" t="s">
        <v>8</v>
      </c>
      <c r="E16" s="1">
        <f>AVERAGE(E4:E15)</f>
        <v>3.7201299982926756E-5</v>
      </c>
      <c r="N16" t="s">
        <v>305</v>
      </c>
      <c r="O16" t="s">
        <v>2</v>
      </c>
      <c r="P16" t="s">
        <v>88</v>
      </c>
      <c r="Q16" t="s">
        <v>3</v>
      </c>
      <c r="S16" t="s">
        <v>534</v>
      </c>
      <c r="T16" t="s">
        <v>535</v>
      </c>
      <c r="U16" t="s">
        <v>536</v>
      </c>
      <c r="V16" t="s">
        <v>537</v>
      </c>
    </row>
    <row r="17" spans="1:22" x14ac:dyDescent="0.3">
      <c r="N17">
        <v>5</v>
      </c>
      <c r="O17">
        <v>500</v>
      </c>
      <c r="P17" s="2">
        <v>1.61</v>
      </c>
      <c r="Q17" s="42">
        <f>P17/(PI()*(N17/2)^2*O17)</f>
        <v>1.6399325336188895E-4</v>
      </c>
      <c r="S17">
        <v>40</v>
      </c>
      <c r="T17">
        <v>30</v>
      </c>
      <c r="U17" s="2">
        <v>39.020000000000003</v>
      </c>
      <c r="V17" s="1">
        <f>U17/(PI()*((S17/2)*(S17/2)-(T17/2)*(T17/2))*1000)</f>
        <v>7.0974010050808657E-5</v>
      </c>
    </row>
    <row r="18" spans="1:22" x14ac:dyDescent="0.3">
      <c r="N18">
        <v>10</v>
      </c>
      <c r="O18">
        <v>500</v>
      </c>
      <c r="P18" s="2">
        <v>4.5</v>
      </c>
      <c r="Q18" s="42">
        <f>P18/(PI()*(N18/2)^2*O18)</f>
        <v>1.1459155902616463E-4</v>
      </c>
      <c r="S18">
        <v>50</v>
      </c>
      <c r="T18">
        <v>30</v>
      </c>
      <c r="U18" s="2">
        <v>72.239999999999995</v>
      </c>
      <c r="V18" s="1">
        <f>U18/(PI()*((S18/2)*(S18/2)-(T18/2)*(T18/2))*1000)</f>
        <v>5.7486765444792583E-5</v>
      </c>
    </row>
    <row r="19" spans="1:22" x14ac:dyDescent="0.3">
      <c r="A19" t="s">
        <v>306</v>
      </c>
      <c r="B19" t="s">
        <v>304</v>
      </c>
      <c r="N19">
        <v>15</v>
      </c>
      <c r="O19">
        <v>500</v>
      </c>
      <c r="P19" s="2">
        <v>4.8</v>
      </c>
      <c r="Q19" s="42">
        <f t="shared" ref="Q19:Q21" si="5">P19/(PI()*(N19/2)^2*O19)</f>
        <v>5.432488724203361E-5</v>
      </c>
      <c r="S19">
        <v>50</v>
      </c>
      <c r="T19">
        <v>40</v>
      </c>
      <c r="U19" s="2">
        <v>37.700000000000003</v>
      </c>
      <c r="V19" s="1">
        <f>U19/(PI()*((S19/2)*(S19/2)-(T19/2)*(T19/2))*1000)</f>
        <v>5.333458981835071E-5</v>
      </c>
    </row>
    <row r="20" spans="1:22" x14ac:dyDescent="0.3">
      <c r="B20" t="s">
        <v>305</v>
      </c>
      <c r="C20" t="s">
        <v>2</v>
      </c>
      <c r="D20" t="s">
        <v>88</v>
      </c>
      <c r="E20" t="s">
        <v>3</v>
      </c>
      <c r="N20">
        <v>18</v>
      </c>
      <c r="O20">
        <v>500</v>
      </c>
      <c r="P20" s="2">
        <v>6.36</v>
      </c>
      <c r="Q20" s="42">
        <f t="shared" si="5"/>
        <v>4.9986441385898987E-5</v>
      </c>
      <c r="S20">
        <v>60</v>
      </c>
      <c r="T20">
        <v>50</v>
      </c>
      <c r="U20" s="2">
        <v>41.96</v>
      </c>
      <c r="V20" s="1">
        <f>U20/(PI()*((S20/2)*(S20/2)-(T20/2)*(T20/2))*1000)</f>
        <v>4.8568301179170389E-5</v>
      </c>
    </row>
    <row r="21" spans="1:22" x14ac:dyDescent="0.3">
      <c r="B21">
        <v>10</v>
      </c>
      <c r="C21">
        <v>500</v>
      </c>
      <c r="D21" s="2">
        <v>5.14</v>
      </c>
      <c r="E21" s="42">
        <f t="shared" ref="E21:E27" si="6">D21/(PI()*(B21/2)^2*C21)</f>
        <v>1.3088902519877471E-4</v>
      </c>
      <c r="N21">
        <v>22</v>
      </c>
      <c r="O21">
        <v>500</v>
      </c>
      <c r="P21" s="2">
        <v>8.4</v>
      </c>
      <c r="Q21" s="42">
        <f t="shared" si="5"/>
        <v>4.4195091635435405E-5</v>
      </c>
      <c r="S21">
        <v>100</v>
      </c>
      <c r="T21">
        <v>60</v>
      </c>
      <c r="U21" s="2">
        <v>330</v>
      </c>
      <c r="V21" s="1">
        <f>U21/(PI()*((S21/2)*(S21/2)-(T21/2)*(T21/2))*1000)</f>
        <v>6.5651414025406826E-5</v>
      </c>
    </row>
    <row r="22" spans="1:22" x14ac:dyDescent="0.3">
      <c r="B22">
        <v>20</v>
      </c>
      <c r="C22">
        <v>500</v>
      </c>
      <c r="D22" s="2">
        <v>8.35</v>
      </c>
      <c r="E22" s="42">
        <f t="shared" si="6"/>
        <v>5.3157750992693033E-5</v>
      </c>
      <c r="P22" t="s">
        <v>8</v>
      </c>
      <c r="Q22" s="42">
        <f>AVERAGE(Q17:Q21)</f>
        <v>8.541824653028432E-5</v>
      </c>
      <c r="U22" t="s">
        <v>8</v>
      </c>
      <c r="V22" s="1">
        <f>AVERAGE(V17:V21)</f>
        <v>5.9203016103705834E-5</v>
      </c>
    </row>
    <row r="23" spans="1:22" x14ac:dyDescent="0.3">
      <c r="B23">
        <v>20</v>
      </c>
      <c r="C23">
        <v>990</v>
      </c>
      <c r="D23" s="2">
        <v>17.13</v>
      </c>
      <c r="E23" s="42">
        <f t="shared" si="6"/>
        <v>5.5077256063922563E-5</v>
      </c>
      <c r="P23" s="2"/>
      <c r="S23">
        <v>6060</v>
      </c>
      <c r="T23" t="s">
        <v>538</v>
      </c>
    </row>
    <row r="24" spans="1:22" x14ac:dyDescent="0.3">
      <c r="B24">
        <v>25</v>
      </c>
      <c r="C24">
        <v>500</v>
      </c>
      <c r="D24" s="2">
        <v>13.11</v>
      </c>
      <c r="E24" s="42">
        <f t="shared" si="6"/>
        <v>5.3414945380729545E-5</v>
      </c>
      <c r="S24">
        <v>12</v>
      </c>
      <c r="T24">
        <v>11</v>
      </c>
      <c r="U24" s="2">
        <f>1.93*2</f>
        <v>3.86</v>
      </c>
      <c r="V24" s="1">
        <f>U24/(PI()*((S24/2)*(S24/2)-(T24/2)*(T24/2))*1000)</f>
        <v>2.1368281055120556E-4</v>
      </c>
    </row>
    <row r="25" spans="1:22" x14ac:dyDescent="0.3">
      <c r="B25">
        <v>25</v>
      </c>
      <c r="C25">
        <v>990</v>
      </c>
      <c r="D25" s="2">
        <v>26.99</v>
      </c>
      <c r="E25" s="42">
        <f t="shared" si="6"/>
        <v>5.5538966161457841E-5</v>
      </c>
      <c r="S25">
        <v>50</v>
      </c>
      <c r="T25">
        <v>46</v>
      </c>
      <c r="U25" s="2">
        <f>11.26*2</f>
        <v>22.52</v>
      </c>
      <c r="V25" s="1">
        <f>U25/(PI()*((S25/2)*(S25/2)-(T25/2)*(T25/2))*1000)</f>
        <v>7.4670194133947567E-5</v>
      </c>
    </row>
    <row r="26" spans="1:22" x14ac:dyDescent="0.3">
      <c r="B26">
        <v>30</v>
      </c>
      <c r="C26">
        <v>500</v>
      </c>
      <c r="D26" s="2">
        <v>16.059999999999999</v>
      </c>
      <c r="E26" s="42">
        <f t="shared" si="6"/>
        <v>4.5440504640992695E-5</v>
      </c>
      <c r="U26" s="2"/>
      <c r="V26" s="1"/>
    </row>
    <row r="27" spans="1:22" x14ac:dyDescent="0.3">
      <c r="B27">
        <v>35</v>
      </c>
      <c r="C27">
        <v>500</v>
      </c>
      <c r="D27" s="2">
        <v>16.059999999999999</v>
      </c>
      <c r="E27" s="42">
        <f t="shared" si="6"/>
        <v>3.338486055256606E-5</v>
      </c>
      <c r="U27" s="2"/>
      <c r="V27" s="1"/>
    </row>
    <row r="28" spans="1:22" x14ac:dyDescent="0.3">
      <c r="D28" t="s">
        <v>8</v>
      </c>
      <c r="E28" s="42">
        <f>AVERAGE(E21:E27)</f>
        <v>6.0986186998733781E-5</v>
      </c>
      <c r="U28" s="2"/>
      <c r="V28" s="1"/>
    </row>
    <row r="29" spans="1:22" x14ac:dyDescent="0.3">
      <c r="V29" s="1"/>
    </row>
    <row r="30" spans="1:22" x14ac:dyDescent="0.3">
      <c r="A30" s="20" t="s">
        <v>337</v>
      </c>
      <c r="G30" s="20" t="s">
        <v>336</v>
      </c>
      <c r="N30" s="20" t="s">
        <v>466</v>
      </c>
    </row>
    <row r="31" spans="1:22" x14ac:dyDescent="0.3">
      <c r="A31" t="s">
        <v>335</v>
      </c>
      <c r="B31" t="s">
        <v>304</v>
      </c>
      <c r="G31" t="s">
        <v>335</v>
      </c>
      <c r="H31" t="s">
        <v>304</v>
      </c>
      <c r="N31" t="s">
        <v>467</v>
      </c>
      <c r="O31" t="s">
        <v>304</v>
      </c>
    </row>
    <row r="32" spans="1:22" x14ac:dyDescent="0.3">
      <c r="B32" t="s">
        <v>305</v>
      </c>
      <c r="C32" t="s">
        <v>2</v>
      </c>
      <c r="D32" t="s">
        <v>88</v>
      </c>
      <c r="E32" t="s">
        <v>3</v>
      </c>
      <c r="H32" t="s">
        <v>305</v>
      </c>
      <c r="I32" t="s">
        <v>2</v>
      </c>
      <c r="J32" t="s">
        <v>88</v>
      </c>
      <c r="K32" t="s">
        <v>3</v>
      </c>
      <c r="O32" t="s">
        <v>305</v>
      </c>
      <c r="P32" t="s">
        <v>2</v>
      </c>
      <c r="Q32" t="s">
        <v>88</v>
      </c>
      <c r="R32" t="s">
        <v>539</v>
      </c>
    </row>
    <row r="33" spans="1:18" x14ac:dyDescent="0.3">
      <c r="B33">
        <v>10</v>
      </c>
      <c r="C33">
        <v>1000</v>
      </c>
      <c r="D33" s="2">
        <v>20.5</v>
      </c>
      <c r="E33" s="42">
        <f t="shared" ref="E33:E39" si="7">D33/(PI()*(B33/2)^2*C33)</f>
        <v>2.6101410667070835E-4</v>
      </c>
      <c r="H33">
        <v>10</v>
      </c>
      <c r="I33">
        <v>300</v>
      </c>
      <c r="J33" s="2">
        <v>9.41</v>
      </c>
      <c r="K33" s="42">
        <f t="shared" ref="K33:K36" si="8">J33/(PI()*(H33/2)^2*I33)</f>
        <v>3.9937280386526271E-4</v>
      </c>
      <c r="O33">
        <v>16</v>
      </c>
      <c r="P33">
        <v>1000</v>
      </c>
      <c r="Q33" s="2">
        <v>5.89</v>
      </c>
      <c r="R33" s="42">
        <f t="shared" ref="R33:R38" si="9">Q33/(PI()*(O33/2)^2*P33)</f>
        <v>2.9294456712851987E-5</v>
      </c>
    </row>
    <row r="34" spans="1:18" x14ac:dyDescent="0.3">
      <c r="B34">
        <v>16</v>
      </c>
      <c r="C34">
        <v>1000</v>
      </c>
      <c r="D34" s="2">
        <v>44.5</v>
      </c>
      <c r="E34" s="42">
        <f t="shared" si="7"/>
        <v>2.2132484273716698E-4</v>
      </c>
      <c r="H34">
        <v>16</v>
      </c>
      <c r="I34">
        <v>300</v>
      </c>
      <c r="J34" s="2">
        <v>15.77</v>
      </c>
      <c r="K34" s="42">
        <f t="shared" si="8"/>
        <v>2.6144515130824893E-4</v>
      </c>
      <c r="O34">
        <v>20</v>
      </c>
      <c r="P34">
        <v>1000</v>
      </c>
      <c r="Q34" s="2">
        <v>9.23</v>
      </c>
      <c r="R34" s="42">
        <f t="shared" si="9"/>
        <v>2.938000249476388E-5</v>
      </c>
    </row>
    <row r="35" spans="1:18" x14ac:dyDescent="0.3">
      <c r="B35">
        <v>20</v>
      </c>
      <c r="C35">
        <v>1000</v>
      </c>
      <c r="D35" s="2">
        <v>66.75</v>
      </c>
      <c r="E35" s="42">
        <f t="shared" si="7"/>
        <v>2.1247184902768027E-4</v>
      </c>
      <c r="H35">
        <v>20</v>
      </c>
      <c r="I35">
        <v>300</v>
      </c>
      <c r="J35" s="2">
        <v>23.4</v>
      </c>
      <c r="K35" s="42">
        <f t="shared" si="8"/>
        <v>2.4828171122335673E-4</v>
      </c>
      <c r="O35">
        <v>25</v>
      </c>
      <c r="P35">
        <v>1000</v>
      </c>
      <c r="Q35" s="2">
        <v>14.44</v>
      </c>
      <c r="R35" s="42">
        <f t="shared" si="9"/>
        <v>2.9416926441561197E-5</v>
      </c>
    </row>
    <row r="36" spans="1:18" x14ac:dyDescent="0.3">
      <c r="B36">
        <v>40</v>
      </c>
      <c r="C36">
        <v>1000</v>
      </c>
      <c r="D36" s="2">
        <v>251.5</v>
      </c>
      <c r="E36" s="42">
        <f t="shared" si="7"/>
        <v>2.0013734093805838E-4</v>
      </c>
      <c r="H36">
        <v>40</v>
      </c>
      <c r="I36">
        <v>300</v>
      </c>
      <c r="J36" s="2">
        <v>81.7</v>
      </c>
      <c r="K36" s="42">
        <f t="shared" si="8"/>
        <v>2.1671598084346415E-4</v>
      </c>
      <c r="O36">
        <v>40</v>
      </c>
      <c r="P36">
        <v>1000</v>
      </c>
      <c r="Q36" s="2">
        <v>34.869999999999997</v>
      </c>
      <c r="R36" s="42">
        <f t="shared" si="9"/>
        <v>2.7748664328071946E-5</v>
      </c>
    </row>
    <row r="37" spans="1:18" x14ac:dyDescent="0.3">
      <c r="B37">
        <v>50</v>
      </c>
      <c r="C37">
        <v>1000</v>
      </c>
      <c r="D37" s="2">
        <v>390</v>
      </c>
      <c r="E37" s="42">
        <f t="shared" si="7"/>
        <v>1.9862536897868538E-4</v>
      </c>
      <c r="J37" t="s">
        <v>8</v>
      </c>
      <c r="K37" s="42">
        <f>AVERAGE(K33:K36)</f>
        <v>2.8145391181008314E-4</v>
      </c>
      <c r="O37">
        <v>60</v>
      </c>
      <c r="P37">
        <v>1000</v>
      </c>
      <c r="Q37" s="2">
        <v>83.14</v>
      </c>
      <c r="R37" s="42">
        <f t="shared" si="9"/>
        <v>2.9404759930355956E-5</v>
      </c>
    </row>
    <row r="38" spans="1:18" x14ac:dyDescent="0.3">
      <c r="B38">
        <v>60</v>
      </c>
      <c r="C38">
        <v>1000</v>
      </c>
      <c r="D38" s="2">
        <v>560</v>
      </c>
      <c r="E38" s="42">
        <f t="shared" si="7"/>
        <v>1.9805948473658087E-4</v>
      </c>
      <c r="J38" s="2"/>
      <c r="K38" s="42"/>
      <c r="O38">
        <v>80</v>
      </c>
      <c r="P38">
        <v>1000</v>
      </c>
      <c r="Q38" s="2">
        <v>139.55000000000001</v>
      </c>
      <c r="R38" s="42">
        <f t="shared" si="9"/>
        <v>2.7762590385592491E-5</v>
      </c>
    </row>
    <row r="39" spans="1:18" x14ac:dyDescent="0.3">
      <c r="B39">
        <v>80</v>
      </c>
      <c r="C39">
        <v>1000</v>
      </c>
      <c r="D39" s="2">
        <v>992.5</v>
      </c>
      <c r="E39" s="42">
        <f t="shared" si="7"/>
        <v>1.9745160127338264E-4</v>
      </c>
      <c r="J39" s="2"/>
      <c r="K39" s="42"/>
      <c r="Q39" t="s">
        <v>8</v>
      </c>
      <c r="R39" s="42">
        <f>AVERAGE(R33:R38)</f>
        <v>2.8834566715532905E-5</v>
      </c>
    </row>
    <row r="40" spans="1:18" x14ac:dyDescent="0.3">
      <c r="D40" t="s">
        <v>8</v>
      </c>
      <c r="E40" s="42">
        <f>AVERAGE(E33:E39)</f>
        <v>2.1272637062318042E-4</v>
      </c>
      <c r="K40" s="42"/>
    </row>
    <row r="43" spans="1:18" x14ac:dyDescent="0.3">
      <c r="A43" s="20" t="s">
        <v>468</v>
      </c>
    </row>
    <row r="44" spans="1:18" x14ac:dyDescent="0.3">
      <c r="A44" t="s">
        <v>469</v>
      </c>
      <c r="B44" t="s">
        <v>470</v>
      </c>
    </row>
    <row r="45" spans="1:18" x14ac:dyDescent="0.3">
      <c r="A45" t="s">
        <v>4</v>
      </c>
      <c r="B45" t="s">
        <v>1</v>
      </c>
      <c r="C45" t="s">
        <v>2</v>
      </c>
      <c r="D45" t="s">
        <v>7</v>
      </c>
      <c r="E45" t="s">
        <v>3</v>
      </c>
    </row>
    <row r="46" spans="1:18" x14ac:dyDescent="0.3">
      <c r="A46">
        <v>1.5</v>
      </c>
      <c r="B46">
        <v>1000</v>
      </c>
      <c r="C46">
        <v>1000</v>
      </c>
      <c r="D46" s="2">
        <v>34.5</v>
      </c>
      <c r="E46" s="1">
        <f>D46/(A46*B46*C46)</f>
        <v>2.3E-5</v>
      </c>
    </row>
    <row r="48" spans="1:18" x14ac:dyDescent="0.3">
      <c r="A48" t="s">
        <v>471</v>
      </c>
      <c r="G48" t="s">
        <v>472</v>
      </c>
    </row>
    <row r="49" spans="1:10" x14ac:dyDescent="0.3">
      <c r="A49" t="s">
        <v>473</v>
      </c>
      <c r="B49" t="s">
        <v>88</v>
      </c>
      <c r="C49" t="s">
        <v>474</v>
      </c>
      <c r="D49" t="s">
        <v>540</v>
      </c>
      <c r="G49" t="s">
        <v>473</v>
      </c>
      <c r="H49" t="s">
        <v>475</v>
      </c>
      <c r="I49" t="s">
        <v>476</v>
      </c>
      <c r="J49" t="s">
        <v>3</v>
      </c>
    </row>
    <row r="50" spans="1:10" x14ac:dyDescent="0.3">
      <c r="A50" t="s">
        <v>477</v>
      </c>
      <c r="B50" s="2">
        <v>86.4</v>
      </c>
      <c r="C50">
        <f>60*25*3020</f>
        <v>4530000</v>
      </c>
      <c r="D50" s="1">
        <f>B50/C50</f>
        <v>1.9072847682119207E-5</v>
      </c>
      <c r="G50" t="s">
        <v>478</v>
      </c>
      <c r="H50" s="30">
        <v>1.1000000000000001</v>
      </c>
      <c r="I50" s="1">
        <f>7770/(POWER(1000,3))</f>
        <v>7.7700000000000001E-6</v>
      </c>
      <c r="J50" s="1">
        <f>I50*H50</f>
        <v>8.5470000000000013E-6</v>
      </c>
    </row>
    <row r="51" spans="1:10" x14ac:dyDescent="0.3">
      <c r="A51" t="s">
        <v>479</v>
      </c>
      <c r="B51" s="2">
        <v>60</v>
      </c>
      <c r="C51">
        <f>PI()*10*10*12000</f>
        <v>3769911.1843077517</v>
      </c>
      <c r="D51" s="1">
        <f t="shared" ref="D51:D60" si="10">B51/C51</f>
        <v>1.5915494309189534E-5</v>
      </c>
      <c r="G51" t="s">
        <v>480</v>
      </c>
      <c r="H51" s="30">
        <v>2.5</v>
      </c>
      <c r="I51" s="1">
        <f t="shared" ref="I51:I52" si="11">7770/(POWER(1000,3))</f>
        <v>7.7700000000000001E-6</v>
      </c>
      <c r="J51" s="1">
        <f t="shared" ref="J51:J53" si="12">I51*H51</f>
        <v>1.9425000000000001E-5</v>
      </c>
    </row>
    <row r="52" spans="1:10" x14ac:dyDescent="0.3">
      <c r="A52" t="s">
        <v>481</v>
      </c>
      <c r="B52" s="2">
        <v>28.32</v>
      </c>
      <c r="C52">
        <f>PI()*17.5*17.5*3000</f>
        <v>2886338.2504856223</v>
      </c>
      <c r="D52" s="1">
        <f t="shared" si="10"/>
        <v>9.8117398386121925E-6</v>
      </c>
      <c r="G52" t="s">
        <v>482</v>
      </c>
      <c r="H52" s="30">
        <v>2.5</v>
      </c>
      <c r="I52" s="1">
        <f t="shared" si="11"/>
        <v>7.7700000000000001E-6</v>
      </c>
      <c r="J52" s="1">
        <f t="shared" si="12"/>
        <v>1.9425000000000001E-5</v>
      </c>
    </row>
    <row r="53" spans="1:10" x14ac:dyDescent="0.3">
      <c r="A53" t="s">
        <v>483</v>
      </c>
      <c r="B53" s="2">
        <v>35.4</v>
      </c>
      <c r="C53">
        <f>80*15*3000</f>
        <v>3600000</v>
      </c>
      <c r="D53" s="1">
        <f t="shared" si="10"/>
        <v>9.8333333333333329E-6</v>
      </c>
      <c r="G53" t="s">
        <v>484</v>
      </c>
      <c r="H53" s="30">
        <v>18</v>
      </c>
      <c r="I53" s="1">
        <f>2700/(POWER(1000,3))</f>
        <v>2.7E-6</v>
      </c>
      <c r="J53" s="1">
        <f t="shared" si="12"/>
        <v>4.8600000000000002E-5</v>
      </c>
    </row>
    <row r="54" spans="1:10" x14ac:dyDescent="0.3">
      <c r="A54" t="s">
        <v>483</v>
      </c>
      <c r="B54" s="2">
        <v>81.599999999999994</v>
      </c>
      <c r="C54">
        <f>70*20*6000</f>
        <v>8400000</v>
      </c>
      <c r="D54" s="1">
        <f t="shared" si="10"/>
        <v>9.7142857142857135E-6</v>
      </c>
    </row>
    <row r="55" spans="1:10" x14ac:dyDescent="0.3">
      <c r="A55" t="s">
        <v>485</v>
      </c>
      <c r="B55" s="2">
        <v>8</v>
      </c>
      <c r="C55">
        <f>30*30*100</f>
        <v>90000</v>
      </c>
      <c r="D55" s="1">
        <f t="shared" si="10"/>
        <v>8.8888888888888893E-5</v>
      </c>
      <c r="I55" s="1"/>
    </row>
    <row r="56" spans="1:10" x14ac:dyDescent="0.3">
      <c r="A56" t="s">
        <v>485</v>
      </c>
      <c r="B56" s="2">
        <v>50</v>
      </c>
      <c r="C56">
        <f>140*50*285</f>
        <v>1995000</v>
      </c>
      <c r="D56" s="1">
        <f t="shared" si="10"/>
        <v>2.5062656641604011E-5</v>
      </c>
    </row>
    <row r="57" spans="1:10" x14ac:dyDescent="0.3">
      <c r="A57" t="s">
        <v>485</v>
      </c>
      <c r="B57" s="2">
        <v>46.2</v>
      </c>
      <c r="C57">
        <f>160*50*260</f>
        <v>2080000</v>
      </c>
      <c r="D57" s="1">
        <f t="shared" si="10"/>
        <v>2.2211538461538464E-5</v>
      </c>
    </row>
    <row r="58" spans="1:10" x14ac:dyDescent="0.3">
      <c r="A58" t="s">
        <v>486</v>
      </c>
      <c r="B58" s="2">
        <v>28</v>
      </c>
      <c r="C58">
        <f>PI()*65*65*103</f>
        <v>1367142.5830259381</v>
      </c>
      <c r="D58" s="1">
        <f t="shared" si="10"/>
        <v>2.0480672862977284E-5</v>
      </c>
    </row>
    <row r="59" spans="1:10" x14ac:dyDescent="0.3">
      <c r="A59" t="s">
        <v>486</v>
      </c>
      <c r="B59" s="2">
        <v>35.700000000000003</v>
      </c>
      <c r="C59">
        <f>PI()*65*65*113</f>
        <v>1499874.8726401068</v>
      </c>
      <c r="D59" s="1">
        <f t="shared" si="10"/>
        <v>2.380198551973887E-5</v>
      </c>
    </row>
    <row r="60" spans="1:10" x14ac:dyDescent="0.3">
      <c r="A60" t="s">
        <v>486</v>
      </c>
      <c r="B60" s="2">
        <v>13</v>
      </c>
      <c r="C60">
        <f>PI()*10*10*2000</f>
        <v>628318.5307179587</v>
      </c>
      <c r="D60" s="1">
        <f t="shared" si="10"/>
        <v>2.0690142601946392E-5</v>
      </c>
    </row>
    <row r="61" spans="1:10" x14ac:dyDescent="0.3">
      <c r="B61" s="2"/>
      <c r="C61" t="s">
        <v>541</v>
      </c>
      <c r="D61" s="1">
        <f>AVERAGE(D51,D50)</f>
        <v>1.7494170995654369E-5</v>
      </c>
    </row>
    <row r="62" spans="1:10" x14ac:dyDescent="0.3">
      <c r="C62" t="s">
        <v>8</v>
      </c>
      <c r="D62" s="1">
        <f>AVERAGE(D56:D60)</f>
        <v>2.2449399217561005E-5</v>
      </c>
    </row>
    <row r="64" spans="1:10" x14ac:dyDescent="0.3">
      <c r="A64" t="s">
        <v>542</v>
      </c>
    </row>
    <row r="65" spans="1:7" x14ac:dyDescent="0.3">
      <c r="A65" t="s">
        <v>4</v>
      </c>
      <c r="B65" t="s">
        <v>1</v>
      </c>
      <c r="C65" t="s">
        <v>2</v>
      </c>
      <c r="D65" t="s">
        <v>543</v>
      </c>
      <c r="E65" t="s">
        <v>7</v>
      </c>
      <c r="F65" t="s">
        <v>3</v>
      </c>
      <c r="G65" t="s">
        <v>227</v>
      </c>
    </row>
    <row r="66" spans="1:7" x14ac:dyDescent="0.3">
      <c r="A66">
        <v>80</v>
      </c>
      <c r="B66">
        <v>1000</v>
      </c>
      <c r="C66">
        <v>2000</v>
      </c>
      <c r="D66">
        <v>1284</v>
      </c>
      <c r="E66" s="2">
        <f>D66*C66*B66/1000000</f>
        <v>2568</v>
      </c>
      <c r="F66" s="1">
        <f>E66/(A66*B66*C66)</f>
        <v>1.605E-5</v>
      </c>
      <c r="G66" s="20" t="s">
        <v>544</v>
      </c>
    </row>
    <row r="67" spans="1:7" x14ac:dyDescent="0.3">
      <c r="A67">
        <v>50</v>
      </c>
      <c r="B67">
        <v>1000</v>
      </c>
      <c r="C67">
        <v>2000</v>
      </c>
      <c r="D67">
        <v>990</v>
      </c>
      <c r="E67" s="2">
        <f>D67*C67*B67/1000000</f>
        <v>1980</v>
      </c>
      <c r="F67" s="1">
        <f>E67/(A67*B67*C67)</f>
        <v>1.98E-5</v>
      </c>
    </row>
    <row r="68" spans="1:7" x14ac:dyDescent="0.3">
      <c r="A68">
        <v>30</v>
      </c>
      <c r="B68">
        <v>1000</v>
      </c>
      <c r="C68">
        <v>2000</v>
      </c>
      <c r="D68">
        <v>594</v>
      </c>
      <c r="E68" s="2">
        <f>D68*C68*B68/1000000</f>
        <v>1188</v>
      </c>
      <c r="F68" s="1">
        <f>E68/(A68*B68*C68)</f>
        <v>1.98E-5</v>
      </c>
    </row>
    <row r="69" spans="1:7" x14ac:dyDescent="0.3">
      <c r="A69">
        <v>40</v>
      </c>
      <c r="B69">
        <v>1000</v>
      </c>
      <c r="C69">
        <v>2000</v>
      </c>
      <c r="D69">
        <v>792</v>
      </c>
      <c r="E69" s="2">
        <f>D69*C69*B69/1000000</f>
        <v>1584</v>
      </c>
      <c r="F69" s="1">
        <f>E69/(A69*B69*C69)</f>
        <v>1.98E-5</v>
      </c>
    </row>
  </sheetData>
  <hyperlinks>
    <hyperlink ref="A1" r:id="rId1"/>
    <hyperlink ref="S1" r:id="rId2"/>
    <hyperlink ref="G30" r:id="rId3"/>
    <hyperlink ref="N30" r:id="rId4" location="/alliage-25cd4"/>
    <hyperlink ref="A43" r:id="rId5"/>
    <hyperlink ref="G66" r:id="rId6"/>
    <hyperlink ref="A30" r:id="rId7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</sheetPr>
  <dimension ref="A1:K34"/>
  <sheetViews>
    <sheetView topLeftCell="A15" workbookViewId="0">
      <selection activeCell="C29" sqref="C29"/>
    </sheetView>
  </sheetViews>
  <sheetFormatPr baseColWidth="10" defaultRowHeight="14.4" x14ac:dyDescent="0.3"/>
  <cols>
    <col min="1" max="1" width="43.6640625" bestFit="1" customWidth="1"/>
    <col min="2" max="2" width="11.88671875" bestFit="1" customWidth="1"/>
    <col min="3" max="3" width="21.5546875" bestFit="1" customWidth="1"/>
    <col min="4" max="4" width="48.6640625" bestFit="1" customWidth="1"/>
    <col min="5" max="5" width="19" bestFit="1" customWidth="1"/>
    <col min="6" max="6" width="25.88671875" bestFit="1" customWidth="1"/>
    <col min="7" max="7" width="27.88671875" bestFit="1" customWidth="1"/>
    <col min="8" max="8" width="19.44140625" bestFit="1" customWidth="1"/>
    <col min="9" max="9" width="10.109375" bestFit="1" customWidth="1"/>
    <col min="10" max="10" width="12.5546875" bestFit="1" customWidth="1"/>
    <col min="11" max="11" width="9" bestFit="1" customWidth="1"/>
    <col min="13" max="13" width="18" bestFit="1" customWidth="1"/>
    <col min="14" max="14" width="19.44140625" bestFit="1" customWidth="1"/>
    <col min="16" max="16" width="12.5546875" bestFit="1" customWidth="1"/>
  </cols>
  <sheetData>
    <row r="1" spans="1:8" x14ac:dyDescent="0.3">
      <c r="A1" t="s">
        <v>159</v>
      </c>
      <c r="B1" s="20" t="s">
        <v>116</v>
      </c>
    </row>
    <row r="2" spans="1:8" x14ac:dyDescent="0.3">
      <c r="A2" t="s">
        <v>160</v>
      </c>
      <c r="B2" s="20" t="s">
        <v>117</v>
      </c>
    </row>
    <row r="4" spans="1:8" x14ac:dyDescent="0.3">
      <c r="B4" t="s">
        <v>162</v>
      </c>
      <c r="C4" t="s">
        <v>163</v>
      </c>
      <c r="D4" t="s">
        <v>287</v>
      </c>
      <c r="F4" t="s">
        <v>283</v>
      </c>
      <c r="G4" t="s">
        <v>511</v>
      </c>
      <c r="H4" t="s">
        <v>282</v>
      </c>
    </row>
    <row r="5" spans="1:8" x14ac:dyDescent="0.3">
      <c r="A5" t="s">
        <v>161</v>
      </c>
      <c r="B5" s="2">
        <v>1592</v>
      </c>
      <c r="C5" s="2">
        <v>21376</v>
      </c>
      <c r="D5" s="2">
        <f>C5*0.9</f>
        <v>19238.400000000001</v>
      </c>
      <c r="F5">
        <v>4</v>
      </c>
      <c r="G5" s="22">
        <f>C5*0.05*F5</f>
        <v>4275.2</v>
      </c>
      <c r="H5" s="22">
        <f>C5*0.9/$B$30</f>
        <v>12.68856351404828</v>
      </c>
    </row>
    <row r="6" spans="1:8" x14ac:dyDescent="0.3">
      <c r="A6" t="s">
        <v>253</v>
      </c>
      <c r="B6" s="2">
        <v>2438</v>
      </c>
      <c r="C6" s="2">
        <v>39809</v>
      </c>
      <c r="D6" s="2">
        <f t="shared" ref="D6:D8" si="0">C6*0.9</f>
        <v>35828.1</v>
      </c>
      <c r="F6">
        <v>1</v>
      </c>
      <c r="G6" s="22">
        <f t="shared" ref="G6:G8" si="1">C6*0.05*F6</f>
        <v>1990.45</v>
      </c>
      <c r="H6" s="22">
        <f>C6*0.9/$B$30</f>
        <v>23.630193905817173</v>
      </c>
    </row>
    <row r="7" spans="1:8" x14ac:dyDescent="0.3">
      <c r="A7" t="s">
        <v>508</v>
      </c>
      <c r="B7" s="2">
        <v>3077</v>
      </c>
      <c r="C7" s="2">
        <v>50159</v>
      </c>
      <c r="D7" s="2">
        <f t="shared" si="0"/>
        <v>45143.1</v>
      </c>
      <c r="F7">
        <v>1</v>
      </c>
      <c r="G7" s="22">
        <f t="shared" si="1"/>
        <v>2507.9500000000003</v>
      </c>
      <c r="H7" s="22">
        <f>C7*0.9/$B$30</f>
        <v>29.773842500989314</v>
      </c>
    </row>
    <row r="8" spans="1:8" x14ac:dyDescent="0.3">
      <c r="A8" t="s">
        <v>254</v>
      </c>
      <c r="B8" s="2">
        <v>4104</v>
      </c>
      <c r="C8" s="2">
        <v>69843</v>
      </c>
      <c r="D8" s="2">
        <f t="shared" si="0"/>
        <v>62858.700000000004</v>
      </c>
      <c r="F8">
        <v>0.6</v>
      </c>
      <c r="G8" s="22">
        <f t="shared" si="1"/>
        <v>2095.29</v>
      </c>
      <c r="H8" s="22">
        <f>C8*0.9/$B$30</f>
        <v>41.458053027305105</v>
      </c>
    </row>
    <row r="9" spans="1:8" x14ac:dyDescent="0.3">
      <c r="E9" t="s">
        <v>273</v>
      </c>
      <c r="F9">
        <f>SUM(F8+F6+F5)</f>
        <v>5.6</v>
      </c>
      <c r="G9" s="2">
        <f>G8+G6+G5+G7</f>
        <v>10868.89</v>
      </c>
    </row>
    <row r="11" spans="1:8" x14ac:dyDescent="0.3">
      <c r="A11" t="s">
        <v>165</v>
      </c>
      <c r="B11" s="20" t="s">
        <v>164</v>
      </c>
    </row>
    <row r="12" spans="1:8" x14ac:dyDescent="0.3">
      <c r="A12" t="s">
        <v>166</v>
      </c>
      <c r="B12">
        <v>365</v>
      </c>
    </row>
    <row r="13" spans="1:8" x14ac:dyDescent="0.3">
      <c r="A13" t="s">
        <v>167</v>
      </c>
      <c r="B13">
        <v>104</v>
      </c>
    </row>
    <row r="14" spans="1:8" x14ac:dyDescent="0.3">
      <c r="A14" t="s">
        <v>168</v>
      </c>
      <c r="B14">
        <v>8</v>
      </c>
    </row>
    <row r="15" spans="1:8" x14ac:dyDescent="0.3">
      <c r="A15" t="s">
        <v>169</v>
      </c>
      <c r="B15">
        <v>25</v>
      </c>
    </row>
    <row r="16" spans="1:8" x14ac:dyDescent="0.3">
      <c r="A16" t="s">
        <v>170</v>
      </c>
      <c r="B16">
        <f>B12-B13-B14-B15</f>
        <v>228</v>
      </c>
    </row>
    <row r="17" spans="1:11" x14ac:dyDescent="0.3">
      <c r="A17" t="s">
        <v>171</v>
      </c>
      <c r="B17" s="27">
        <f>B16/5</f>
        <v>45.6</v>
      </c>
    </row>
    <row r="22" spans="1:11" x14ac:dyDescent="0.3">
      <c r="B22" t="s">
        <v>274</v>
      </c>
      <c r="C22" t="s">
        <v>275</v>
      </c>
      <c r="D22" t="s">
        <v>426</v>
      </c>
      <c r="E22" t="s">
        <v>427</v>
      </c>
      <c r="F22" t="s">
        <v>425</v>
      </c>
      <c r="G22" t="s">
        <v>276</v>
      </c>
      <c r="H22" t="s">
        <v>277</v>
      </c>
      <c r="I22" t="s">
        <v>34</v>
      </c>
      <c r="J22" t="s">
        <v>22</v>
      </c>
      <c r="K22" t="s">
        <v>279</v>
      </c>
    </row>
    <row r="23" spans="1:11" x14ac:dyDescent="0.3">
      <c r="A23" t="s">
        <v>161</v>
      </c>
      <c r="B23">
        <v>0.85</v>
      </c>
      <c r="C23">
        <v>0.85</v>
      </c>
      <c r="D23">
        <v>0.43</v>
      </c>
      <c r="E23">
        <v>0.85</v>
      </c>
      <c r="F23">
        <v>0.47</v>
      </c>
      <c r="H23">
        <v>0.2</v>
      </c>
      <c r="I23">
        <v>0.23</v>
      </c>
      <c r="J23">
        <v>0.12</v>
      </c>
      <c r="K23">
        <f>SUM(B23:J23)</f>
        <v>4</v>
      </c>
    </row>
    <row r="24" spans="1:11" x14ac:dyDescent="0.3">
      <c r="A24" t="s">
        <v>253</v>
      </c>
      <c r="H24">
        <v>0.5</v>
      </c>
      <c r="I24">
        <v>0.5</v>
      </c>
      <c r="K24">
        <f t="shared" ref="K24:K27" si="2">SUM(B24:J24)</f>
        <v>1</v>
      </c>
    </row>
    <row r="25" spans="1:11" x14ac:dyDescent="0.3">
      <c r="A25" t="s">
        <v>507</v>
      </c>
      <c r="G25">
        <v>0.85</v>
      </c>
      <c r="I25">
        <v>0.05</v>
      </c>
      <c r="J25">
        <v>0.1</v>
      </c>
      <c r="K25">
        <f t="shared" si="2"/>
        <v>1</v>
      </c>
    </row>
    <row r="26" spans="1:11" x14ac:dyDescent="0.3">
      <c r="A26" t="s">
        <v>254</v>
      </c>
      <c r="H26">
        <v>0.35</v>
      </c>
      <c r="I26">
        <v>0.15</v>
      </c>
      <c r="J26">
        <v>0.1</v>
      </c>
      <c r="K26">
        <f t="shared" si="2"/>
        <v>0.6</v>
      </c>
    </row>
    <row r="27" spans="1:11" x14ac:dyDescent="0.3">
      <c r="A27" t="s">
        <v>280</v>
      </c>
      <c r="B27">
        <f t="shared" ref="B27:J27" si="3">$B$30*SUM(B23:B26)</f>
        <v>1288.77</v>
      </c>
      <c r="C27">
        <f t="shared" si="3"/>
        <v>1288.77</v>
      </c>
      <c r="D27">
        <f t="shared" si="3"/>
        <v>651.96600000000001</v>
      </c>
      <c r="E27">
        <f t="shared" si="3"/>
        <v>1288.77</v>
      </c>
      <c r="F27">
        <f t="shared" si="3"/>
        <v>712.61400000000003</v>
      </c>
      <c r="G27">
        <f t="shared" si="3"/>
        <v>1288.77</v>
      </c>
      <c r="H27">
        <f t="shared" si="3"/>
        <v>1592.0099999999998</v>
      </c>
      <c r="I27">
        <f t="shared" si="3"/>
        <v>1410.066</v>
      </c>
      <c r="J27">
        <f t="shared" si="3"/>
        <v>485.18400000000003</v>
      </c>
      <c r="K27">
        <f t="shared" si="2"/>
        <v>10006.92</v>
      </c>
    </row>
    <row r="28" spans="1:11" x14ac:dyDescent="0.3">
      <c r="A28" t="s">
        <v>281</v>
      </c>
      <c r="B28">
        <f>Summary!$C$10*Summary!$C$9*Summary!$C$8</f>
        <v>1276.8000000000002</v>
      </c>
      <c r="C28">
        <f>Summary!$C$10*Summary!$C$9*Summary!$C$8</f>
        <v>1276.8000000000002</v>
      </c>
      <c r="D28">
        <f>Summary!$C$10*Summary!$C$9*Summary!$C$8*0.5</f>
        <v>638.40000000000009</v>
      </c>
      <c r="E28">
        <f>Summary!$C$10*Summary!$C$9*Summary!$C$8</f>
        <v>1276.8000000000002</v>
      </c>
      <c r="F28">
        <f>0.44*Summary!$C$9*Summary!$C$8</f>
        <v>702.24</v>
      </c>
      <c r="G28">
        <f>Summary!$C$10*Summary!$C$9*Summary!$C$8</f>
        <v>1276.8000000000002</v>
      </c>
      <c r="H28">
        <f>0.5*B28*2+0.5*D28</f>
        <v>1596.0000000000002</v>
      </c>
      <c r="I28">
        <f>2*0.4*B28+0.3*B28</f>
        <v>1404.4800000000002</v>
      </c>
      <c r="J28">
        <f>0.06*Summary!C8*Summary!C9*5</f>
        <v>478.8</v>
      </c>
      <c r="K28">
        <f>SUM(B28:J28)</f>
        <v>9927.1200000000008</v>
      </c>
    </row>
    <row r="30" spans="1:11" x14ac:dyDescent="0.3">
      <c r="A30" t="s">
        <v>510</v>
      </c>
      <c r="B30">
        <f>Summary!$C$11*Summary!$C$9*Summary!$C$8</f>
        <v>1516.2</v>
      </c>
    </row>
    <row r="32" spans="1:11" x14ac:dyDescent="0.3">
      <c r="A32" t="s">
        <v>286</v>
      </c>
      <c r="B32" s="22">
        <f>SUMPRODUCT(D5:D8*J23:J26)</f>
        <v>13108.788</v>
      </c>
    </row>
    <row r="33" spans="2:2" x14ac:dyDescent="0.3">
      <c r="B33" s="22"/>
    </row>
    <row r="34" spans="2:2" x14ac:dyDescent="0.3">
      <c r="B34" s="22"/>
    </row>
  </sheetData>
  <hyperlinks>
    <hyperlink ref="B1" r:id="rId1"/>
    <hyperlink ref="B2" r:id="rId2"/>
    <hyperlink ref="B11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D10"/>
  <sheetViews>
    <sheetView workbookViewId="0">
      <selection activeCell="A25" sqref="A25"/>
    </sheetView>
  </sheetViews>
  <sheetFormatPr baseColWidth="10" defaultRowHeight="14.4" x14ac:dyDescent="0.3"/>
  <cols>
    <col min="1" max="1" width="49.88671875" bestFit="1" customWidth="1"/>
  </cols>
  <sheetData>
    <row r="1" spans="1:4" x14ac:dyDescent="0.3">
      <c r="A1" t="s">
        <v>19</v>
      </c>
      <c r="B1" s="20" t="s">
        <v>172</v>
      </c>
    </row>
    <row r="2" spans="1:4" x14ac:dyDescent="0.3">
      <c r="B2" t="s">
        <v>296</v>
      </c>
    </row>
    <row r="3" spans="1:4" x14ac:dyDescent="0.3">
      <c r="B3" t="s">
        <v>297</v>
      </c>
    </row>
    <row r="4" spans="1:4" x14ac:dyDescent="0.3">
      <c r="A4" t="s">
        <v>292</v>
      </c>
      <c r="B4">
        <v>38.64</v>
      </c>
    </row>
    <row r="5" spans="1:4" x14ac:dyDescent="0.3">
      <c r="A5" t="s">
        <v>293</v>
      </c>
      <c r="B5">
        <f>(24*2 + 7.5)*0.8+16+14</f>
        <v>74.400000000000006</v>
      </c>
    </row>
    <row r="6" spans="1:4" x14ac:dyDescent="0.3">
      <c r="A6" t="s">
        <v>292</v>
      </c>
      <c r="B6" s="2">
        <f>B5*B4</f>
        <v>2874.8160000000003</v>
      </c>
    </row>
    <row r="7" spans="1:4" x14ac:dyDescent="0.3">
      <c r="A7" t="s">
        <v>173</v>
      </c>
      <c r="B7" s="28">
        <v>7.8299999999999995E-2</v>
      </c>
    </row>
    <row r="9" spans="1:4" x14ac:dyDescent="0.3">
      <c r="B9" t="s">
        <v>200</v>
      </c>
      <c r="C9" t="s">
        <v>199</v>
      </c>
    </row>
    <row r="10" spans="1:4" x14ac:dyDescent="0.3">
      <c r="A10" t="s">
        <v>449</v>
      </c>
      <c r="B10" s="2">
        <v>2.77</v>
      </c>
      <c r="C10" s="2">
        <f>B10*(1-Summary!C17)</f>
        <v>2.2160000000000002</v>
      </c>
      <c r="D10" s="20" t="s">
        <v>448</v>
      </c>
    </row>
  </sheetData>
  <hyperlinks>
    <hyperlink ref="B1" r:id="rId1"/>
    <hyperlink ref="D10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F25"/>
  <sheetViews>
    <sheetView workbookViewId="0">
      <selection activeCell="B26" sqref="B26"/>
    </sheetView>
  </sheetViews>
  <sheetFormatPr baseColWidth="10" defaultRowHeight="14.4" x14ac:dyDescent="0.3"/>
  <cols>
    <col min="1" max="1" width="28.33203125" bestFit="1" customWidth="1"/>
    <col min="5" max="5" width="11.88671875" bestFit="1" customWidth="1"/>
  </cols>
  <sheetData>
    <row r="1" spans="1:6" x14ac:dyDescent="0.3">
      <c r="A1" t="s">
        <v>26</v>
      </c>
      <c r="B1" t="s">
        <v>214</v>
      </c>
      <c r="C1" t="s">
        <v>215</v>
      </c>
      <c r="D1" t="s">
        <v>216</v>
      </c>
      <c r="E1" t="s">
        <v>217</v>
      </c>
      <c r="F1" t="s">
        <v>227</v>
      </c>
    </row>
    <row r="2" spans="1:6" x14ac:dyDescent="0.3">
      <c r="A2" t="s">
        <v>132</v>
      </c>
      <c r="B2" t="s">
        <v>128</v>
      </c>
      <c r="D2" s="25">
        <v>149</v>
      </c>
      <c r="E2" s="23">
        <f>D2*(1-Summary!$C$17)</f>
        <v>119.2</v>
      </c>
      <c r="F2" s="20" t="s">
        <v>127</v>
      </c>
    </row>
    <row r="3" spans="1:6" x14ac:dyDescent="0.3">
      <c r="A3" t="s">
        <v>130</v>
      </c>
      <c r="B3">
        <v>0.01</v>
      </c>
      <c r="D3" s="25">
        <v>129</v>
      </c>
      <c r="E3" s="23">
        <f>D3*(1-Summary!$C$17)</f>
        <v>103.2</v>
      </c>
      <c r="F3" t="s">
        <v>129</v>
      </c>
    </row>
    <row r="4" spans="1:6" x14ac:dyDescent="0.3">
      <c r="A4" t="s">
        <v>36</v>
      </c>
      <c r="B4">
        <v>0.01</v>
      </c>
      <c r="D4" s="25">
        <v>60</v>
      </c>
      <c r="E4" s="23">
        <f>D4*(1-Summary!$C$17)</f>
        <v>48</v>
      </c>
      <c r="F4" t="s">
        <v>131</v>
      </c>
    </row>
    <row r="5" spans="1:6" x14ac:dyDescent="0.3">
      <c r="E5" s="23"/>
    </row>
    <row r="6" spans="1:6" x14ac:dyDescent="0.3">
      <c r="A6" t="s">
        <v>134</v>
      </c>
      <c r="D6" s="25">
        <v>392</v>
      </c>
      <c r="E6" s="23">
        <f>D6*(1-Summary!$C$17)</f>
        <v>313.60000000000002</v>
      </c>
      <c r="F6" t="s">
        <v>133</v>
      </c>
    </row>
    <row r="7" spans="1:6" x14ac:dyDescent="0.3">
      <c r="A7" t="s">
        <v>138</v>
      </c>
      <c r="D7" s="25">
        <v>167</v>
      </c>
      <c r="E7" s="23">
        <f>D7*(1-Summary!$C$17)</f>
        <v>133.6</v>
      </c>
      <c r="F7" t="s">
        <v>135</v>
      </c>
    </row>
    <row r="8" spans="1:6" x14ac:dyDescent="0.3">
      <c r="A8" t="s">
        <v>137</v>
      </c>
      <c r="D8" s="25">
        <v>94</v>
      </c>
      <c r="E8" s="23">
        <f>D8*(1-Summary!$C$17)</f>
        <v>75.2</v>
      </c>
      <c r="F8" t="s">
        <v>136</v>
      </c>
    </row>
    <row r="9" spans="1:6" x14ac:dyDescent="0.3">
      <c r="E9" s="23"/>
    </row>
    <row r="10" spans="1:6" x14ac:dyDescent="0.3">
      <c r="A10" t="s">
        <v>139</v>
      </c>
      <c r="D10" s="25">
        <v>282</v>
      </c>
      <c r="E10" s="23">
        <f>D10*(1-Summary!$C$17)</f>
        <v>225.60000000000002</v>
      </c>
      <c r="F10" t="s">
        <v>140</v>
      </c>
    </row>
    <row r="11" spans="1:6" x14ac:dyDescent="0.3">
      <c r="A11" t="s">
        <v>142</v>
      </c>
      <c r="D11" s="25">
        <v>408</v>
      </c>
      <c r="E11" s="23">
        <f>D11*(1-Summary!$C$17)</f>
        <v>326.40000000000003</v>
      </c>
    </row>
    <row r="12" spans="1:6" x14ac:dyDescent="0.3">
      <c r="A12" t="s">
        <v>143</v>
      </c>
      <c r="D12" s="25">
        <v>3322</v>
      </c>
      <c r="E12" s="23">
        <f>D12*(1-Summary!$C$17)</f>
        <v>2657.6000000000004</v>
      </c>
      <c r="F12" t="s">
        <v>141</v>
      </c>
    </row>
    <row r="13" spans="1:6" x14ac:dyDescent="0.3">
      <c r="E13" s="23"/>
    </row>
    <row r="14" spans="1:6" x14ac:dyDescent="0.3">
      <c r="A14" t="s">
        <v>144</v>
      </c>
      <c r="B14" t="s">
        <v>145</v>
      </c>
      <c r="D14" s="25">
        <v>1390</v>
      </c>
      <c r="E14" s="23">
        <f>D14*(1-Summary!$C$17)</f>
        <v>1112</v>
      </c>
      <c r="F14" t="s">
        <v>146</v>
      </c>
    </row>
    <row r="15" spans="1:6" x14ac:dyDescent="0.3">
      <c r="B15" t="s">
        <v>148</v>
      </c>
      <c r="D15" s="25">
        <v>1202</v>
      </c>
      <c r="E15" s="23">
        <f>D15*(1-Summary!$C$17)</f>
        <v>961.6</v>
      </c>
      <c r="F15" t="s">
        <v>147</v>
      </c>
    </row>
    <row r="16" spans="1:6" x14ac:dyDescent="0.3">
      <c r="B16" t="s">
        <v>150</v>
      </c>
      <c r="D16" s="25">
        <v>146</v>
      </c>
      <c r="E16" s="23">
        <f>D16*(1-Summary!$C$17)</f>
        <v>116.80000000000001</v>
      </c>
      <c r="F16" t="s">
        <v>149</v>
      </c>
    </row>
    <row r="17" spans="1:6" x14ac:dyDescent="0.3">
      <c r="B17" t="s">
        <v>152</v>
      </c>
      <c r="D17" s="25">
        <v>162</v>
      </c>
      <c r="E17" s="23">
        <f>D17*(1-Summary!$C$17)</f>
        <v>129.6</v>
      </c>
      <c r="F17" t="s">
        <v>151</v>
      </c>
    </row>
    <row r="18" spans="1:6" x14ac:dyDescent="0.3">
      <c r="A18" t="s">
        <v>35</v>
      </c>
      <c r="B18" t="s">
        <v>154</v>
      </c>
      <c r="D18" s="25">
        <v>1623</v>
      </c>
      <c r="E18" s="23">
        <f>D18*(1-Summary!$C$17)</f>
        <v>1298.4000000000001</v>
      </c>
      <c r="F18" s="20" t="s">
        <v>153</v>
      </c>
    </row>
    <row r="19" spans="1:6" x14ac:dyDescent="0.3">
      <c r="B19" s="24" t="s">
        <v>218</v>
      </c>
      <c r="D19" s="25">
        <v>675</v>
      </c>
      <c r="E19" s="23">
        <f>D19*(1-Summary!$C$17)</f>
        <v>540</v>
      </c>
      <c r="F19" t="s">
        <v>219</v>
      </c>
    </row>
    <row r="20" spans="1:6" x14ac:dyDescent="0.3">
      <c r="B20" s="24"/>
      <c r="E20" s="23"/>
    </row>
    <row r="21" spans="1:6" x14ac:dyDescent="0.3">
      <c r="A21" t="s">
        <v>155</v>
      </c>
      <c r="B21" t="s">
        <v>157</v>
      </c>
      <c r="C21" s="29">
        <v>348</v>
      </c>
      <c r="D21" s="30">
        <f>Metrology!C21/(Summary!C16)</f>
        <v>308.06274565348252</v>
      </c>
      <c r="E21" s="23">
        <f>D21*(1-Summary!$C$17)</f>
        <v>246.45019652278603</v>
      </c>
      <c r="F21" s="20" t="s">
        <v>156</v>
      </c>
    </row>
    <row r="23" spans="1:6" x14ac:dyDescent="0.3">
      <c r="A23" t="s">
        <v>258</v>
      </c>
      <c r="B23" t="s">
        <v>259</v>
      </c>
      <c r="E23" s="2">
        <v>48334.81</v>
      </c>
      <c r="F23" t="s">
        <v>257</v>
      </c>
    </row>
    <row r="25" spans="1:6" x14ac:dyDescent="0.3">
      <c r="A25" t="s">
        <v>261</v>
      </c>
      <c r="B25" t="s">
        <v>262</v>
      </c>
      <c r="E25" s="2">
        <v>5390</v>
      </c>
      <c r="F25" t="s">
        <v>260</v>
      </c>
    </row>
  </sheetData>
  <hyperlinks>
    <hyperlink ref="F2" r:id="rId1"/>
    <hyperlink ref="F21" r:id="rId2"/>
    <hyperlink ref="F18" r:id="rId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E33"/>
  <sheetViews>
    <sheetView workbookViewId="0">
      <selection activeCell="C37" sqref="C37"/>
    </sheetView>
  </sheetViews>
  <sheetFormatPr baseColWidth="10" defaultRowHeight="14.4" x14ac:dyDescent="0.3"/>
  <cols>
    <col min="1" max="1" width="46.33203125" bestFit="1" customWidth="1"/>
    <col min="2" max="2" width="17.44140625" bestFit="1" customWidth="1"/>
    <col min="3" max="3" width="23.6640625" bestFit="1" customWidth="1"/>
    <col min="4" max="4" width="23.6640625" customWidth="1"/>
  </cols>
  <sheetData>
    <row r="1" spans="1:5" x14ac:dyDescent="0.3">
      <c r="B1" t="s">
        <v>201</v>
      </c>
      <c r="C1" t="s">
        <v>200</v>
      </c>
      <c r="D1" t="s">
        <v>199</v>
      </c>
    </row>
    <row r="2" spans="1:5" x14ac:dyDescent="0.3">
      <c r="A2" t="s">
        <v>104</v>
      </c>
      <c r="B2" t="s">
        <v>202</v>
      </c>
      <c r="C2" s="2">
        <v>498</v>
      </c>
      <c r="D2" s="2">
        <f>C2*(1-Summary!$C$17)</f>
        <v>398.40000000000003</v>
      </c>
      <c r="E2" t="s">
        <v>105</v>
      </c>
    </row>
    <row r="3" spans="1:5" x14ac:dyDescent="0.3">
      <c r="A3" t="s">
        <v>106</v>
      </c>
      <c r="B3" t="s">
        <v>203</v>
      </c>
      <c r="C3" s="2"/>
      <c r="D3" s="2">
        <v>8.8000000000000007</v>
      </c>
      <c r="E3" t="s">
        <v>196</v>
      </c>
    </row>
    <row r="4" spans="1:5" x14ac:dyDescent="0.3">
      <c r="C4" s="2"/>
      <c r="D4" s="2"/>
    </row>
    <row r="5" spans="1:5" x14ac:dyDescent="0.3">
      <c r="A5" t="s">
        <v>176</v>
      </c>
      <c r="C5" s="2">
        <v>241.2</v>
      </c>
      <c r="D5" s="2">
        <f>C5*(1-Summary!$C$17)</f>
        <v>192.96</v>
      </c>
      <c r="E5" t="s">
        <v>177</v>
      </c>
    </row>
    <row r="6" spans="1:5" x14ac:dyDescent="0.3">
      <c r="A6" t="s">
        <v>182</v>
      </c>
      <c r="C6" s="2">
        <v>50</v>
      </c>
      <c r="D6" s="2">
        <f>C6*(1-Summary!$C$17)</f>
        <v>40</v>
      </c>
      <c r="E6" t="s">
        <v>183</v>
      </c>
    </row>
    <row r="7" spans="1:5" x14ac:dyDescent="0.3">
      <c r="A7" t="s">
        <v>185</v>
      </c>
      <c r="C7" s="2">
        <v>137.99</v>
      </c>
      <c r="D7" s="2">
        <f>C7*(1-Summary!$C$17)</f>
        <v>110.39200000000001</v>
      </c>
      <c r="E7" t="s">
        <v>184</v>
      </c>
    </row>
    <row r="8" spans="1:5" x14ac:dyDescent="0.3">
      <c r="A8" t="s">
        <v>207</v>
      </c>
      <c r="C8" s="2"/>
      <c r="D8" s="2">
        <v>23.6</v>
      </c>
      <c r="E8" t="s">
        <v>208</v>
      </c>
    </row>
    <row r="9" spans="1:5" x14ac:dyDescent="0.3">
      <c r="A9" t="s">
        <v>209</v>
      </c>
      <c r="C9" s="2"/>
      <c r="D9" s="2">
        <v>39.950000000000003</v>
      </c>
      <c r="E9" t="s">
        <v>210</v>
      </c>
    </row>
    <row r="10" spans="1:5" x14ac:dyDescent="0.3">
      <c r="C10" s="2"/>
      <c r="D10" s="2"/>
    </row>
    <row r="11" spans="1:5" x14ac:dyDescent="0.3">
      <c r="A11" t="s">
        <v>186</v>
      </c>
      <c r="C11" s="2">
        <v>2097.6</v>
      </c>
      <c r="D11" s="2">
        <f>C11*(1-Summary!$C$17)</f>
        <v>1678.08</v>
      </c>
      <c r="E11" t="s">
        <v>187</v>
      </c>
    </row>
    <row r="12" spans="1:5" x14ac:dyDescent="0.3">
      <c r="A12" t="s">
        <v>179</v>
      </c>
      <c r="C12" s="2">
        <v>2150.1</v>
      </c>
      <c r="D12" s="2">
        <f>C12*(1-Summary!$C$17)</f>
        <v>1720.08</v>
      </c>
      <c r="E12" t="s">
        <v>178</v>
      </c>
    </row>
    <row r="13" spans="1:5" x14ac:dyDescent="0.3">
      <c r="A13" t="s">
        <v>194</v>
      </c>
      <c r="C13" s="2">
        <v>620.4</v>
      </c>
      <c r="D13" s="2">
        <f>C13*(1-Summary!$C$17)</f>
        <v>496.32</v>
      </c>
      <c r="E13" t="s">
        <v>195</v>
      </c>
    </row>
    <row r="14" spans="1:5" x14ac:dyDescent="0.3">
      <c r="C14" s="2"/>
      <c r="D14" s="2"/>
    </row>
    <row r="15" spans="1:5" x14ac:dyDescent="0.3">
      <c r="A15" t="s">
        <v>181</v>
      </c>
      <c r="C15" s="2">
        <v>183.6</v>
      </c>
      <c r="D15" s="2">
        <f>C15*(1-Summary!$C$17)</f>
        <v>146.88</v>
      </c>
      <c r="E15" t="s">
        <v>180</v>
      </c>
    </row>
    <row r="16" spans="1:5" x14ac:dyDescent="0.3">
      <c r="A16" t="s">
        <v>189</v>
      </c>
      <c r="C16" s="2">
        <v>54</v>
      </c>
      <c r="D16" s="2">
        <f>C16*(1-Summary!$C$17)</f>
        <v>43.2</v>
      </c>
      <c r="E16" t="s">
        <v>188</v>
      </c>
    </row>
    <row r="17" spans="1:5" x14ac:dyDescent="0.3">
      <c r="A17" t="s">
        <v>190</v>
      </c>
      <c r="C17" s="2">
        <v>40.799999999999997</v>
      </c>
      <c r="D17" s="2">
        <f>C17*(1-Summary!$C$17)</f>
        <v>32.64</v>
      </c>
      <c r="E17" t="s">
        <v>191</v>
      </c>
    </row>
    <row r="18" spans="1:5" x14ac:dyDescent="0.3">
      <c r="A18" t="s">
        <v>192</v>
      </c>
      <c r="C18" s="2">
        <v>217.2</v>
      </c>
      <c r="D18" s="2">
        <f>C18*(1-Summary!$C$17)</f>
        <v>173.76</v>
      </c>
      <c r="E18" t="s">
        <v>193</v>
      </c>
    </row>
    <row r="20" spans="1:5" x14ac:dyDescent="0.3">
      <c r="A20" t="s">
        <v>212</v>
      </c>
      <c r="B20" t="s">
        <v>211</v>
      </c>
      <c r="D20" s="2">
        <v>102</v>
      </c>
      <c r="E20" t="s">
        <v>213</v>
      </c>
    </row>
    <row r="22" spans="1:5" x14ac:dyDescent="0.3">
      <c r="A22" t="s">
        <v>308</v>
      </c>
      <c r="D22" s="2">
        <v>96</v>
      </c>
      <c r="E22" t="s">
        <v>307</v>
      </c>
    </row>
    <row r="23" spans="1:5" x14ac:dyDescent="0.3">
      <c r="A23" t="s">
        <v>310</v>
      </c>
      <c r="D23" s="2">
        <v>285</v>
      </c>
      <c r="E23" t="s">
        <v>309</v>
      </c>
    </row>
    <row r="33" spans="2:2" x14ac:dyDescent="0.3">
      <c r="B33">
        <f>5600*0.4</f>
        <v>2240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E8"/>
  <sheetViews>
    <sheetView workbookViewId="0">
      <selection activeCell="A11" sqref="A11:G21"/>
    </sheetView>
  </sheetViews>
  <sheetFormatPr baseColWidth="10" defaultRowHeight="14.4" x14ac:dyDescent="0.3"/>
  <sheetData>
    <row r="1" spans="1:5" x14ac:dyDescent="0.3">
      <c r="A1" t="s">
        <v>16</v>
      </c>
      <c r="B1" t="s">
        <v>201</v>
      </c>
      <c r="C1" t="s">
        <v>200</v>
      </c>
      <c r="D1" t="s">
        <v>199</v>
      </c>
      <c r="E1" t="s">
        <v>315</v>
      </c>
    </row>
    <row r="2" spans="1:5" x14ac:dyDescent="0.3">
      <c r="A2" t="s">
        <v>317</v>
      </c>
      <c r="D2" s="2">
        <v>619</v>
      </c>
      <c r="E2" t="s">
        <v>316</v>
      </c>
    </row>
    <row r="3" spans="1:5" x14ac:dyDescent="0.3">
      <c r="A3" t="s">
        <v>318</v>
      </c>
      <c r="D3" s="2">
        <v>248</v>
      </c>
      <c r="E3" t="s">
        <v>316</v>
      </c>
    </row>
    <row r="4" spans="1:5" x14ac:dyDescent="0.3">
      <c r="A4" t="s">
        <v>319</v>
      </c>
      <c r="D4" s="2">
        <v>320</v>
      </c>
      <c r="E4" t="s">
        <v>316</v>
      </c>
    </row>
    <row r="5" spans="1:5" x14ac:dyDescent="0.3">
      <c r="A5" t="s">
        <v>320</v>
      </c>
      <c r="D5" s="2">
        <v>515</v>
      </c>
      <c r="E5" t="s">
        <v>316</v>
      </c>
    </row>
    <row r="6" spans="1:5" x14ac:dyDescent="0.3">
      <c r="A6" t="s">
        <v>321</v>
      </c>
      <c r="D6" s="2">
        <v>1125</v>
      </c>
      <c r="E6" t="s">
        <v>322</v>
      </c>
    </row>
    <row r="7" spans="1:5" x14ac:dyDescent="0.3">
      <c r="A7" t="s">
        <v>323</v>
      </c>
      <c r="D7" s="2">
        <v>1851</v>
      </c>
      <c r="E7" t="s">
        <v>324</v>
      </c>
    </row>
    <row r="8" spans="1:5" x14ac:dyDescent="0.3">
      <c r="A8" t="s">
        <v>325</v>
      </c>
      <c r="D8" s="2">
        <v>417</v>
      </c>
      <c r="E8" t="s">
        <v>326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G36"/>
  <sheetViews>
    <sheetView workbookViewId="0">
      <selection activeCell="F36" sqref="F36"/>
    </sheetView>
  </sheetViews>
  <sheetFormatPr baseColWidth="10" defaultRowHeight="14.4" x14ac:dyDescent="0.3"/>
  <cols>
    <col min="1" max="1" width="30" bestFit="1" customWidth="1"/>
    <col min="2" max="2" width="15.6640625" bestFit="1" customWidth="1"/>
    <col min="6" max="6" width="11.88671875" bestFit="1" customWidth="1"/>
  </cols>
  <sheetData>
    <row r="1" spans="1:7" x14ac:dyDescent="0.3">
      <c r="A1" t="s">
        <v>26</v>
      </c>
      <c r="B1" t="s">
        <v>246</v>
      </c>
      <c r="C1" t="s">
        <v>245</v>
      </c>
      <c r="D1" t="s">
        <v>244</v>
      </c>
      <c r="E1" t="s">
        <v>216</v>
      </c>
      <c r="F1" t="s">
        <v>217</v>
      </c>
      <c r="G1" t="s">
        <v>227</v>
      </c>
    </row>
    <row r="2" spans="1:7" x14ac:dyDescent="0.3">
      <c r="A2" t="s">
        <v>94</v>
      </c>
      <c r="D2" s="29">
        <v>1295</v>
      </c>
      <c r="F2" s="2">
        <f>D2/Summary!C16</f>
        <v>1146.3829184518961</v>
      </c>
      <c r="G2" s="20" t="s">
        <v>95</v>
      </c>
    </row>
    <row r="3" spans="1:7" x14ac:dyDescent="0.3">
      <c r="A3" t="s">
        <v>98</v>
      </c>
      <c r="D3" s="29">
        <v>13995</v>
      </c>
      <c r="F3" s="2">
        <f>D3/Summary!C16</f>
        <v>12388.902659254276</v>
      </c>
      <c r="G3" s="20" t="s">
        <v>96</v>
      </c>
    </row>
    <row r="4" spans="1:7" x14ac:dyDescent="0.3">
      <c r="A4" t="s">
        <v>103</v>
      </c>
      <c r="D4" s="29">
        <v>395</v>
      </c>
      <c r="F4" s="2">
        <f>D4/Summary!C16</f>
        <v>349.66892107220002</v>
      </c>
      <c r="G4" s="20" t="s">
        <v>102</v>
      </c>
    </row>
    <row r="5" spans="1:7" x14ac:dyDescent="0.3">
      <c r="A5" t="s">
        <v>390</v>
      </c>
      <c r="D5" s="29">
        <v>3795</v>
      </c>
      <c r="F5" s="2">
        <f>D5/Summary!C16</f>
        <v>3359.4773556177188</v>
      </c>
      <c r="G5" s="20" t="s">
        <v>389</v>
      </c>
    </row>
    <row r="6" spans="1:7" x14ac:dyDescent="0.3">
      <c r="A6" t="s">
        <v>420</v>
      </c>
      <c r="D6" s="29"/>
      <c r="F6" s="2">
        <v>119</v>
      </c>
      <c r="G6" s="20" t="s">
        <v>421</v>
      </c>
    </row>
    <row r="7" spans="1:7" x14ac:dyDescent="0.3">
      <c r="A7" t="s">
        <v>418</v>
      </c>
      <c r="D7" s="29"/>
      <c r="F7" s="2">
        <v>379</v>
      </c>
      <c r="G7" s="20" t="s">
        <v>419</v>
      </c>
    </row>
    <row r="8" spans="1:7" x14ac:dyDescent="0.3">
      <c r="A8" t="s">
        <v>423</v>
      </c>
      <c r="D8" s="29"/>
      <c r="F8" s="2">
        <v>425</v>
      </c>
      <c r="G8" s="20" t="s">
        <v>422</v>
      </c>
    </row>
    <row r="9" spans="1:7" x14ac:dyDescent="0.3">
      <c r="F9" s="2"/>
    </row>
    <row r="10" spans="1:7" x14ac:dyDescent="0.3">
      <c r="A10" t="s">
        <v>247</v>
      </c>
      <c r="B10" t="s">
        <v>248</v>
      </c>
      <c r="C10" s="20"/>
      <c r="F10" s="2">
        <v>1079.0999999999999</v>
      </c>
      <c r="G10" s="20" t="s">
        <v>107</v>
      </c>
    </row>
    <row r="11" spans="1:7" x14ac:dyDescent="0.3">
      <c r="A11" t="s">
        <v>247</v>
      </c>
      <c r="B11" t="s">
        <v>249</v>
      </c>
      <c r="C11" s="20"/>
      <c r="E11" s="2">
        <v>2041.73</v>
      </c>
      <c r="F11" s="2">
        <f>E11*(1-Summary!C17)</f>
        <v>1633.384</v>
      </c>
      <c r="G11" s="20" t="s">
        <v>225</v>
      </c>
    </row>
    <row r="13" spans="1:7" x14ac:dyDescent="0.3">
      <c r="A13" t="s">
        <v>46</v>
      </c>
      <c r="B13" t="s">
        <v>108</v>
      </c>
      <c r="F13" s="2">
        <v>283.8</v>
      </c>
      <c r="G13" s="20" t="s">
        <v>109</v>
      </c>
    </row>
    <row r="14" spans="1:7" x14ac:dyDescent="0.3">
      <c r="B14" t="s">
        <v>110</v>
      </c>
      <c r="F14" s="2">
        <v>173.75</v>
      </c>
      <c r="G14" s="20" t="s">
        <v>111</v>
      </c>
    </row>
    <row r="15" spans="1:7" x14ac:dyDescent="0.3">
      <c r="B15" s="24" t="s">
        <v>113</v>
      </c>
      <c r="C15" s="24"/>
      <c r="F15" s="2">
        <v>153.08000000000001</v>
      </c>
      <c r="G15" s="20" t="s">
        <v>112</v>
      </c>
    </row>
    <row r="17" spans="1:7" x14ac:dyDescent="0.3">
      <c r="A17" t="s">
        <v>382</v>
      </c>
      <c r="B17" t="s">
        <v>383</v>
      </c>
      <c r="F17" s="2">
        <v>12999</v>
      </c>
      <c r="G17" t="s">
        <v>381</v>
      </c>
    </row>
    <row r="20" spans="1:7" x14ac:dyDescent="0.3">
      <c r="A20" t="s">
        <v>330</v>
      </c>
      <c r="F20" s="2">
        <v>1001.67</v>
      </c>
      <c r="G20" s="20" t="s">
        <v>327</v>
      </c>
    </row>
    <row r="21" spans="1:7" x14ac:dyDescent="0.3">
      <c r="A21" t="s">
        <v>328</v>
      </c>
      <c r="F21" s="2">
        <v>352.31</v>
      </c>
      <c r="G21" s="20" t="s">
        <v>329</v>
      </c>
    </row>
    <row r="23" spans="1:7" x14ac:dyDescent="0.3">
      <c r="A23" t="s">
        <v>392</v>
      </c>
      <c r="B23" t="s">
        <v>407</v>
      </c>
      <c r="F23" s="2">
        <v>2302.5700000000002</v>
      </c>
      <c r="G23" t="s">
        <v>391</v>
      </c>
    </row>
    <row r="25" spans="1:7" x14ac:dyDescent="0.3">
      <c r="A25" t="s">
        <v>394</v>
      </c>
      <c r="B25">
        <v>5</v>
      </c>
      <c r="F25" s="2">
        <v>69.400000000000006</v>
      </c>
      <c r="G25" t="s">
        <v>393</v>
      </c>
    </row>
    <row r="26" spans="1:7" x14ac:dyDescent="0.3">
      <c r="A26" t="s">
        <v>396</v>
      </c>
      <c r="B26">
        <v>1</v>
      </c>
      <c r="F26" s="2">
        <v>1433.25</v>
      </c>
      <c r="G26" t="s">
        <v>395</v>
      </c>
    </row>
    <row r="27" spans="1:7" x14ac:dyDescent="0.3">
      <c r="A27" t="s">
        <v>398</v>
      </c>
      <c r="B27">
        <v>1</v>
      </c>
      <c r="F27" s="2">
        <v>1866.02</v>
      </c>
      <c r="G27" t="s">
        <v>397</v>
      </c>
    </row>
    <row r="28" spans="1:7" x14ac:dyDescent="0.3">
      <c r="A28" t="s">
        <v>400</v>
      </c>
      <c r="B28">
        <v>1</v>
      </c>
      <c r="F28" s="2">
        <v>859.65</v>
      </c>
      <c r="G28" t="s">
        <v>399</v>
      </c>
    </row>
    <row r="29" spans="1:7" x14ac:dyDescent="0.3">
      <c r="A29" t="s">
        <v>402</v>
      </c>
      <c r="B29">
        <v>3</v>
      </c>
      <c r="F29" s="2">
        <v>699.07</v>
      </c>
      <c r="G29" t="s">
        <v>401</v>
      </c>
    </row>
    <row r="30" spans="1:7" x14ac:dyDescent="0.3">
      <c r="A30" t="s">
        <v>405</v>
      </c>
      <c r="B30">
        <v>30</v>
      </c>
      <c r="F30" s="2">
        <v>16.899999999999999</v>
      </c>
      <c r="G30" t="s">
        <v>406</v>
      </c>
    </row>
    <row r="32" spans="1:7" x14ac:dyDescent="0.3">
      <c r="A32" t="s">
        <v>414</v>
      </c>
      <c r="B32" t="s">
        <v>415</v>
      </c>
      <c r="F32" s="2">
        <v>3259</v>
      </c>
      <c r="G32" t="s">
        <v>413</v>
      </c>
    </row>
    <row r="34" spans="1:7" x14ac:dyDescent="0.3">
      <c r="A34" t="s">
        <v>416</v>
      </c>
      <c r="F34" s="2">
        <v>1075</v>
      </c>
      <c r="G34" t="s">
        <v>417</v>
      </c>
    </row>
    <row r="36" spans="1:7" x14ac:dyDescent="0.3">
      <c r="A36" t="s">
        <v>528</v>
      </c>
      <c r="F36" s="2">
        <f>1031.54</f>
        <v>1031.54</v>
      </c>
      <c r="G36" t="s">
        <v>529</v>
      </c>
    </row>
  </sheetData>
  <hyperlinks>
    <hyperlink ref="G10" r:id="rId1"/>
    <hyperlink ref="G11" r:id="rId2"/>
    <hyperlink ref="G2" r:id="rId3"/>
    <hyperlink ref="G4" r:id="rId4"/>
    <hyperlink ref="G13" r:id="rId5"/>
    <hyperlink ref="G14" r:id="rId6"/>
    <hyperlink ref="G15" r:id="rId7"/>
    <hyperlink ref="G3" r:id="rId8"/>
    <hyperlink ref="G20" r:id="rId9"/>
    <hyperlink ref="G21" r:id="rId10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F31"/>
  <sheetViews>
    <sheetView workbookViewId="0">
      <selection activeCell="B2" sqref="B2"/>
    </sheetView>
  </sheetViews>
  <sheetFormatPr baseColWidth="10" defaultRowHeight="14.4" x14ac:dyDescent="0.3"/>
  <cols>
    <col min="1" max="1" width="51.5546875" bestFit="1" customWidth="1"/>
    <col min="2" max="2" width="12.88671875" bestFit="1" customWidth="1"/>
  </cols>
  <sheetData>
    <row r="1" spans="1:3" x14ac:dyDescent="0.3">
      <c r="A1" s="20" t="s">
        <v>12</v>
      </c>
    </row>
    <row r="2" spans="1:3" x14ac:dyDescent="0.3">
      <c r="A2" t="s">
        <v>63</v>
      </c>
      <c r="B2" s="2">
        <f>97625+10395</f>
        <v>108020</v>
      </c>
      <c r="C2" s="20" t="s">
        <v>65</v>
      </c>
    </row>
    <row r="3" spans="1:3" x14ac:dyDescent="0.3">
      <c r="A3" t="s">
        <v>64</v>
      </c>
    </row>
    <row r="4" spans="1:3" x14ac:dyDescent="0.3">
      <c r="A4" t="s">
        <v>66</v>
      </c>
      <c r="B4" t="s">
        <v>67</v>
      </c>
      <c r="C4">
        <v>1016</v>
      </c>
    </row>
    <row r="5" spans="1:3" x14ac:dyDescent="0.3">
      <c r="B5" t="s">
        <v>68</v>
      </c>
      <c r="C5">
        <v>660</v>
      </c>
    </row>
    <row r="6" spans="1:3" x14ac:dyDescent="0.3">
      <c r="B6" t="s">
        <v>69</v>
      </c>
      <c r="C6">
        <v>635</v>
      </c>
    </row>
    <row r="7" spans="1:3" x14ac:dyDescent="0.3">
      <c r="A7" t="s">
        <v>70</v>
      </c>
    </row>
    <row r="8" spans="1:3" x14ac:dyDescent="0.3">
      <c r="A8" t="s">
        <v>71</v>
      </c>
    </row>
    <row r="9" spans="1:3" x14ac:dyDescent="0.3">
      <c r="A9" t="s">
        <v>72</v>
      </c>
    </row>
    <row r="10" spans="1:3" x14ac:dyDescent="0.3">
      <c r="A10" t="s">
        <v>73</v>
      </c>
      <c r="B10" t="s">
        <v>67</v>
      </c>
      <c r="C10">
        <v>1372</v>
      </c>
    </row>
    <row r="11" spans="1:3" x14ac:dyDescent="0.3">
      <c r="B11" t="s">
        <v>68</v>
      </c>
      <c r="C11">
        <v>610</v>
      </c>
    </row>
    <row r="12" spans="1:3" x14ac:dyDescent="0.3">
      <c r="A12" t="s">
        <v>74</v>
      </c>
      <c r="B12" t="s">
        <v>75</v>
      </c>
    </row>
    <row r="13" spans="1:3" x14ac:dyDescent="0.3">
      <c r="A13" t="s">
        <v>76</v>
      </c>
      <c r="B13" t="s">
        <v>77</v>
      </c>
    </row>
    <row r="14" spans="1:3" x14ac:dyDescent="0.3">
      <c r="A14" t="s">
        <v>78</v>
      </c>
      <c r="B14" t="s">
        <v>79</v>
      </c>
    </row>
    <row r="15" spans="1:3" x14ac:dyDescent="0.3">
      <c r="A15" t="s">
        <v>80</v>
      </c>
      <c r="B15" t="s">
        <v>81</v>
      </c>
    </row>
    <row r="16" spans="1:3" x14ac:dyDescent="0.3">
      <c r="A16" t="s">
        <v>82</v>
      </c>
      <c r="B16" t="s">
        <v>83</v>
      </c>
    </row>
    <row r="17" spans="1:6" x14ac:dyDescent="0.3">
      <c r="A17" t="s">
        <v>23</v>
      </c>
      <c r="B17" t="s">
        <v>84</v>
      </c>
    </row>
    <row r="19" spans="1:6" x14ac:dyDescent="0.3">
      <c r="A19" t="s">
        <v>124</v>
      </c>
      <c r="B19" t="s">
        <v>125</v>
      </c>
      <c r="C19" t="s">
        <v>126</v>
      </c>
    </row>
    <row r="21" spans="1:6" x14ac:dyDescent="0.3">
      <c r="B21" t="s">
        <v>217</v>
      </c>
      <c r="C21" t="s">
        <v>226</v>
      </c>
      <c r="D21" t="s">
        <v>227</v>
      </c>
    </row>
    <row r="22" spans="1:6" x14ac:dyDescent="0.3">
      <c r="A22" t="s">
        <v>63</v>
      </c>
      <c r="B22" s="2">
        <f>97625+10395</f>
        <v>108020</v>
      </c>
      <c r="C22">
        <v>1</v>
      </c>
      <c r="D22" t="s">
        <v>228</v>
      </c>
    </row>
    <row r="23" spans="1:6" x14ac:dyDescent="0.3">
      <c r="A23" t="s">
        <v>124</v>
      </c>
      <c r="B23" s="2">
        <v>100</v>
      </c>
      <c r="C23">
        <v>40</v>
      </c>
      <c r="D23" s="20" t="s">
        <v>125</v>
      </c>
    </row>
    <row r="24" spans="1:6" x14ac:dyDescent="0.3">
      <c r="A24" t="s">
        <v>97</v>
      </c>
      <c r="B24" s="2">
        <v>2500</v>
      </c>
      <c r="C24">
        <v>1</v>
      </c>
      <c r="D24" s="20" t="s">
        <v>93</v>
      </c>
    </row>
    <row r="27" spans="1:6" x14ac:dyDescent="0.3">
      <c r="A27" t="s">
        <v>85</v>
      </c>
      <c r="B27" t="s">
        <v>92</v>
      </c>
    </row>
    <row r="28" spans="1:6" x14ac:dyDescent="0.3">
      <c r="B28" t="s">
        <v>87</v>
      </c>
      <c r="C28" t="s">
        <v>89</v>
      </c>
      <c r="D28" t="s">
        <v>88</v>
      </c>
      <c r="E28" t="s">
        <v>90</v>
      </c>
    </row>
    <row r="29" spans="1:6" x14ac:dyDescent="0.3">
      <c r="A29" t="s">
        <v>86</v>
      </c>
      <c r="B29" s="21">
        <v>0.04</v>
      </c>
      <c r="C29">
        <v>5</v>
      </c>
      <c r="D29" s="2">
        <v>79.52</v>
      </c>
      <c r="E29">
        <f>208*B29</f>
        <v>8.32</v>
      </c>
      <c r="F29" s="22">
        <f>$E$29*D29/C29</f>
        <v>132.32128</v>
      </c>
    </row>
    <row r="30" spans="1:6" x14ac:dyDescent="0.3">
      <c r="A30" t="s">
        <v>91</v>
      </c>
      <c r="C30">
        <v>20</v>
      </c>
      <c r="D30" s="2">
        <v>236.84</v>
      </c>
      <c r="F30" s="22">
        <f>$E$29*D30/C30</f>
        <v>98.525440000000003</v>
      </c>
    </row>
    <row r="31" spans="1:6" x14ac:dyDescent="0.3">
      <c r="C31">
        <v>200</v>
      </c>
      <c r="D31" s="2">
        <v>2116</v>
      </c>
      <c r="F31" s="22">
        <f>$E$29*D31/C31</f>
        <v>88.025599999999997</v>
      </c>
    </row>
  </sheetData>
  <hyperlinks>
    <hyperlink ref="A1" r:id="rId1"/>
    <hyperlink ref="C2" r:id="rId2"/>
    <hyperlink ref="D24" r:id="rId3"/>
    <hyperlink ref="D23" r:id="rId4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F17"/>
  <sheetViews>
    <sheetView workbookViewId="0">
      <selection activeCell="B18" sqref="B18"/>
    </sheetView>
  </sheetViews>
  <sheetFormatPr baseColWidth="10" defaultRowHeight="14.4" x14ac:dyDescent="0.3"/>
  <cols>
    <col min="1" max="1" width="51.5546875" bestFit="1" customWidth="1"/>
    <col min="2" max="2" width="12.88671875" bestFit="1" customWidth="1"/>
  </cols>
  <sheetData>
    <row r="1" spans="1:6" x14ac:dyDescent="0.3">
      <c r="A1" s="20" t="s">
        <v>12</v>
      </c>
    </row>
    <row r="2" spans="1:6" x14ac:dyDescent="0.3">
      <c r="A2" s="66" t="s">
        <v>379</v>
      </c>
      <c r="B2" s="2">
        <f>133720</f>
        <v>133720</v>
      </c>
      <c r="C2" t="s">
        <v>378</v>
      </c>
    </row>
    <row r="3" spans="1:6" x14ac:dyDescent="0.3">
      <c r="A3" s="66"/>
      <c r="B3" s="2"/>
    </row>
    <row r="4" spans="1:6" x14ac:dyDescent="0.3">
      <c r="A4" s="66" t="s">
        <v>356</v>
      </c>
      <c r="B4">
        <v>208</v>
      </c>
    </row>
    <row r="5" spans="1:6" x14ac:dyDescent="0.3">
      <c r="B5" t="s">
        <v>199</v>
      </c>
      <c r="C5" t="s">
        <v>227</v>
      </c>
    </row>
    <row r="6" spans="1:6" x14ac:dyDescent="0.3">
      <c r="A6" t="s">
        <v>124</v>
      </c>
      <c r="B6" s="2">
        <v>600</v>
      </c>
      <c r="C6" t="s">
        <v>354</v>
      </c>
    </row>
    <row r="7" spans="1:6" x14ac:dyDescent="0.3">
      <c r="A7" t="s">
        <v>352</v>
      </c>
      <c r="B7" s="2">
        <f>(2500+1500)/2</f>
        <v>2000</v>
      </c>
      <c r="C7" t="s">
        <v>354</v>
      </c>
    </row>
    <row r="8" spans="1:6" x14ac:dyDescent="0.3">
      <c r="A8" t="s">
        <v>353</v>
      </c>
      <c r="B8" s="2">
        <v>160</v>
      </c>
      <c r="C8" t="s">
        <v>355</v>
      </c>
    </row>
    <row r="10" spans="1:6" x14ac:dyDescent="0.3">
      <c r="A10" t="s">
        <v>85</v>
      </c>
      <c r="B10" t="s">
        <v>92</v>
      </c>
    </row>
    <row r="11" spans="1:6" x14ac:dyDescent="0.3">
      <c r="B11" t="s">
        <v>87</v>
      </c>
      <c r="C11" t="s">
        <v>89</v>
      </c>
      <c r="D11" t="s">
        <v>88</v>
      </c>
      <c r="E11" t="s">
        <v>90</v>
      </c>
    </row>
    <row r="12" spans="1:6" x14ac:dyDescent="0.3">
      <c r="A12" t="s">
        <v>86</v>
      </c>
      <c r="B12" s="21">
        <v>0.04</v>
      </c>
      <c r="C12">
        <v>5</v>
      </c>
      <c r="D12" s="2">
        <v>79.52</v>
      </c>
      <c r="E12">
        <f>208*B12</f>
        <v>8.32</v>
      </c>
      <c r="F12" s="22">
        <f>$B$4*$B$12*D12/C12</f>
        <v>132.32128</v>
      </c>
    </row>
    <row r="13" spans="1:6" x14ac:dyDescent="0.3">
      <c r="A13" t="s">
        <v>91</v>
      </c>
      <c r="C13">
        <v>20</v>
      </c>
      <c r="D13" s="2">
        <v>236.84</v>
      </c>
      <c r="F13" s="22">
        <f t="shared" ref="F13:F14" si="0">$B$4*$B$12*D13/C13</f>
        <v>98.525440000000003</v>
      </c>
    </row>
    <row r="14" spans="1:6" x14ac:dyDescent="0.3">
      <c r="C14">
        <v>200</v>
      </c>
      <c r="D14" s="2">
        <v>2116</v>
      </c>
      <c r="F14" s="22">
        <f t="shared" si="0"/>
        <v>88.025599999999997</v>
      </c>
    </row>
    <row r="17" spans="2:2" x14ac:dyDescent="0.3">
      <c r="B17" t="s">
        <v>380</v>
      </c>
    </row>
  </sheetData>
  <hyperlinks>
    <hyperlink ref="A1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Summary</vt:lpstr>
      <vt:lpstr>Manpower &amp; time</vt:lpstr>
      <vt:lpstr>Energies</vt:lpstr>
      <vt:lpstr>Metrology</vt:lpstr>
      <vt:lpstr>IT</vt:lpstr>
      <vt:lpstr>Office</vt:lpstr>
      <vt:lpstr>Manufacturing</vt:lpstr>
      <vt:lpstr>CNC mill</vt:lpstr>
      <vt:lpstr>CNC lathe</vt:lpstr>
      <vt:lpstr>Laser cutter</vt:lpstr>
      <vt:lpstr>Welding</vt:lpstr>
      <vt:lpstr>Conventionnal machinning</vt:lpstr>
      <vt:lpstr>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Perdereau</dc:creator>
  <cp:lastModifiedBy>Aurélien</cp:lastModifiedBy>
  <dcterms:created xsi:type="dcterms:W3CDTF">2019-04-04T18:24:41Z</dcterms:created>
  <dcterms:modified xsi:type="dcterms:W3CDTF">2019-06-17T22:25:21Z</dcterms:modified>
</cp:coreProperties>
</file>