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H:\Formula\Series Resources Documents\"/>
    </mc:Choice>
  </mc:AlternateContent>
  <xr:revisionPtr revIDLastSave="0" documentId="8_{72606E5F-80D7-4199-9E92-9E3733439C1E}" xr6:coauthVersionLast="40" xr6:coauthVersionMax="40" xr10:uidLastSave="{00000000-0000-0000-0000-000000000000}"/>
  <bookViews>
    <workbookView xWindow="0" yWindow="0" windowWidth="28800" windowHeight="12210" xr2:uid="{71802922-AB76-4655-AF43-D39C754A08E5}"/>
  </bookViews>
  <sheets>
    <sheet name="T.2.5-6 Steel Tube Chassis" sheetId="1" r:id="rId1"/>
    <sheet name="T.2.4.4 Welded Tube Inserts" sheetId="4" r:id="rId2"/>
    <sheet name="T.2.18 Bolted Members" sheetId="3" r:id="rId3"/>
  </sheets>
  <definedNames>
    <definedName name="Materials">#REF!</definedName>
    <definedName name="Tube_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87" i="1" l="1"/>
  <c r="BI86" i="1"/>
  <c r="BQ86" i="1" s="1"/>
  <c r="A90" i="1" l="1"/>
  <c r="AM72" i="1" l="1"/>
  <c r="BG87" i="1" l="1"/>
  <c r="AW72" i="1"/>
  <c r="AW78" i="1"/>
  <c r="AM77" i="1"/>
  <c r="AC106" i="1" l="1"/>
  <c r="S64" i="1" l="1"/>
  <c r="I75" i="1"/>
  <c r="I60" i="1"/>
  <c r="S78" i="1"/>
  <c r="S53" i="4" l="1"/>
  <c r="S52" i="4"/>
  <c r="S51" i="4"/>
  <c r="S50" i="4"/>
  <c r="S49" i="4"/>
  <c r="S48" i="4"/>
  <c r="AW117" i="1"/>
  <c r="I70" i="1"/>
  <c r="BQ71" i="1"/>
  <c r="BQ75" i="1"/>
  <c r="AZ38" i="4"/>
  <c r="AZ37" i="4"/>
  <c r="AP38" i="4"/>
  <c r="AP37" i="4"/>
  <c r="AF38" i="4"/>
  <c r="AF37" i="4"/>
  <c r="V38" i="4"/>
  <c r="V37" i="4"/>
  <c r="AC85" i="1" l="1"/>
  <c r="AW96" i="1"/>
  <c r="BG98" i="1"/>
  <c r="U97" i="1" l="1"/>
  <c r="AZ82" i="1"/>
  <c r="I89" i="1" l="1"/>
  <c r="AW95" i="1"/>
  <c r="B89" i="1"/>
  <c r="U96" i="1" l="1"/>
  <c r="V92" i="1"/>
  <c r="V101" i="1"/>
  <c r="AM71" i="1"/>
  <c r="AC105" i="1"/>
  <c r="BG86" i="1"/>
  <c r="AM76" i="1"/>
  <c r="AC84" i="1"/>
  <c r="BG97" i="1"/>
  <c r="I74" i="1"/>
  <c r="I67" i="1" l="1"/>
  <c r="AF66" i="1" l="1"/>
  <c r="BS8" i="1" l="1"/>
  <c r="AW88" i="1" l="1"/>
  <c r="AO87" i="1" s="1"/>
  <c r="AW94" i="1"/>
  <c r="AO93" i="1" l="1"/>
  <c r="AW40" i="4" l="1"/>
  <c r="AW39" i="4"/>
  <c r="AX38" i="4"/>
  <c r="AS38" i="4"/>
  <c r="AX37" i="4"/>
  <c r="AX36" i="4"/>
  <c r="AM40" i="4"/>
  <c r="AM39" i="4"/>
  <c r="AN38" i="4"/>
  <c r="AI38" i="4"/>
  <c r="AN37" i="4"/>
  <c r="AN36" i="4"/>
  <c r="AC40" i="4"/>
  <c r="AC39" i="4"/>
  <c r="AF42" i="4" s="1"/>
  <c r="AD38" i="4"/>
  <c r="Y38" i="4"/>
  <c r="AD37" i="4"/>
  <c r="AD36" i="4"/>
  <c r="S40" i="4"/>
  <c r="T51" i="4" s="1"/>
  <c r="S39" i="4"/>
  <c r="T50" i="4" s="1"/>
  <c r="U50" i="4" s="1"/>
  <c r="V50" i="4" s="1"/>
  <c r="T38" i="4"/>
  <c r="O38" i="4"/>
  <c r="T37" i="4"/>
  <c r="T36" i="4"/>
  <c r="I40" i="4"/>
  <c r="I39" i="4"/>
  <c r="J38" i="4"/>
  <c r="E38" i="4"/>
  <c r="J37" i="4"/>
  <c r="J36" i="4"/>
  <c r="I49" i="4" l="1"/>
  <c r="I50" i="4"/>
  <c r="J51" i="4"/>
  <c r="J53" i="4" s="1"/>
  <c r="I48" i="4"/>
  <c r="I51" i="4"/>
  <c r="AF41" i="4"/>
  <c r="AD50" i="4"/>
  <c r="AC49" i="4"/>
  <c r="AC50" i="4"/>
  <c r="AF44" i="4"/>
  <c r="AD51" i="4"/>
  <c r="AD53" i="4" s="1"/>
  <c r="AC48" i="4"/>
  <c r="AC51" i="4"/>
  <c r="AD49" i="4"/>
  <c r="AD48" i="4"/>
  <c r="AF43" i="4"/>
  <c r="AN51" i="4"/>
  <c r="AN52" i="4" s="1"/>
  <c r="AM51" i="4"/>
  <c r="AM48" i="4"/>
  <c r="AP44" i="4"/>
  <c r="AM49" i="4"/>
  <c r="AM50" i="4"/>
  <c r="AX50" i="4"/>
  <c r="AW49" i="4"/>
  <c r="AW50" i="4"/>
  <c r="AX51" i="4"/>
  <c r="AX52" i="4" s="1"/>
  <c r="AW51" i="4"/>
  <c r="AW48" i="4"/>
  <c r="AZ44" i="4"/>
  <c r="AZ41" i="4"/>
  <c r="AX48" i="4"/>
  <c r="AZ42" i="4"/>
  <c r="AX49" i="4"/>
  <c r="AZ43" i="4"/>
  <c r="V42" i="4"/>
  <c r="T49" i="4"/>
  <c r="U49" i="4" s="1"/>
  <c r="V49" i="4" s="1"/>
  <c r="V44" i="4"/>
  <c r="V41" i="4"/>
  <c r="T48" i="4"/>
  <c r="U48" i="4" s="1"/>
  <c r="V48" i="4" s="1"/>
  <c r="V43" i="4"/>
  <c r="J48" i="4"/>
  <c r="J49" i="4"/>
  <c r="J50" i="4"/>
  <c r="AP41" i="4"/>
  <c r="AP43" i="4"/>
  <c r="AN48" i="4"/>
  <c r="AN49" i="4"/>
  <c r="AN50" i="4"/>
  <c r="AP42" i="4"/>
  <c r="T53" i="4"/>
  <c r="T52" i="4"/>
  <c r="U51" i="4"/>
  <c r="V51" i="4" s="1"/>
  <c r="AN53" i="4" l="1"/>
  <c r="K50" i="4"/>
  <c r="L50" i="4" s="1"/>
  <c r="AY48" i="4"/>
  <c r="AZ48" i="4" s="1"/>
  <c r="AY51" i="4"/>
  <c r="AZ51" i="4" s="1"/>
  <c r="AY49" i="4"/>
  <c r="AZ49" i="4" s="1"/>
  <c r="AD52" i="4"/>
  <c r="AO48" i="4"/>
  <c r="AP48" i="4" s="1"/>
  <c r="AX53" i="4"/>
  <c r="K49" i="4"/>
  <c r="L49" i="4" s="1"/>
  <c r="K48" i="4"/>
  <c r="L48" i="4" s="1"/>
  <c r="K51" i="4"/>
  <c r="L51" i="4" s="1"/>
  <c r="J52" i="4"/>
  <c r="I53" i="4"/>
  <c r="K53" i="4" s="1"/>
  <c r="L53" i="4" s="1"/>
  <c r="I52" i="4"/>
  <c r="AO50" i="4"/>
  <c r="AP50" i="4" s="1"/>
  <c r="AO49" i="4"/>
  <c r="AP49" i="4" s="1"/>
  <c r="AE48" i="4"/>
  <c r="AF48" i="4" s="1"/>
  <c r="AE49" i="4"/>
  <c r="AF49" i="4" s="1"/>
  <c r="AE51" i="4"/>
  <c r="AF51" i="4" s="1"/>
  <c r="AC53" i="4"/>
  <c r="AE53" i="4" s="1"/>
  <c r="AF53" i="4" s="1"/>
  <c r="AC52" i="4"/>
  <c r="AE50" i="4"/>
  <c r="AF50" i="4" s="1"/>
  <c r="AM53" i="4"/>
  <c r="AM52" i="4"/>
  <c r="AO52" i="4" s="1"/>
  <c r="AP52" i="4" s="1"/>
  <c r="AO51" i="4"/>
  <c r="AP51" i="4" s="1"/>
  <c r="AW53" i="4"/>
  <c r="AW52" i="4"/>
  <c r="AY52" i="4" s="1"/>
  <c r="AZ52" i="4" s="1"/>
  <c r="AY50" i="4"/>
  <c r="AZ50" i="4" s="1"/>
  <c r="U53" i="4"/>
  <c r="V53" i="4" s="1"/>
  <c r="U52" i="4"/>
  <c r="V52" i="4" s="1"/>
  <c r="AO53" i="4" l="1"/>
  <c r="AP53" i="4" s="1"/>
  <c r="AE52" i="4"/>
  <c r="AF52" i="4" s="1"/>
  <c r="AY53" i="4"/>
  <c r="AZ53" i="4" s="1"/>
  <c r="AR33" i="4" s="1"/>
  <c r="K52" i="4"/>
  <c r="L52" i="4" s="1"/>
  <c r="AH33" i="4"/>
  <c r="X33" i="4"/>
  <c r="N33" i="4"/>
  <c r="BJ75" i="1"/>
  <c r="BI73" i="1" l="1"/>
  <c r="A37" i="3" l="1"/>
  <c r="A36" i="3"/>
  <c r="A35" i="3"/>
  <c r="A34" i="3"/>
  <c r="A33" i="3"/>
  <c r="A32" i="3"/>
  <c r="A33" i="4"/>
  <c r="A38" i="4"/>
  <c r="A37" i="4"/>
  <c r="A36" i="4"/>
  <c r="A35" i="4"/>
  <c r="A34" i="4"/>
  <c r="K9" i="1" l="1"/>
  <c r="A12" i="4" l="1"/>
  <c r="A6" i="4"/>
  <c r="A5" i="3"/>
  <c r="L34" i="3" s="1"/>
  <c r="A2" i="3"/>
  <c r="A17" i="4" l="1"/>
  <c r="L37" i="4" l="1"/>
  <c r="L38" i="4"/>
  <c r="L42" i="4"/>
  <c r="L44" i="4"/>
  <c r="L41" i="4"/>
  <c r="L43" i="4"/>
  <c r="K1" i="1"/>
  <c r="AW116" i="1"/>
  <c r="AW112" i="1"/>
  <c r="AO111" i="1" s="1"/>
  <c r="AW109" i="1"/>
  <c r="AO107" i="1" s="1"/>
  <c r="AW104" i="1"/>
  <c r="AO102" i="1" s="1"/>
  <c r="U103" i="1"/>
  <c r="AC101" i="1"/>
  <c r="U100" i="1" s="1"/>
  <c r="AC97" i="1"/>
  <c r="AC92" i="1"/>
  <c r="U91" i="1" s="1"/>
  <c r="AY84" i="1"/>
  <c r="I86" i="1"/>
  <c r="I85" i="1"/>
  <c r="I84" i="1"/>
  <c r="BG82" i="1"/>
  <c r="AY81" i="1" s="1"/>
  <c r="U82" i="1"/>
  <c r="S81" i="1"/>
  <c r="K80" i="1" s="1"/>
  <c r="BQ85" i="1"/>
  <c r="BI84" i="1" s="1"/>
  <c r="BG79" i="1"/>
  <c r="K77" i="1"/>
  <c r="BG78" i="1"/>
  <c r="BQ78" i="1"/>
  <c r="BI77" i="1" s="1"/>
  <c r="AW77" i="1"/>
  <c r="S75" i="1"/>
  <c r="K74" i="1" s="1"/>
  <c r="AE74" i="1"/>
  <c r="S72" i="1"/>
  <c r="K71" i="1" s="1"/>
  <c r="AW71" i="1"/>
  <c r="AO69" i="1" s="1"/>
  <c r="AE68" i="1"/>
  <c r="BI70" i="1"/>
  <c r="I69" i="1"/>
  <c r="AM66" i="1"/>
  <c r="AM65" i="1"/>
  <c r="S63" i="1"/>
  <c r="K61" i="1" s="1"/>
  <c r="I59" i="1"/>
  <c r="K8" i="1"/>
  <c r="K7" i="1"/>
  <c r="K6" i="1"/>
  <c r="K5" i="1"/>
  <c r="K4" i="1"/>
  <c r="K3" i="1"/>
  <c r="K2" i="1"/>
  <c r="AW76" i="1"/>
  <c r="AW75" i="1"/>
  <c r="AZ51" i="3"/>
  <c r="AP51" i="3"/>
  <c r="AF51" i="3"/>
  <c r="V51" i="3"/>
  <c r="L51" i="3"/>
  <c r="AZ50" i="3"/>
  <c r="AP50" i="3"/>
  <c r="AF50" i="3"/>
  <c r="V50" i="3"/>
  <c r="L50" i="3"/>
  <c r="AZ49" i="3"/>
  <c r="AP49" i="3"/>
  <c r="AF49" i="3"/>
  <c r="V49" i="3"/>
  <c r="L49" i="3"/>
  <c r="AZ40" i="3"/>
  <c r="AP40" i="3"/>
  <c r="AF40" i="3"/>
  <c r="V40" i="3"/>
  <c r="L40" i="3"/>
  <c r="AZ39" i="3"/>
  <c r="AP39" i="3"/>
  <c r="AF39" i="3"/>
  <c r="V39" i="3"/>
  <c r="L39" i="3"/>
  <c r="AZ34" i="3"/>
  <c r="AP34" i="3"/>
  <c r="AH33" i="3" s="1"/>
  <c r="AF34" i="3"/>
  <c r="X33" i="3" s="1"/>
  <c r="V34" i="3"/>
  <c r="N33" i="3" s="1"/>
  <c r="D33" i="3"/>
  <c r="AR33" i="3"/>
  <c r="A58" i="1" l="1"/>
  <c r="D33" i="4"/>
  <c r="AY77" i="1"/>
  <c r="AY95" i="1"/>
  <c r="V98" i="1"/>
  <c r="AC108" i="1" s="1"/>
  <c r="U94" i="1"/>
  <c r="AO74" i="1"/>
  <c r="AE64" i="1"/>
  <c r="A66" i="1"/>
  <c r="A72" i="1"/>
  <c r="A19" i="4"/>
  <c r="A20" i="3"/>
  <c r="AY51" i="3" s="1"/>
  <c r="AX52" i="3"/>
  <c r="AZ52" i="3" s="1"/>
  <c r="AR48" i="3" s="1"/>
  <c r="AS51" i="3"/>
  <c r="AS50" i="3"/>
  <c r="AY41" i="3"/>
  <c r="AX41" i="3"/>
  <c r="AZ41" i="3" s="1"/>
  <c r="AR38" i="3" s="1"/>
  <c r="AS41" i="3"/>
  <c r="AR41" i="3"/>
  <c r="AS40" i="3"/>
  <c r="AR40" i="3"/>
  <c r="AS39" i="3"/>
  <c r="AR39" i="3"/>
  <c r="AN52" i="3"/>
  <c r="AP52" i="3" s="1"/>
  <c r="AH48" i="3" s="1"/>
  <c r="AI51" i="3"/>
  <c r="AI50" i="3"/>
  <c r="AO41" i="3"/>
  <c r="AN41" i="3"/>
  <c r="AP41" i="3" s="1"/>
  <c r="AH38" i="3" s="1"/>
  <c r="AI41" i="3"/>
  <c r="AH41" i="3"/>
  <c r="AI40" i="3"/>
  <c r="AH40" i="3"/>
  <c r="AI39" i="3"/>
  <c r="AH39" i="3"/>
  <c r="AD52" i="3"/>
  <c r="AF52" i="3" s="1"/>
  <c r="X48" i="3" s="1"/>
  <c r="Y51" i="3"/>
  <c r="Y50" i="3"/>
  <c r="AE41" i="3"/>
  <c r="AD41" i="3"/>
  <c r="AF41" i="3" s="1"/>
  <c r="X38" i="3" s="1"/>
  <c r="Y41" i="3"/>
  <c r="X41" i="3"/>
  <c r="Y40" i="3"/>
  <c r="X40" i="3"/>
  <c r="Y39" i="3"/>
  <c r="X39" i="3"/>
  <c r="T52" i="3"/>
  <c r="V52" i="3" s="1"/>
  <c r="N48" i="3" s="1"/>
  <c r="O51" i="3"/>
  <c r="O50" i="3"/>
  <c r="U41" i="3"/>
  <c r="T41" i="3"/>
  <c r="V41" i="3" s="1"/>
  <c r="N38" i="3" s="1"/>
  <c r="O41" i="3"/>
  <c r="N41" i="3"/>
  <c r="O40" i="3"/>
  <c r="N40" i="3"/>
  <c r="O39" i="3"/>
  <c r="N39" i="3"/>
  <c r="J41" i="3"/>
  <c r="L41" i="3" s="1"/>
  <c r="D38" i="3" s="1"/>
  <c r="E41" i="3"/>
  <c r="K41" i="3"/>
  <c r="D41" i="3"/>
  <c r="D40" i="3"/>
  <c r="D39" i="3"/>
  <c r="E40" i="3"/>
  <c r="E39" i="3"/>
  <c r="E50" i="3"/>
  <c r="E51" i="3"/>
  <c r="J52" i="3"/>
  <c r="L52" i="3" s="1"/>
  <c r="D48" i="3" s="1"/>
  <c r="AU118" i="1"/>
  <c r="AY46" i="4" l="1"/>
  <c r="AO45" i="4"/>
  <c r="U47" i="4"/>
  <c r="K46" i="4"/>
  <c r="X32" i="4"/>
  <c r="AW47" i="4"/>
  <c r="AW45" i="4"/>
  <c r="AM46" i="4"/>
  <c r="AC47" i="4"/>
  <c r="AC45" i="4"/>
  <c r="S46" i="4"/>
  <c r="J46" i="4"/>
  <c r="I45" i="4"/>
  <c r="AY45" i="4"/>
  <c r="AE47" i="4"/>
  <c r="U46" i="4"/>
  <c r="K45" i="4"/>
  <c r="N32" i="4"/>
  <c r="AX46" i="4"/>
  <c r="AN47" i="4"/>
  <c r="AN45" i="4"/>
  <c r="AD46" i="4"/>
  <c r="T47" i="4"/>
  <c r="T45" i="4"/>
  <c r="I47" i="4"/>
  <c r="AO47" i="4"/>
  <c r="AE46" i="4"/>
  <c r="U45" i="4"/>
  <c r="AR32" i="4"/>
  <c r="D32" i="4"/>
  <c r="AW46" i="4"/>
  <c r="AM47" i="4"/>
  <c r="AM45" i="4"/>
  <c r="AC46" i="4"/>
  <c r="S47" i="4"/>
  <c r="S45" i="4"/>
  <c r="I46" i="4"/>
  <c r="AY47" i="4"/>
  <c r="AO46" i="4"/>
  <c r="AE45" i="4"/>
  <c r="K47" i="4"/>
  <c r="AH32" i="4"/>
  <c r="AX47" i="4"/>
  <c r="AX45" i="4"/>
  <c r="AN46" i="4"/>
  <c r="AD47" i="4"/>
  <c r="AD45" i="4"/>
  <c r="T46" i="4"/>
  <c r="J47" i="4"/>
  <c r="J45" i="4"/>
  <c r="AW118" i="1"/>
  <c r="AO115" i="1" s="1"/>
  <c r="AY43" i="4"/>
  <c r="AY41" i="4"/>
  <c r="AO41" i="4"/>
  <c r="AE44" i="4"/>
  <c r="AE42" i="4"/>
  <c r="AE38" i="4"/>
  <c r="AE37" i="4"/>
  <c r="U43" i="4"/>
  <c r="U41" i="4"/>
  <c r="K39" i="4"/>
  <c r="AY40" i="4"/>
  <c r="AO44" i="4"/>
  <c r="AO40" i="4"/>
  <c r="U40" i="4"/>
  <c r="AY44" i="4"/>
  <c r="AY42" i="4"/>
  <c r="AO38" i="4"/>
  <c r="AO37" i="4"/>
  <c r="AE41" i="4"/>
  <c r="U38" i="4"/>
  <c r="U37" i="4"/>
  <c r="K40" i="4"/>
  <c r="AY39" i="4"/>
  <c r="AO42" i="4"/>
  <c r="AO39" i="4"/>
  <c r="AE40" i="4"/>
  <c r="U39" i="4"/>
  <c r="K44" i="4"/>
  <c r="K42" i="4"/>
  <c r="K38" i="4"/>
  <c r="K37" i="4"/>
  <c r="AE39" i="4"/>
  <c r="K43" i="4"/>
  <c r="K41" i="4"/>
  <c r="AY38" i="4"/>
  <c r="AY37" i="4"/>
  <c r="AO43" i="4"/>
  <c r="AE43" i="4"/>
  <c r="U44" i="4"/>
  <c r="U42" i="4"/>
  <c r="K51" i="3"/>
  <c r="U50" i="3"/>
  <c r="AE50" i="3"/>
  <c r="K40" i="3"/>
  <c r="AO50" i="3"/>
  <c r="AY50" i="3"/>
  <c r="U40" i="3"/>
  <c r="AE40" i="3"/>
  <c r="AO40" i="3"/>
  <c r="K49" i="3"/>
  <c r="AY40" i="3"/>
  <c r="K50" i="3"/>
  <c r="K39" i="3"/>
  <c r="U39" i="3"/>
  <c r="U49" i="3"/>
  <c r="U51" i="3"/>
  <c r="AE39" i="3"/>
  <c r="AE49" i="3"/>
  <c r="AE51" i="3"/>
  <c r="AO39" i="3"/>
  <c r="AO49" i="3"/>
  <c r="AO51" i="3"/>
  <c r="AY39" i="3"/>
  <c r="AY49" i="3"/>
  <c r="BP78" i="1"/>
  <c r="BP75" i="1"/>
  <c r="BP71" i="1"/>
  <c r="BF82" i="1"/>
  <c r="AP105" i="1"/>
  <c r="AZ76" i="1" s="1"/>
  <c r="BF87" i="1"/>
  <c r="AZ87" i="1"/>
  <c r="BF86" i="1"/>
  <c r="BF98" i="1"/>
  <c r="AZ98" i="1"/>
  <c r="BF97" i="1"/>
  <c r="AV96" i="1"/>
  <c r="AP96" i="1"/>
  <c r="AV95" i="1"/>
  <c r="AV116" i="1"/>
  <c r="AV117" i="1"/>
  <c r="AP79" i="1"/>
  <c r="AP92" i="1" s="1"/>
  <c r="AV78" i="1"/>
  <c r="AP78" i="1"/>
  <c r="AV77" i="1"/>
  <c r="AV112" i="1"/>
  <c r="AP109" i="1"/>
  <c r="AV72" i="1"/>
  <c r="AP72" i="1"/>
  <c r="AV71" i="1"/>
  <c r="AL77" i="1"/>
  <c r="AF77" i="1"/>
  <c r="AL76" i="1"/>
  <c r="AL72" i="1"/>
  <c r="AF72" i="1"/>
  <c r="AL71" i="1"/>
  <c r="AF65" i="1"/>
  <c r="AL65" i="1"/>
  <c r="AL66" i="1"/>
  <c r="AE56" i="1" l="1"/>
  <c r="BI56" i="1"/>
  <c r="AY56" i="1"/>
  <c r="AR30" i="4"/>
  <c r="AH30" i="4"/>
  <c r="X30" i="4"/>
  <c r="D30" i="3"/>
  <c r="X30" i="3"/>
  <c r="AR30" i="3"/>
  <c r="N30" i="4"/>
  <c r="AH30" i="3"/>
  <c r="N30" i="3"/>
  <c r="AP86" i="1"/>
  <c r="AO56" i="1" s="1"/>
  <c r="L82" i="1"/>
  <c r="AB108" i="1" s="1"/>
  <c r="AC112" i="1" s="1"/>
  <c r="R75" i="1"/>
  <c r="R72" i="1"/>
  <c r="R64" i="1"/>
  <c r="L64" i="1"/>
  <c r="R63" i="1"/>
  <c r="I90" i="1"/>
  <c r="AB97" i="1"/>
  <c r="AB85" i="1"/>
  <c r="V85" i="1"/>
  <c r="AB84" i="1"/>
  <c r="AB92" i="1"/>
  <c r="AB112" i="1"/>
  <c r="V112" i="1"/>
  <c r="AB111" i="1"/>
  <c r="AB106" i="1"/>
  <c r="V106" i="1"/>
  <c r="AB105" i="1"/>
  <c r="B69" i="1"/>
  <c r="AB101" i="1"/>
  <c r="H85" i="1"/>
  <c r="H86" i="1"/>
  <c r="H89" i="1"/>
  <c r="H88" i="1"/>
  <c r="B75" i="1"/>
  <c r="H74" i="1"/>
  <c r="H75" i="1"/>
  <c r="B68" i="1"/>
  <c r="B70" i="1"/>
  <c r="H70" i="1"/>
  <c r="H69" i="1"/>
  <c r="H60" i="1"/>
  <c r="U110" i="1" l="1"/>
  <c r="V110" i="1"/>
  <c r="V108" i="1"/>
  <c r="AC111" i="1"/>
  <c r="I88" i="1"/>
  <c r="A22" i="3"/>
  <c r="K56" i="1"/>
  <c r="A83" i="1" l="1"/>
  <c r="A56" i="1" s="1"/>
  <c r="AC110" i="1" l="1"/>
  <c r="D30" i="4"/>
  <c r="A23" i="4" s="1"/>
  <c r="U109" i="1" l="1"/>
  <c r="U56" i="1" s="1"/>
  <c r="A19" i="1" s="1"/>
  <c r="A12" i="1" l="1"/>
</calcChain>
</file>

<file path=xl/sharedStrings.xml><?xml version="1.0" encoding="utf-8"?>
<sst xmlns="http://schemas.openxmlformats.org/spreadsheetml/2006/main" count="682" uniqueCount="374">
  <si>
    <t>University Name</t>
  </si>
  <si>
    <t>Email Address</t>
  </si>
  <si>
    <t>Faculty Advisor</t>
  </si>
  <si>
    <t>Powertrain Type</t>
  </si>
  <si>
    <t>Round</t>
  </si>
  <si>
    <t xml:space="preserve">SES forms must be completed and submitted by all teams no later than the date specified in the Action Deadlines on the specific event website.  </t>
  </si>
  <si>
    <t>Team Name</t>
  </si>
  <si>
    <t>Email Address(es)</t>
  </si>
  <si>
    <t>There are three versions of the SES:</t>
  </si>
  <si>
    <t>IN.8.1</t>
  </si>
  <si>
    <t>2.a</t>
  </si>
  <si>
    <t>EV teams must submit an additional document, EV HV Enclosure covering the Accumulator Container, Mounting, and HV Tractive System protection.</t>
  </si>
  <si>
    <t>T.2.4.1</t>
  </si>
  <si>
    <t>IN.1.4</t>
  </si>
  <si>
    <t>Ready to submit for review?</t>
  </si>
  <si>
    <t>Document is ready for review. Double check triangulation.</t>
  </si>
  <si>
    <t>DR.3.1.3</t>
  </si>
  <si>
    <t>DR.3.2.1</t>
  </si>
  <si>
    <t>DR.3.1.2b</t>
  </si>
  <si>
    <t>After the deadline, in the course of normal design evolution, revised documents may be submitted without penalty.</t>
  </si>
  <si>
    <t>Team Contact(s)</t>
  </si>
  <si>
    <t>Some entries require additional tubes or documentation.</t>
  </si>
  <si>
    <t xml:space="preserve">Once these are added, document is ready for review. </t>
  </si>
  <si>
    <t>Locate all violations and bring the design into compliance before submitting.</t>
  </si>
  <si>
    <t>Summary</t>
  </si>
  <si>
    <t>The status of some cells depends on entries in other cells.</t>
  </si>
  <si>
    <t>Units</t>
  </si>
  <si>
    <t>T.2.22.1</t>
  </si>
  <si>
    <t>Anti-Intrusion Plate (AI) material:</t>
  </si>
  <si>
    <t>Anti-Intrusion and Front Bulkhead</t>
  </si>
  <si>
    <t>T.2.22.2</t>
  </si>
  <si>
    <t>AI Attachment:</t>
  </si>
  <si>
    <t>T.2.19</t>
  </si>
  <si>
    <t>Wall thickness:</t>
  </si>
  <si>
    <t>T.2.23.4</t>
  </si>
  <si>
    <t>Impact Attenuator (IA) used:</t>
  </si>
  <si>
    <t>Standard</t>
  </si>
  <si>
    <t>Diagonal wall thickness:</t>
  </si>
  <si>
    <t>Shortest FB dimension (Height or Width):</t>
  </si>
  <si>
    <t>Longest FB dimension (Height or Width):</t>
  </si>
  <si>
    <t>Front Bulkhead Supports (FBHS)</t>
  </si>
  <si>
    <t>and Front Hoop Braces (FHB)</t>
  </si>
  <si>
    <t>'X' or 'V' FHB configurations are discouraged.</t>
  </si>
  <si>
    <r>
      <rPr>
        <b/>
        <sz val="11"/>
        <rFont val="Calibri"/>
        <family val="2"/>
        <scheme val="minor"/>
      </rPr>
      <t>T.2.20.2a</t>
    </r>
    <r>
      <rPr>
        <sz val="11"/>
        <rFont val="Calibri"/>
        <family val="2"/>
        <scheme val="minor"/>
      </rPr>
      <t xml:space="preserve"> - Designate the Upper FBHS along its entire length.</t>
    </r>
  </si>
  <si>
    <r>
      <rPr>
        <b/>
        <sz val="11"/>
        <rFont val="Calibri"/>
        <family val="2"/>
        <scheme val="minor"/>
      </rPr>
      <t>T.2.20.2c</t>
    </r>
    <r>
      <rPr>
        <sz val="11"/>
        <rFont val="Calibri"/>
        <family val="2"/>
        <scheme val="minor"/>
      </rPr>
      <t xml:space="preserve"> - Designate the Lower FBHS along its entire length.</t>
    </r>
  </si>
  <si>
    <t>T.2.14.4</t>
  </si>
  <si>
    <t>T.2.20.2a</t>
  </si>
  <si>
    <r>
      <rPr>
        <b/>
        <sz val="11"/>
        <rFont val="Calibri"/>
        <family val="2"/>
        <scheme val="minor"/>
      </rPr>
      <t xml:space="preserve">T.2.5.1 - </t>
    </r>
    <r>
      <rPr>
        <sz val="11"/>
        <rFont val="Calibri"/>
        <family val="2"/>
        <scheme val="minor"/>
      </rPr>
      <t xml:space="preserve"> minimum </t>
    </r>
    <r>
      <rPr>
        <b/>
        <sz val="11"/>
        <rFont val="Calibri"/>
        <family val="2"/>
        <scheme val="minor"/>
      </rPr>
      <t>FBHS</t>
    </r>
    <r>
      <rPr>
        <sz val="11"/>
        <rFont val="Calibri"/>
        <family val="2"/>
        <scheme val="minor"/>
      </rPr>
      <t xml:space="preserve"> tube size:
Round: 25mm x 1.5mm -or- 26mm x 1.2mm (1in x .047in)
Square: 25mm x 25mm x 1.2mm (1in x 1in x .047in)</t>
    </r>
  </si>
  <si>
    <t>T.2.20</t>
  </si>
  <si>
    <t>T.2.14</t>
  </si>
  <si>
    <t>Front Hoop (FH)</t>
  </si>
  <si>
    <r>
      <rPr>
        <b/>
        <sz val="11"/>
        <rFont val="Calibri"/>
        <family val="2"/>
        <scheme val="minor"/>
      </rPr>
      <t xml:space="preserve">T.2.12.2 - </t>
    </r>
    <r>
      <rPr>
        <sz val="11"/>
        <rFont val="Calibri"/>
        <family val="2"/>
        <scheme val="minor"/>
      </rPr>
      <t>The FH runs from the lowest frame member on each side.</t>
    </r>
  </si>
  <si>
    <r>
      <rPr>
        <b/>
        <sz val="11"/>
        <rFont val="Calibri"/>
        <family val="2"/>
        <scheme val="minor"/>
      </rPr>
      <t xml:space="preserve">T.2.12.3 - </t>
    </r>
    <r>
      <rPr>
        <sz val="11"/>
        <rFont val="Calibri"/>
        <family val="2"/>
        <scheme val="minor"/>
      </rPr>
      <t>The FH may be multiple pieces. Side view bends must be braced per T.2.8.</t>
    </r>
  </si>
  <si>
    <r>
      <rPr>
        <b/>
        <sz val="11"/>
        <rFont val="Calibri"/>
        <family val="2"/>
        <scheme val="minor"/>
      </rPr>
      <t xml:space="preserve">T.2.5.1 - </t>
    </r>
    <r>
      <rPr>
        <sz val="11"/>
        <rFont val="Calibri"/>
        <family val="2"/>
        <scheme val="minor"/>
      </rPr>
      <t xml:space="preserve"> minimum </t>
    </r>
    <r>
      <rPr>
        <b/>
        <sz val="11"/>
        <rFont val="Calibri"/>
        <family val="2"/>
        <scheme val="minor"/>
      </rPr>
      <t>Front Bulkhead</t>
    </r>
    <r>
      <rPr>
        <sz val="11"/>
        <rFont val="Calibri"/>
        <family val="2"/>
        <scheme val="minor"/>
      </rPr>
      <t xml:space="preserve"> tube size:
Round: 25mm x 1.75mm (1in x .065in)
Square: 25mm x 25mm x 1.2mm (1in x 1in x .047in)</t>
    </r>
  </si>
  <si>
    <t>degrees</t>
  </si>
  <si>
    <t>Only cells with borders can be edited. Enter all values as positive numerals.</t>
  </si>
  <si>
    <t>T.2.12.5</t>
  </si>
  <si>
    <t>T.2.12.6</t>
  </si>
  <si>
    <t>FH to Steering Wheel gap &lt;=250mm (9.8in)</t>
  </si>
  <si>
    <t>T.2.14.5</t>
  </si>
  <si>
    <t>T.2.12</t>
  </si>
  <si>
    <r>
      <rPr>
        <b/>
        <sz val="11"/>
        <rFont val="Calibri"/>
        <family val="2"/>
        <scheme val="minor"/>
      </rPr>
      <t>T.2.6.3</t>
    </r>
    <r>
      <rPr>
        <sz val="11"/>
        <rFont val="Calibri"/>
        <family val="2"/>
        <scheme val="minor"/>
      </rPr>
      <t xml:space="preserve"> - For alternate </t>
    </r>
    <r>
      <rPr>
        <b/>
        <sz val="11"/>
        <rFont val="Calibri"/>
        <family val="2"/>
        <scheme val="minor"/>
      </rPr>
      <t>T.2.6 Front Hoop</t>
    </r>
    <r>
      <rPr>
        <sz val="11"/>
        <rFont val="Calibri"/>
        <family val="2"/>
        <scheme val="minor"/>
      </rPr>
      <t xml:space="preserve"> wall thicknesses as low as 2.0mm (.079in), the outer diameter must be increased to maintain the cross sectional area.</t>
    </r>
  </si>
  <si>
    <t>Turned Steering Wheel minimum below FH top:</t>
  </si>
  <si>
    <t>There are three basic configurations for the FBHS:</t>
  </si>
  <si>
    <t>FBHS configuration:</t>
  </si>
  <si>
    <t>A.</t>
  </si>
  <si>
    <t>B.</t>
  </si>
  <si>
    <t>C.</t>
  </si>
  <si>
    <t>Upper FBHS from the top of FB  to above the Upper SIS, braced rearward.
Lower FBHS from the bottom of the FB to the Lower SIS.</t>
  </si>
  <si>
    <t>Upper FBHS from the top of the FB to the Upper SIS, with a tolerance.
Lower FBHS from the bottom of the FB to the Lower SIS.</t>
  </si>
  <si>
    <t>Welded</t>
  </si>
  <si>
    <t>Front Bulkhead (FB) thinnest wall tube used:</t>
  </si>
  <si>
    <t>Front Hoop thinnest wall tube used:</t>
  </si>
  <si>
    <t>Front Bulkhead Support (FBHS) thinnest wall tube:</t>
  </si>
  <si>
    <t>FH rearward lean above Upper SIS &lt;= 10, or braced:</t>
  </si>
  <si>
    <t>Forward Front Hoop Brace thinnest wall tube:</t>
  </si>
  <si>
    <t>Side Impact Structure (SIS)</t>
  </si>
  <si>
    <r>
      <rPr>
        <b/>
        <sz val="11"/>
        <rFont val="Calibri"/>
        <family val="2"/>
        <scheme val="minor"/>
      </rPr>
      <t>T.2.26.4</t>
    </r>
    <r>
      <rPr>
        <sz val="11"/>
        <rFont val="Calibri"/>
        <family val="2"/>
        <scheme val="minor"/>
      </rPr>
      <t xml:space="preserve">  - Designate the Upper SIS along its entire length.</t>
    </r>
  </si>
  <si>
    <r>
      <rPr>
        <b/>
        <sz val="11"/>
        <rFont val="Calibri"/>
        <family val="2"/>
        <scheme val="minor"/>
      </rPr>
      <t>T.2.26.5</t>
    </r>
    <r>
      <rPr>
        <sz val="11"/>
        <rFont val="Calibri"/>
        <family val="2"/>
        <scheme val="minor"/>
      </rPr>
      <t xml:space="preserve"> - Lower SIS on each side from the bottom of the FH to the bottom of the MH.
Designate the Lower SIS along its entire length.</t>
    </r>
  </si>
  <si>
    <r>
      <rPr>
        <b/>
        <sz val="11"/>
        <rFont val="Calibri"/>
        <family val="2"/>
        <scheme val="minor"/>
      </rPr>
      <t>T.2.26.6</t>
    </r>
    <r>
      <rPr>
        <sz val="11"/>
        <rFont val="Calibri"/>
        <family val="2"/>
        <scheme val="minor"/>
      </rPr>
      <t xml:space="preserve"> - The area between the upper and lower SIS must be completely triangulated with tubes meeting </t>
    </r>
    <r>
      <rPr>
        <b/>
        <sz val="11"/>
        <rFont val="Calibri"/>
        <family val="2"/>
        <scheme val="minor"/>
      </rPr>
      <t>T.2.5-6 SIS</t>
    </r>
    <r>
      <rPr>
        <sz val="11"/>
        <rFont val="Calibri"/>
        <family val="2"/>
        <scheme val="minor"/>
      </rPr>
      <t>.</t>
    </r>
  </si>
  <si>
    <r>
      <rPr>
        <b/>
        <sz val="11"/>
        <rFont val="Calibri"/>
        <family val="2"/>
        <scheme val="minor"/>
      </rPr>
      <t>T.2.20.2d</t>
    </r>
    <r>
      <rPr>
        <sz val="11"/>
        <rFont val="Calibri"/>
        <family val="2"/>
        <scheme val="minor"/>
      </rPr>
      <t xml:space="preserve"> - The area between the Upper and Lower FBHS must be completely triangulated with tubes meeting </t>
    </r>
    <r>
      <rPr>
        <b/>
        <sz val="11"/>
        <rFont val="Calibri"/>
        <family val="2"/>
        <scheme val="minor"/>
      </rPr>
      <t>T.2.5-6 FBHS</t>
    </r>
    <r>
      <rPr>
        <sz val="11"/>
        <rFont val="Calibri"/>
        <family val="2"/>
        <scheme val="minor"/>
      </rPr>
      <t>.</t>
    </r>
  </si>
  <si>
    <t>T.2.26.4</t>
  </si>
  <si>
    <t>The sheet must be completed entirely in mm or entirely in Inch.</t>
  </si>
  <si>
    <t>T.2.26</t>
  </si>
  <si>
    <t>Straight</t>
  </si>
  <si>
    <t>Upper SIS geometry:</t>
  </si>
  <si>
    <t>Upper SIS thinnest wall tube used:</t>
  </si>
  <si>
    <t>Lower and Diagonal SIS thinnest wall tube used:</t>
  </si>
  <si>
    <r>
      <rPr>
        <b/>
        <sz val="11"/>
        <rFont val="Calibri"/>
        <family val="2"/>
        <scheme val="minor"/>
      </rPr>
      <t xml:space="preserve">T.2.5.1 - </t>
    </r>
    <r>
      <rPr>
        <sz val="11"/>
        <rFont val="Calibri"/>
        <family val="2"/>
        <scheme val="minor"/>
      </rPr>
      <t xml:space="preserve"> minimum </t>
    </r>
    <r>
      <rPr>
        <b/>
        <sz val="11"/>
        <rFont val="Calibri"/>
        <family val="2"/>
        <scheme val="minor"/>
      </rPr>
      <t>Side Impact Structure</t>
    </r>
    <r>
      <rPr>
        <sz val="11"/>
        <rFont val="Calibri"/>
        <family val="2"/>
        <scheme val="minor"/>
      </rPr>
      <t xml:space="preserve"> tube size:
Round: 25mm x 1.75mm (1in x .065in)
Square: 25mm x 25mm x 1.2mm (1in x 1in x .047in)
</t>
    </r>
    <r>
      <rPr>
        <b/>
        <sz val="11"/>
        <rFont val="Calibri"/>
        <family val="2"/>
        <scheme val="minor"/>
      </rPr>
      <t>Bent Upper SIS: 35mm x 1.2mm (1.375in x .047in)</t>
    </r>
  </si>
  <si>
    <t>and Shoulder Harness Bar (SH)</t>
  </si>
  <si>
    <t>Main Hoop (MH)</t>
  </si>
  <si>
    <r>
      <rPr>
        <b/>
        <sz val="11"/>
        <rFont val="Calibri"/>
        <family val="2"/>
        <scheme val="minor"/>
      </rPr>
      <t>T.2.11.3b -</t>
    </r>
    <r>
      <rPr>
        <sz val="11"/>
        <rFont val="Calibri"/>
        <family val="2"/>
        <scheme val="minor"/>
      </rPr>
      <t xml:space="preserve"> Main Hoop side view bends above Upper SIS must be braced to an MHBS node.</t>
    </r>
  </si>
  <si>
    <r>
      <rPr>
        <b/>
        <sz val="11"/>
        <rFont val="Calibri"/>
        <family val="2"/>
        <scheme val="minor"/>
      </rPr>
      <t>T.2.11.2</t>
    </r>
    <r>
      <rPr>
        <sz val="11"/>
        <rFont val="Calibri"/>
        <family val="2"/>
        <scheme val="minor"/>
      </rPr>
      <t xml:space="preserve"> - The Main Hoop must extend up from the lowest frame member on both sides.</t>
    </r>
  </si>
  <si>
    <t>Main Hoop thinnest wall tube used:</t>
  </si>
  <si>
    <r>
      <rPr>
        <b/>
        <sz val="11"/>
        <rFont val="Calibri"/>
        <family val="2"/>
        <scheme val="minor"/>
      </rPr>
      <t>T.2.5.3</t>
    </r>
    <r>
      <rPr>
        <sz val="11"/>
        <rFont val="Calibri"/>
        <family val="2"/>
        <scheme val="minor"/>
      </rPr>
      <t xml:space="preserve"> Any and all steel grades are assigned the same properties for SES analysis.</t>
    </r>
  </si>
  <si>
    <t>T.2.11</t>
  </si>
  <si>
    <t>T.2.11.3a</t>
  </si>
  <si>
    <t>Main Hoop side angle above Upper SIS &lt;=10:</t>
  </si>
  <si>
    <t>Rearward</t>
  </si>
  <si>
    <t>Main Hoop direction in side view above Upper SIS:</t>
  </si>
  <si>
    <t>Main Hoop direction in side view below Upper SIS:</t>
  </si>
  <si>
    <t>T.2.11.4</t>
  </si>
  <si>
    <t>Distance between Main Hoop ends &gt;=380mm (15")</t>
  </si>
  <si>
    <r>
      <rPr>
        <b/>
        <sz val="11"/>
        <rFont val="Calibri"/>
        <family val="2"/>
        <scheme val="minor"/>
      </rPr>
      <t>T.2.6.3</t>
    </r>
    <r>
      <rPr>
        <sz val="11"/>
        <rFont val="Calibri"/>
        <family val="2"/>
        <scheme val="minor"/>
      </rPr>
      <t xml:space="preserve"> - For alternate </t>
    </r>
    <r>
      <rPr>
        <b/>
        <sz val="11"/>
        <rFont val="Calibri"/>
        <family val="2"/>
        <scheme val="minor"/>
      </rPr>
      <t>T.2.6 Main Hoop</t>
    </r>
    <r>
      <rPr>
        <sz val="11"/>
        <rFont val="Calibri"/>
        <family val="2"/>
        <scheme val="minor"/>
      </rPr>
      <t xml:space="preserve"> and </t>
    </r>
    <r>
      <rPr>
        <b/>
        <sz val="11"/>
        <rFont val="Calibri"/>
        <family val="2"/>
        <scheme val="minor"/>
      </rPr>
      <t>Shoulder Harness Bar</t>
    </r>
    <r>
      <rPr>
        <sz val="11"/>
        <rFont val="Calibri"/>
        <family val="2"/>
        <scheme val="minor"/>
      </rPr>
      <t xml:space="preserve"> wall thicknesses as low as 2.0mm (.079in), the outer diameter must be increased to maintain the cross sectional area.</t>
    </r>
  </si>
  <si>
    <t>T.4.5</t>
  </si>
  <si>
    <t>Shoulder Harness Bar thinnest wall tube used:</t>
  </si>
  <si>
    <t>Shoulder Harness Bar Geometry:</t>
  </si>
  <si>
    <r>
      <rPr>
        <b/>
        <sz val="11"/>
        <rFont val="Calibri"/>
        <family val="2"/>
        <scheme val="minor"/>
      </rPr>
      <t>T.2.11.1</t>
    </r>
    <r>
      <rPr>
        <sz val="11"/>
        <rFont val="Calibri"/>
        <family val="2"/>
        <scheme val="minor"/>
      </rPr>
      <t xml:space="preserve"> - The Main Hoop must be one piece of uncut, continuous tubing.</t>
    </r>
  </si>
  <si>
    <r>
      <rPr>
        <b/>
        <sz val="11"/>
        <rFont val="Calibri"/>
        <family val="2"/>
        <scheme val="minor"/>
      </rPr>
      <t>T.4.5.1</t>
    </r>
    <r>
      <rPr>
        <sz val="11"/>
        <rFont val="Calibri"/>
        <family val="2"/>
        <scheme val="minor"/>
      </rPr>
      <t xml:space="preserve"> - The Shoulder Harness Bar must be one piece of uncut, continuous tubing.</t>
    </r>
  </si>
  <si>
    <r>
      <rPr>
        <b/>
        <sz val="11"/>
        <rFont val="Calibri"/>
        <family val="2"/>
        <scheme val="minor"/>
      </rPr>
      <t>T.4.5.2</t>
    </r>
    <r>
      <rPr>
        <sz val="11"/>
        <rFont val="Calibri"/>
        <family val="2"/>
        <scheme val="minor"/>
      </rPr>
      <t xml:space="preserve"> - The Shoulder Harness Bar must connect to the Main Hoop at both ends.</t>
    </r>
  </si>
  <si>
    <t>T.2.8.1</t>
  </si>
  <si>
    <t>Minimum tube centerline radius:</t>
  </si>
  <si>
    <t>Outer Diameter (OD):</t>
  </si>
  <si>
    <t>Minimum radius::diameter ratio &gt;=3:</t>
  </si>
  <si>
    <r>
      <rPr>
        <b/>
        <sz val="11"/>
        <rFont val="Calibri"/>
        <family val="2"/>
        <scheme val="minor"/>
      </rPr>
      <t>T.2.8.1</t>
    </r>
    <r>
      <rPr>
        <sz val="11"/>
        <rFont val="Calibri"/>
        <family val="2"/>
        <scheme val="minor"/>
      </rPr>
      <t xml:space="preserve"> - Enter the tightest bend on any </t>
    </r>
    <r>
      <rPr>
        <b/>
        <sz val="11"/>
        <rFont val="Calibri"/>
        <family val="2"/>
        <scheme val="minor"/>
      </rPr>
      <t>T.5-6</t>
    </r>
    <r>
      <rPr>
        <sz val="11"/>
        <rFont val="Calibri"/>
        <family val="2"/>
        <scheme val="minor"/>
      </rPr>
      <t xml:space="preserve"> tube in the chassis (usually in the MH or SH.)</t>
    </r>
  </si>
  <si>
    <r>
      <rPr>
        <b/>
        <sz val="11"/>
        <rFont val="Calibri"/>
        <family val="2"/>
        <scheme val="minor"/>
      </rPr>
      <t xml:space="preserve">T.2.5.1 - </t>
    </r>
    <r>
      <rPr>
        <sz val="11"/>
        <rFont val="Calibri"/>
        <family val="2"/>
        <scheme val="minor"/>
      </rPr>
      <t xml:space="preserve"> minimum </t>
    </r>
    <r>
      <rPr>
        <b/>
        <sz val="11"/>
        <rFont val="Calibri"/>
        <family val="2"/>
        <scheme val="minor"/>
      </rPr>
      <t>Shoulder Harness Brace</t>
    </r>
    <r>
      <rPr>
        <sz val="11"/>
        <rFont val="Calibri"/>
        <family val="2"/>
        <scheme val="minor"/>
      </rPr>
      <t xml:space="preserve"> tube size:
Round: 25mm x 1.5mm -or- 26mm x 1.2mm (1in x .047in)
Square: 25mm x 25mm x 1.2mm (1in x 1in x .047in)</t>
    </r>
  </si>
  <si>
    <t>Main Hoop Braces (MHB)</t>
  </si>
  <si>
    <t>and Main Hoop Brace Supports (MHBS)</t>
  </si>
  <si>
    <t>T.2.13.3</t>
  </si>
  <si>
    <r>
      <rPr>
        <b/>
        <sz val="11"/>
        <rFont val="Calibri"/>
        <family val="2"/>
        <scheme val="minor"/>
      </rPr>
      <t>T.2.14.3</t>
    </r>
    <r>
      <rPr>
        <sz val="11"/>
        <rFont val="Calibri"/>
        <family val="2"/>
        <scheme val="minor"/>
      </rPr>
      <t xml:space="preserve"> - The FHB should extend all the way to the Front Bulkhead.</t>
    </r>
  </si>
  <si>
    <r>
      <rPr>
        <b/>
        <sz val="11"/>
        <rFont val="Calibri"/>
        <family val="2"/>
        <scheme val="minor"/>
      </rPr>
      <t>T.2.13.5</t>
    </r>
    <r>
      <rPr>
        <sz val="11"/>
        <rFont val="Calibri"/>
        <family val="2"/>
        <scheme val="minor"/>
      </rPr>
      <t xml:space="preserve"> - The Main Hoop Braces must be one piece, with no bends.</t>
    </r>
  </si>
  <si>
    <t>'X' or 'V' MHB configurations are strongly discouraged.</t>
  </si>
  <si>
    <r>
      <rPr>
        <b/>
        <sz val="11"/>
        <rFont val="Calibri"/>
        <family val="2"/>
        <scheme val="minor"/>
      </rPr>
      <t>T.2.13.7</t>
    </r>
    <r>
      <rPr>
        <sz val="11"/>
        <rFont val="Calibri"/>
        <family val="2"/>
        <scheme val="minor"/>
      </rPr>
      <t xml:space="preserve"> - The MHB must be triangulated back to the Main Hoop at the Upper and Lower SIS.</t>
    </r>
  </si>
  <si>
    <r>
      <t>T.2.13.7a</t>
    </r>
    <r>
      <rPr>
        <sz val="11"/>
        <rFont val="Calibri"/>
        <family val="2"/>
        <scheme val="minor"/>
      </rPr>
      <t xml:space="preserve"> - The Upper MHBS runs from MHB to the Upper SIS.
Designate the Upper MHBS along its entire length.</t>
    </r>
  </si>
  <si>
    <r>
      <rPr>
        <b/>
        <sz val="11"/>
        <rFont val="Calibri"/>
        <family val="2"/>
        <scheme val="minor"/>
      </rPr>
      <t xml:space="preserve">T.2.5.1 - </t>
    </r>
    <r>
      <rPr>
        <sz val="11"/>
        <rFont val="Calibri"/>
        <family val="2"/>
        <scheme val="minor"/>
      </rPr>
      <t xml:space="preserve"> minimum </t>
    </r>
    <r>
      <rPr>
        <b/>
        <sz val="11"/>
        <rFont val="Calibri"/>
        <family val="2"/>
        <scheme val="minor"/>
      </rPr>
      <t>Main Hoop Brace</t>
    </r>
    <r>
      <rPr>
        <sz val="11"/>
        <rFont val="Calibri"/>
        <family val="2"/>
        <scheme val="minor"/>
      </rPr>
      <t xml:space="preserve"> tube size:
Round: 25mm x 1.75mm (1in x .065in)
Square: 25mm x 25mm x 1.2mm (1in x 1in x .047in)</t>
    </r>
  </si>
  <si>
    <r>
      <rPr>
        <b/>
        <sz val="11"/>
        <rFont val="Calibri"/>
        <family val="2"/>
        <scheme val="minor"/>
      </rPr>
      <t>T.2.6.3</t>
    </r>
    <r>
      <rPr>
        <sz val="11"/>
        <rFont val="Calibri"/>
        <family val="2"/>
        <scheme val="minor"/>
      </rPr>
      <t xml:space="preserve"> - For alternate </t>
    </r>
    <r>
      <rPr>
        <b/>
        <sz val="11"/>
        <rFont val="Calibri"/>
        <family val="2"/>
        <scheme val="minor"/>
      </rPr>
      <t>T.2.6 Main Hoop Brace</t>
    </r>
    <r>
      <rPr>
        <sz val="11"/>
        <rFont val="Calibri"/>
        <family val="2"/>
        <scheme val="minor"/>
      </rPr>
      <t xml:space="preserve"> wall thicknesses as low as 1.2mm (.047in), the outer diameter must be increased to maintain the cross sectional area.</t>
    </r>
  </si>
  <si>
    <t>Main Hoop brace direction:</t>
  </si>
  <si>
    <t>T.2.13.4</t>
  </si>
  <si>
    <t>Angle between MH and MHB &gt;=30 degrees:</t>
  </si>
  <si>
    <t>Main Hoop Braces thinnest wall tube:</t>
  </si>
  <si>
    <t>T.2.13</t>
  </si>
  <si>
    <r>
      <rPr>
        <b/>
        <sz val="11"/>
        <rFont val="Calibri"/>
        <family val="2"/>
        <scheme val="minor"/>
      </rPr>
      <t>T.2.13.7a</t>
    </r>
    <r>
      <rPr>
        <sz val="11"/>
        <rFont val="Calibri"/>
        <family val="2"/>
        <scheme val="minor"/>
      </rPr>
      <t xml:space="preserve"> - A </t>
    </r>
    <r>
      <rPr>
        <b/>
        <sz val="11"/>
        <rFont val="Calibri"/>
        <family val="2"/>
        <scheme val="minor"/>
      </rPr>
      <t>Shoulder Harness Bar and/or SH Brace</t>
    </r>
    <r>
      <rPr>
        <sz val="11"/>
        <rFont val="Calibri"/>
        <family val="2"/>
        <scheme val="minor"/>
      </rPr>
      <t xml:space="preserve"> may be used as part of the MHBS.</t>
    </r>
  </si>
  <si>
    <t>Maximum Front Hoop side angle &lt;=20 degrees:</t>
  </si>
  <si>
    <t>Main Hoop Brace Support (MBHS) thinnest wall:</t>
  </si>
  <si>
    <r>
      <t>T.2.13.7b</t>
    </r>
    <r>
      <rPr>
        <sz val="11"/>
        <rFont val="Calibri"/>
        <family val="2"/>
        <scheme val="minor"/>
      </rPr>
      <t>- The Lower MHBS runs from MHB to the Lower SIS.
Designate the Lower MHBS along its entire length.</t>
    </r>
  </si>
  <si>
    <r>
      <rPr>
        <b/>
        <sz val="11"/>
        <rFont val="Calibri"/>
        <family val="2"/>
        <scheme val="minor"/>
      </rPr>
      <t>T.2.13.7, T.2.10.2</t>
    </r>
    <r>
      <rPr>
        <sz val="11"/>
        <rFont val="Calibri"/>
        <family val="2"/>
        <scheme val="minor"/>
      </rPr>
      <t xml:space="preserve"> - The area between the Upper and Lower MHBS must be completely triangulated with tubes meeting </t>
    </r>
    <r>
      <rPr>
        <b/>
        <sz val="11"/>
        <rFont val="Calibri"/>
        <family val="2"/>
        <scheme val="minor"/>
      </rPr>
      <t>T.2.5-6 FBHS</t>
    </r>
    <r>
      <rPr>
        <sz val="11"/>
        <rFont val="Calibri"/>
        <family val="2"/>
        <scheme val="minor"/>
      </rPr>
      <t>.</t>
    </r>
  </si>
  <si>
    <t>and Rear Wing Mounting</t>
  </si>
  <si>
    <t>T.2.11.3c</t>
  </si>
  <si>
    <t>T.2.10.3a</t>
  </si>
  <si>
    <t>Helmet &gt;=50mm (2in) below Roll Hoop plane:</t>
  </si>
  <si>
    <t>T.2.10.3bc</t>
  </si>
  <si>
    <t>Main Hoop Braces protecting Helmet:</t>
  </si>
  <si>
    <t>Head Restraint &gt;=0 from ground in any rollover:</t>
  </si>
  <si>
    <t>T.2.13.9</t>
  </si>
  <si>
    <t>Helmet Clearance, Head Restraint,</t>
  </si>
  <si>
    <t>Rear Wing chassis mounting locations:</t>
  </si>
  <si>
    <t>Select drop down:</t>
  </si>
  <si>
    <r>
      <rPr>
        <b/>
        <sz val="11"/>
        <rFont val="Calibri"/>
        <family val="2"/>
        <scheme val="minor"/>
      </rPr>
      <t>T.2.13.9</t>
    </r>
    <r>
      <rPr>
        <sz val="11"/>
        <rFont val="Calibri"/>
        <family val="2"/>
        <scheme val="minor"/>
      </rPr>
      <t xml:space="preserve"> -  Wing mounts cannot be added to the middle of the MHB without bracing.</t>
    </r>
  </si>
  <si>
    <r>
      <rPr>
        <b/>
        <sz val="11"/>
        <rFont val="Calibri"/>
        <family val="2"/>
        <scheme val="minor"/>
      </rPr>
      <t>T.2.13.9</t>
    </r>
    <r>
      <rPr>
        <sz val="11"/>
        <rFont val="Calibri"/>
        <family val="2"/>
        <scheme val="minor"/>
      </rPr>
      <t xml:space="preserve"> - Place rear wing mounts at nodes, or away from the MHB.</t>
    </r>
  </si>
  <si>
    <r>
      <rPr>
        <b/>
        <sz val="11"/>
        <rFont val="Calibri"/>
        <family val="2"/>
        <scheme val="minor"/>
      </rPr>
      <t>T.2.13.9</t>
    </r>
    <r>
      <rPr>
        <sz val="11"/>
        <rFont val="Calibri"/>
        <family val="2"/>
        <scheme val="minor"/>
      </rPr>
      <t xml:space="preserve"> - Head restraints and wing mounts cannot risk buckling the MH or MHB.</t>
    </r>
  </si>
  <si>
    <t>T.2.2.1</t>
  </si>
  <si>
    <r>
      <rPr>
        <b/>
        <sz val="11"/>
        <rFont val="Calibri"/>
        <family val="2"/>
        <scheme val="minor"/>
      </rPr>
      <t xml:space="preserve">T.2.23.4b - </t>
    </r>
    <r>
      <rPr>
        <sz val="11"/>
        <rFont val="Calibri"/>
        <family val="2"/>
        <scheme val="minor"/>
      </rPr>
      <t xml:space="preserve"> It may be shown with testing in the IAD document that the AI plate deflects less than 25mm without a diagonal. The SES can be accepted prior to IAD testing, but will be sent back for revision if a diagonal proves necessary.</t>
    </r>
  </si>
  <si>
    <t>Incomplete submissions will incur a penalty.</t>
  </si>
  <si>
    <r>
      <t xml:space="preserve">Use the Steel Tube version for all frames built to comply fully with </t>
    </r>
    <r>
      <rPr>
        <b/>
        <sz val="11"/>
        <rFont val="Calibri"/>
        <family val="2"/>
        <scheme val="minor"/>
      </rPr>
      <t>T.2.5</t>
    </r>
    <r>
      <rPr>
        <sz val="11"/>
        <rFont val="Calibri"/>
        <family val="2"/>
        <scheme val="minor"/>
      </rPr>
      <t xml:space="preserve"> or </t>
    </r>
    <r>
      <rPr>
        <b/>
        <sz val="11"/>
        <rFont val="Calibri"/>
        <family val="2"/>
        <scheme val="minor"/>
      </rPr>
      <t>T.2.6</t>
    </r>
  </si>
  <si>
    <r>
      <rPr>
        <b/>
        <sz val="11"/>
        <rFont val="Calibri"/>
        <family val="2"/>
        <scheme val="minor"/>
      </rPr>
      <t>T.2.5.3</t>
    </r>
    <r>
      <rPr>
        <sz val="11"/>
        <rFont val="Calibri"/>
        <family val="2"/>
        <scheme val="minor"/>
      </rPr>
      <t xml:space="preserve"> - Any and all steel grades are assigned the same material properties. No material properties for different grades may be used in the SES.</t>
    </r>
  </si>
  <si>
    <t>Cells with drop down lists are highlighted with a thick border. An initial setting is shown.</t>
  </si>
  <si>
    <t>Designate the Main Hoop Braces.</t>
  </si>
  <si>
    <t>Designate the Front Hoop Braces.</t>
  </si>
  <si>
    <t>Highlight/trace/color code required tubes.</t>
  </si>
  <si>
    <t>Use different colors for square and round.</t>
  </si>
  <si>
    <t>Include a legend that shows each color and size.</t>
  </si>
  <si>
    <t>Fuel tank or HV systems must be shown in orange.</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</si>
  <si>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</si>
  <si>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</si>
  <si>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</si>
  <si>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</si>
  <si>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</si>
  <si>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</si>
  <si>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Multiple or detail images may be used anywhere in the SES.</t>
  </si>
  <si>
    <t>Front 3/4 3D CAD with color coded tube sizes required.</t>
  </si>
  <si>
    <t>Rear 3/4 3D CAD with color coded tube sizes required.</t>
  </si>
  <si>
    <t>Top or bottom view required for 30 degree bend check.</t>
  </si>
  <si>
    <r>
      <rPr>
        <b/>
        <sz val="11"/>
        <rFont val="Calibri"/>
        <family val="2"/>
        <scheme val="minor"/>
      </rPr>
      <t>T.2.13.9</t>
    </r>
    <r>
      <rPr>
        <sz val="11"/>
        <rFont val="Calibri"/>
        <family val="2"/>
        <scheme val="minor"/>
      </rPr>
      <t xml:space="preserve"> - Any additional bracing under the MHB (putting the MHB in bending) is considered the start of the Upper and Lower MHBS.</t>
    </r>
  </si>
  <si>
    <r>
      <rPr>
        <b/>
        <sz val="11"/>
        <rFont val="Calibri"/>
        <family val="2"/>
        <scheme val="minor"/>
      </rPr>
      <t>T.2.11.3b -</t>
    </r>
    <r>
      <rPr>
        <sz val="11"/>
        <rFont val="Calibri"/>
        <family val="2"/>
        <scheme val="minor"/>
      </rPr>
      <t xml:space="preserve"> Main Hoop side view bends above Upper SIS must be braced to an MHBS or SIS node.</t>
    </r>
  </si>
  <si>
    <r>
      <rPr>
        <b/>
        <sz val="11"/>
        <rFont val="Calibri"/>
        <family val="2"/>
        <scheme val="minor"/>
      </rPr>
      <t>T.2.8.1</t>
    </r>
    <r>
      <rPr>
        <sz val="11"/>
        <rFont val="Calibri"/>
        <family val="2"/>
        <scheme val="minor"/>
      </rPr>
      <t xml:space="preserve"> - The plane of a bent tube is defined by the straight axes on either side of the bend.</t>
    </r>
  </si>
  <si>
    <t>1.a</t>
  </si>
  <si>
    <t>Bolted Chassis Connection with dimensions.</t>
  </si>
  <si>
    <t>Bolted Connection</t>
  </si>
  <si>
    <t>Dimensions shown above from the edges of the holes to the end of each tube/tab &gt;=1.5 x diameter.</t>
  </si>
  <si>
    <r>
      <rPr>
        <b/>
        <sz val="11"/>
        <color theme="1"/>
        <rFont val="Calibri"/>
        <family val="2"/>
        <scheme val="minor"/>
      </rPr>
      <t>T.2.17.3</t>
    </r>
    <r>
      <rPr>
        <sz val="11"/>
        <color theme="1"/>
        <rFont val="Calibri"/>
        <family val="2"/>
        <scheme val="minor"/>
      </rPr>
      <t xml:space="preserve"> - Any bolted non-suspension member must have an edge::distance ratio &gt;=1.5.</t>
    </r>
  </si>
  <si>
    <t>T.2.17.3</t>
  </si>
  <si>
    <t>T.2.18</t>
  </si>
  <si>
    <t>Bolted Connection:</t>
  </si>
  <si>
    <t>Minimum edge::diameter ratio &gt;=1.5:</t>
  </si>
  <si>
    <t>Hole diameter / fastener size:</t>
  </si>
  <si>
    <r>
      <rPr>
        <b/>
        <sz val="11"/>
        <color theme="1"/>
        <rFont val="Calibri"/>
        <family val="2"/>
        <scheme val="minor"/>
      </rPr>
      <t>T.2.18.6</t>
    </r>
    <r>
      <rPr>
        <sz val="11"/>
        <color theme="1"/>
        <rFont val="Calibri"/>
        <family val="2"/>
        <scheme val="minor"/>
      </rPr>
      <t xml:space="preserve"> - Sleeved butt joints require a pin or fastener &gt;= 6mm Grade 9.8 (1/4in Grade 8).</t>
    </r>
  </si>
  <si>
    <r>
      <rPr>
        <b/>
        <sz val="11"/>
        <color theme="1"/>
        <rFont val="Calibri"/>
        <family val="2"/>
        <scheme val="minor"/>
      </rPr>
      <t>T.2.18.5</t>
    </r>
    <r>
      <rPr>
        <sz val="11"/>
        <color theme="1"/>
        <rFont val="Calibri"/>
        <family val="2"/>
        <scheme val="minor"/>
      </rPr>
      <t xml:space="preserve"> - Double lug joints require a pin or fastener &gt;= 10mm Grade 9.8 (3/8in Grade 8).</t>
    </r>
  </si>
  <si>
    <t>This will not change until all required entries are filled out. Check all tabs.</t>
  </si>
  <si>
    <t>BROWN: NO. GROUNDS FOR REJECTION. CHECK ALL TABS.</t>
  </si>
  <si>
    <r>
      <rPr>
        <b/>
        <sz val="11"/>
        <color theme="1"/>
        <rFont val="Calibri"/>
        <family val="2"/>
        <scheme val="minor"/>
      </rPr>
      <t>T.2.18.4</t>
    </r>
    <r>
      <rPr>
        <sz val="11"/>
        <color theme="1"/>
        <rFont val="Calibri"/>
        <family val="2"/>
        <scheme val="minor"/>
      </rPr>
      <t xml:space="preserve"> - Double lug joints caps at both ends.</t>
    </r>
  </si>
  <si>
    <t>Welded Tube Insert</t>
  </si>
  <si>
    <t>Original tube:</t>
  </si>
  <si>
    <t>T.2.5.3a</t>
  </si>
  <si>
    <t>Tube cross sectional area (A_1):</t>
  </si>
  <si>
    <t>Tube second moment of inertia (I_1):</t>
  </si>
  <si>
    <t>Welded Tube Insert with dimensions.</t>
  </si>
  <si>
    <t>EQ</t>
  </si>
  <si>
    <t>BLUE: NO. BLANK ENTRY. INCOMPLETE. CHECK ALL TABS.</t>
  </si>
  <si>
    <t>SKY: YES. RULES EQUIVALENCE.</t>
  </si>
  <si>
    <t>YELLOW: YES. CHECK ADDITIONAL EQUIVALENCIES.</t>
  </si>
  <si>
    <r>
      <rPr>
        <b/>
        <sz val="11"/>
        <rFont val="Calibri"/>
        <family val="2"/>
        <scheme val="minor"/>
      </rPr>
      <t xml:space="preserve">T.2.14.6 </t>
    </r>
    <r>
      <rPr>
        <sz val="11"/>
        <rFont val="Calibri"/>
        <family val="2"/>
        <scheme val="minor"/>
      </rPr>
      <t>- The FHB must be straight, without any bends. (One segment.)</t>
    </r>
  </si>
  <si>
    <t>Grounds for rejection could be considered incomplete and incur a penalty.</t>
  </si>
  <si>
    <t>FBHS: Some examples and explanations for configurations A, B, and C.</t>
  </si>
  <si>
    <t>1.</t>
  </si>
  <si>
    <t>Designate the Upper FBHS/SIS/MBHS along its entire length.</t>
  </si>
  <si>
    <t>Designate the Lower FBHS/SIS/MBHS along its entire length.</t>
  </si>
  <si>
    <t>Designate all Front and Main Hoop Braces.</t>
  </si>
  <si>
    <t>2.</t>
  </si>
  <si>
    <t>Include all dimensions requested by the SES.</t>
  </si>
  <si>
    <t>An FBHS node may be offset from the Upper SIS by +100mm/-50mm.</t>
  </si>
  <si>
    <t>This is the only exception to the triangulation requirement.</t>
  </si>
  <si>
    <t>3.</t>
  </si>
  <si>
    <r>
      <rPr>
        <b/>
        <sz val="11"/>
        <rFont val="Calibri"/>
        <family val="2"/>
        <scheme val="minor"/>
      </rPr>
      <t>T.2.8.1</t>
    </r>
    <r>
      <rPr>
        <sz val="11"/>
        <rFont val="Calibri"/>
        <family val="2"/>
        <scheme val="minor"/>
      </rPr>
      <t xml:space="preserve"> - The bend radius at the centerline axis must be &gt;= 3 x tube OD.</t>
    </r>
  </si>
  <si>
    <r>
      <t xml:space="preserve">All bends and multiple segment members must be braced according to </t>
    </r>
    <r>
      <rPr>
        <b/>
        <sz val="11"/>
        <rFont val="Calibri"/>
        <family val="2"/>
        <scheme val="minor"/>
      </rPr>
      <t>T.2.8.</t>
    </r>
  </si>
  <si>
    <r>
      <rPr>
        <b/>
        <sz val="11"/>
        <rFont val="Calibri"/>
        <family val="2"/>
        <scheme val="minor"/>
      </rPr>
      <t>T.2.8.3a</t>
    </r>
    <r>
      <rPr>
        <sz val="11"/>
        <rFont val="Calibri"/>
        <family val="2"/>
        <scheme val="minor"/>
      </rPr>
      <t xml:space="preserve"> - The brace must be at the center of the bend or intersection.</t>
    </r>
  </si>
  <si>
    <r>
      <rPr>
        <b/>
        <sz val="11"/>
        <rFont val="Calibri"/>
        <family val="2"/>
        <scheme val="minor"/>
      </rPr>
      <t>T.2.8.3b</t>
    </r>
    <r>
      <rPr>
        <sz val="11"/>
        <rFont val="Calibri"/>
        <family val="2"/>
        <scheme val="minor"/>
      </rPr>
      <t xml:space="preserve"> - The brace must be at least as big as the largest tube being braced.</t>
    </r>
  </si>
  <si>
    <r>
      <rPr>
        <b/>
        <sz val="11"/>
        <rFont val="Calibri"/>
        <family val="2"/>
        <scheme val="minor"/>
      </rPr>
      <t>T.2.8.3b</t>
    </r>
    <r>
      <rPr>
        <sz val="11"/>
        <rFont val="Calibri"/>
        <family val="2"/>
        <scheme val="minor"/>
      </rPr>
      <t xml:space="preserve"> - The brace must be within 30 degrees of the plane of the bend.</t>
    </r>
  </si>
  <si>
    <t>The plane of the bend is defined by the straight axes on either side of the bend.</t>
  </si>
  <si>
    <t>A bent SIS must be larger in diameter and wall thickness.</t>
  </si>
  <si>
    <t>A straight SIS may be intersected by triangulated tubes without being considered bent.</t>
  </si>
  <si>
    <t>Front and Main Hoop Braces may only be one segment.</t>
  </si>
  <si>
    <t>The FHB should reach the Front Bulkhead.</t>
  </si>
  <si>
    <t>The plane and 30 degree requirement must be considered in 3 dimensions.</t>
  </si>
  <si>
    <t>4.</t>
  </si>
  <si>
    <t>There is no limit to the number or size of triangles used between an Upper and Lower.</t>
  </si>
  <si>
    <t>There is no limit to the number bends.</t>
  </si>
  <si>
    <t>No openings up to 350mm above ground may allow a 10" diameter impactor to pass through.</t>
  </si>
  <si>
    <t>Additional triangulated structure behind the MHB/MHBS may be required for Fuel or HV component protection up to 350mm above ground.</t>
  </si>
  <si>
    <t>The bottom of the MHB is the only exception to this requirement.</t>
  </si>
  <si>
    <t>5.</t>
  </si>
  <si>
    <t>X-geometry may be used instead of diagonals.</t>
  </si>
  <si>
    <t>X- and V- Hoop Braces are discouraged, especially for the Main Hoop.</t>
  </si>
  <si>
    <t>A Shoulder Harness bar or braces may also act as an MHBS member.</t>
  </si>
  <si>
    <t>No wing mounts may be located mid-span on the MHB or MH.</t>
  </si>
  <si>
    <t>MHBS</t>
  </si>
  <si>
    <t>FBHS</t>
  </si>
  <si>
    <t>SIS</t>
  </si>
  <si>
    <r>
      <t xml:space="preserve">See column </t>
    </r>
    <r>
      <rPr>
        <b/>
        <sz val="11"/>
        <rFont val="Calibri"/>
        <family val="2"/>
        <scheme val="minor"/>
      </rPr>
      <t>'F'</t>
    </r>
    <r>
      <rPr>
        <sz val="11"/>
        <rFont val="Calibri"/>
        <family val="2"/>
        <scheme val="minor"/>
      </rPr>
      <t xml:space="preserve"> to the right.</t>
    </r>
  </si>
  <si>
    <r>
      <rPr>
        <b/>
        <sz val="11"/>
        <rFont val="Calibri"/>
        <family val="2"/>
        <scheme val="minor"/>
      </rPr>
      <t>T.2.13.9, T.2.10.2</t>
    </r>
    <r>
      <rPr>
        <sz val="11"/>
        <rFont val="Calibri"/>
        <family val="2"/>
        <scheme val="minor"/>
      </rPr>
      <t xml:space="preserve"> - Any connecting tube will be considered the start of the Upper and Lower MHBS.</t>
    </r>
  </si>
  <si>
    <r>
      <t xml:space="preserve">Use the Monocoque/Hybrid/Non-Ferrous version for all frames built in part or in whole to comply with </t>
    </r>
    <r>
      <rPr>
        <b/>
        <sz val="11"/>
        <rFont val="Calibri"/>
        <family val="2"/>
        <scheme val="minor"/>
      </rPr>
      <t>T.2.7</t>
    </r>
    <r>
      <rPr>
        <sz val="11"/>
        <rFont val="Calibri"/>
        <family val="2"/>
        <scheme val="minor"/>
      </rPr>
      <t xml:space="preserve"> or </t>
    </r>
    <r>
      <rPr>
        <b/>
        <sz val="11"/>
        <rFont val="Calibri"/>
        <family val="2"/>
        <scheme val="minor"/>
      </rPr>
      <t>T.2.28-41</t>
    </r>
    <r>
      <rPr>
        <sz val="11"/>
        <rFont val="Calibri"/>
        <family val="2"/>
        <scheme val="minor"/>
      </rPr>
      <t>.</t>
    </r>
  </si>
  <si>
    <r>
      <rPr>
        <b/>
        <sz val="11"/>
        <rFont val="Calibri"/>
        <family val="2"/>
        <scheme val="minor"/>
      </rPr>
      <t>T.2.39</t>
    </r>
    <r>
      <rPr>
        <sz val="11"/>
        <rFont val="Calibri"/>
        <family val="2"/>
        <scheme val="minor"/>
      </rPr>
      <t xml:space="preserve">  - For AI plates made of any material besides steel or aluminum, either the IA test
or 3-Point and Shear tests are required. In the latter case, the 3-Point and Shear tabs in the Monocoque / Hybrid / Non-Ferrous SES must be copied into this file and completed.</t>
    </r>
  </si>
  <si>
    <r>
      <rPr>
        <b/>
        <sz val="11"/>
        <rFont val="Calibri"/>
        <family val="2"/>
        <scheme val="minor"/>
      </rPr>
      <t>T.2.2.2</t>
    </r>
    <r>
      <rPr>
        <sz val="11"/>
        <rFont val="Calibri"/>
        <family val="2"/>
        <scheme val="minor"/>
      </rPr>
      <t xml:space="preserve"> - The driver's feet must be completely enclosed by tubes meeting T.2.5-6.</t>
    </r>
  </si>
  <si>
    <r>
      <rPr>
        <b/>
        <sz val="11"/>
        <rFont val="Calibri"/>
        <family val="2"/>
        <scheme val="minor"/>
      </rPr>
      <t>T.2.6.3</t>
    </r>
    <r>
      <rPr>
        <sz val="11"/>
        <rFont val="Calibri"/>
        <family val="2"/>
        <scheme val="minor"/>
      </rPr>
      <t xml:space="preserve"> - For alternate </t>
    </r>
    <r>
      <rPr>
        <b/>
        <sz val="11"/>
        <rFont val="Calibri"/>
        <family val="2"/>
        <scheme val="minor"/>
      </rPr>
      <t>T.2.6 Front Bulkhead</t>
    </r>
    <r>
      <rPr>
        <sz val="11"/>
        <rFont val="Calibri"/>
        <family val="2"/>
        <scheme val="minor"/>
      </rPr>
      <t xml:space="preserve"> wall thicknesses as low as 1.2mm (.047in), the outer diameter must be increased to maintain the cross sectional area.</t>
    </r>
  </si>
  <si>
    <t>SIS Examples</t>
  </si>
  <si>
    <t>MHBS examples and explanations.</t>
  </si>
  <si>
    <t>Using Shoulder Harness Bar/Braces</t>
  </si>
  <si>
    <t>T.2.12.4</t>
  </si>
  <si>
    <t>T.2.20.2ab</t>
  </si>
  <si>
    <t>T.4.5.3b</t>
  </si>
  <si>
    <t>Brace angle to plane of SH side view &gt;= 30:</t>
  </si>
  <si>
    <r>
      <rPr>
        <b/>
        <sz val="11"/>
        <rFont val="Calibri"/>
        <family val="2"/>
        <scheme val="minor"/>
      </rPr>
      <t xml:space="preserve">T.2.5.1 - </t>
    </r>
    <r>
      <rPr>
        <sz val="11"/>
        <rFont val="Calibri"/>
        <family val="2"/>
        <scheme val="minor"/>
      </rPr>
      <t xml:space="preserve"> minimum </t>
    </r>
    <r>
      <rPr>
        <b/>
        <sz val="11"/>
        <rFont val="Calibri"/>
        <family val="2"/>
        <scheme val="minor"/>
      </rPr>
      <t>MBHS</t>
    </r>
    <r>
      <rPr>
        <sz val="11"/>
        <rFont val="Calibri"/>
        <family val="2"/>
        <scheme val="minor"/>
      </rPr>
      <t xml:space="preserve"> tube size:
Round: 25mm x 1.5mm -or- 26mm x 1.2mm (1in x .047in)
Square: 25mm x 25mm x 1.2mm (1in x 1in x .047in)</t>
    </r>
  </si>
  <si>
    <t>Insert/Collar cross sectional area (A_2):</t>
  </si>
  <si>
    <t>Insert/Collar second moment of inertia (I_2):</t>
  </si>
  <si>
    <t>Tube with Hole cross sectional area (A_3):</t>
  </si>
  <si>
    <t>Tube with Hole second moment of inertia (I_3):</t>
  </si>
  <si>
    <t>Car Numbers</t>
  </si>
  <si>
    <t>Competitions</t>
  </si>
  <si>
    <t>Bolted Members Used?</t>
  </si>
  <si>
    <t>Does the steering rack interrupt any required tubes?</t>
  </si>
  <si>
    <t>Any holes over 4mm drilled in required tubes?</t>
  </si>
  <si>
    <t>Front Bulkhead CAD with dimensions required.</t>
  </si>
  <si>
    <r>
      <t xml:space="preserve">For </t>
    </r>
    <r>
      <rPr>
        <b/>
        <sz val="11"/>
        <color theme="1"/>
        <rFont val="Calibri"/>
        <family val="2"/>
        <scheme val="minor"/>
      </rPr>
      <t xml:space="preserve">EQ: </t>
    </r>
    <r>
      <rPr>
        <sz val="11"/>
        <color theme="1"/>
        <rFont val="Calibri"/>
        <family val="2"/>
        <scheme val="minor"/>
      </rPr>
      <t xml:space="preserve">All entries filled out correctly.  - or -
</t>
    </r>
    <r>
      <rPr>
        <b/>
        <sz val="11"/>
        <color theme="1"/>
        <rFont val="Calibri"/>
        <family val="2"/>
        <scheme val="minor"/>
      </rPr>
      <t>No connection used:</t>
    </r>
    <r>
      <rPr>
        <sz val="11"/>
        <color theme="1"/>
        <rFont val="Calibri"/>
        <family val="2"/>
        <scheme val="minor"/>
      </rPr>
      <t xml:space="preserve">
1. Bolted Connection set to "Select drop down."
2. Clear lug thickness box.
Symmetric left / right attachments only need to be entered for one side.
If more than 5 non-symmetric bolted connections are used, make a copy of this tab.</t>
    </r>
  </si>
  <si>
    <r>
      <t xml:space="preserve">For </t>
    </r>
    <r>
      <rPr>
        <b/>
        <sz val="11"/>
        <color theme="1"/>
        <rFont val="Calibri"/>
        <family val="2"/>
        <scheme val="minor"/>
      </rPr>
      <t xml:space="preserve">EQ:
</t>
    </r>
    <r>
      <rPr>
        <sz val="11"/>
        <color theme="1"/>
        <rFont val="Calibri"/>
        <family val="2"/>
        <scheme val="minor"/>
      </rPr>
      <t xml:space="preserve">All entries filled out correctly.
-or-
</t>
    </r>
    <r>
      <rPr>
        <b/>
        <sz val="11"/>
        <color theme="1"/>
        <rFont val="Calibri"/>
        <family val="2"/>
        <scheme val="minor"/>
      </rPr>
      <t>No holes over 4mm:</t>
    </r>
    <r>
      <rPr>
        <sz val="11"/>
        <color theme="1"/>
        <rFont val="Calibri"/>
        <family val="2"/>
        <scheme val="minor"/>
      </rPr>
      <t xml:space="preserve">
Clear Wall Thickness, OD, Area, and Second moment boxes.
Identical tube / insert combinations need to be identified everywhere used on the chassis, but only need to be calculated once.
If more than 5 tube / insert combinations are used, make a copy of this tab.
</t>
    </r>
  </si>
  <si>
    <t>Original Tube_1</t>
  </si>
  <si>
    <t>Insert_2 + Tube_3</t>
  </si>
  <si>
    <t>-</t>
  </si>
  <si>
    <t>Young's Modulus (E):</t>
  </si>
  <si>
    <t>Yield Strength (Sy):</t>
  </si>
  <si>
    <t>Ultimate Strength (Su):</t>
  </si>
  <si>
    <t>Buckling Modulus</t>
  </si>
  <si>
    <t xml:space="preserve"> E_1*I_1 &lt;= E_2*I_2  +  E_1*I_3:</t>
  </si>
  <si>
    <t>Yield</t>
  </si>
  <si>
    <t>Sy_1*A_1 &lt;= Sy_2*A_2 + Sy_1*A_3:</t>
  </si>
  <si>
    <t>Ultimate</t>
  </si>
  <si>
    <t>Su_1*A_1 &lt;= Su_2*A_2 + Su_1*A_3:</t>
  </si>
  <si>
    <t>Bending</t>
  </si>
  <si>
    <t>Deflection</t>
  </si>
  <si>
    <t>Bending_1/(48*EI):</t>
  </si>
  <si>
    <t>Energy</t>
  </si>
  <si>
    <t>0.5*Bending^2/(48*EI)</t>
  </si>
  <si>
    <t>Square</t>
  </si>
  <si>
    <t>Shoulder Harness Brace:</t>
  </si>
  <si>
    <r>
      <rPr>
        <b/>
        <sz val="11"/>
        <rFont val="Calibri"/>
        <family val="2"/>
        <scheme val="minor"/>
      </rPr>
      <t xml:space="preserve">T.2.23.4a, T.2.5.1 - </t>
    </r>
    <r>
      <rPr>
        <sz val="11"/>
        <rFont val="Calibri"/>
        <family val="2"/>
        <scheme val="minor"/>
      </rPr>
      <t xml:space="preserve"> minimum </t>
    </r>
    <r>
      <rPr>
        <b/>
        <sz val="11"/>
        <rFont val="Calibri"/>
        <family val="2"/>
        <scheme val="minor"/>
      </rPr>
      <t>Front Bulkhead Diagonal</t>
    </r>
    <r>
      <rPr>
        <sz val="11"/>
        <rFont val="Calibri"/>
        <family val="2"/>
        <scheme val="minor"/>
      </rPr>
      <t xml:space="preserve"> tube size:
Round: 25mm x 1.5mm -or- 26mm x 1.2mm (1in x .047in)
Square: 25mm x 25mm x 1.2mm (1in x 1in x .047in)</t>
    </r>
  </si>
  <si>
    <t>The upper and lower segments of the FH (created by the offset with the Upper SIS) are treated as one segment.</t>
  </si>
  <si>
    <t>Any tube supporting the MHB is considered the start of the Upper and Lower MHBS.</t>
  </si>
  <si>
    <t>The MHB may act as braces for a bent Shoulder Harness Bar.</t>
  </si>
  <si>
    <t>The area between the Upper and Lower FBHS/SIS/MBHS must be completely triangulated with triangles. All triangulating tubes must meet T.2.5-6.</t>
  </si>
  <si>
    <t>A Head Restraint tube may run between the MHB tubes. A Head Restraint tube behind the MHB tubes risks becoming the rollover envelope, and is strongly discouraged.</t>
  </si>
  <si>
    <t>Otherwise, the area behind a rearward MHB / MHBS is unregulated.</t>
  </si>
  <si>
    <t>The Upper and Lower must maintain spacing and not share a load path.</t>
  </si>
  <si>
    <r>
      <rPr>
        <b/>
        <sz val="11"/>
        <rFont val="Calibri"/>
        <family val="2"/>
        <scheme val="minor"/>
      </rPr>
      <t xml:space="preserve">Note: </t>
    </r>
    <r>
      <rPr>
        <sz val="11"/>
        <rFont val="Calibri"/>
        <family val="2"/>
        <scheme val="minor"/>
      </rPr>
      <t>A straight tube between the MHB tubes as part of the Head Restraint does not form part of the rollover envelope. A Head Restraint protruding behind the MHB tubes risks becoming part of the rollover envelope, and is strongly discouraged.</t>
    </r>
  </si>
  <si>
    <t>ACRONYMS</t>
  </si>
  <si>
    <t>AI</t>
  </si>
  <si>
    <t>Anti Intrusion Plate</t>
  </si>
  <si>
    <t>EV</t>
  </si>
  <si>
    <t>Electric Vehicle</t>
  </si>
  <si>
    <t>Rules Equivalence Achieved</t>
  </si>
  <si>
    <t>FB</t>
  </si>
  <si>
    <t>Front Bulkhead</t>
  </si>
  <si>
    <t>Front Bulkhead Support</t>
  </si>
  <si>
    <t>FH</t>
  </si>
  <si>
    <t>Front Roll Hoop</t>
  </si>
  <si>
    <t>FHB</t>
  </si>
  <si>
    <t>Front Hoop Brace</t>
  </si>
  <si>
    <t>HV</t>
  </si>
  <si>
    <t>High Voltage</t>
  </si>
  <si>
    <t>HR</t>
  </si>
  <si>
    <t>Head Restraint</t>
  </si>
  <si>
    <t>IA</t>
  </si>
  <si>
    <t>MH</t>
  </si>
  <si>
    <t>Main Roll Hoop</t>
  </si>
  <si>
    <t>MHB</t>
  </si>
  <si>
    <t>Main Hoop Brace</t>
  </si>
  <si>
    <t>Main Hoop Brace Support</t>
  </si>
  <si>
    <t>N/A</t>
  </si>
  <si>
    <t>Not Applicable (Not required.)</t>
  </si>
  <si>
    <t>SH</t>
  </si>
  <si>
    <t>Shoulder Harness Structure</t>
  </si>
  <si>
    <t>SES</t>
  </si>
  <si>
    <t>Structural Equivalency Spreadsheet</t>
  </si>
  <si>
    <t>Side Impact Structure</t>
  </si>
  <si>
    <t>Submission of late, blank, incomplete, or previous car's SES will incur a competition point penalty.</t>
  </si>
  <si>
    <r>
      <rPr>
        <b/>
        <sz val="11"/>
        <color theme="7"/>
        <rFont val="Calibri"/>
        <family val="2"/>
        <scheme val="minor"/>
      </rPr>
      <t>ORANGE AREAS</t>
    </r>
    <r>
      <rPr>
        <sz val="11"/>
        <rFont val="Calibri"/>
        <family val="2"/>
        <scheme val="minor"/>
      </rPr>
      <t xml:space="preserve"> highlight design aspects that do not meet the rules</t>
    </r>
  </si>
  <si>
    <r>
      <rPr>
        <b/>
        <sz val="11"/>
        <color theme="9"/>
        <rFont val="Calibri"/>
        <family val="2"/>
        <scheme val="minor"/>
      </rPr>
      <t>THE YELLOW LINE</t>
    </r>
    <r>
      <rPr>
        <sz val="11"/>
        <rFont val="Calibri"/>
        <family val="2"/>
        <scheme val="minor"/>
      </rPr>
      <t xml:space="preserve"> is the lower tube</t>
    </r>
  </si>
  <si>
    <r>
      <rPr>
        <b/>
        <sz val="11"/>
        <color theme="4"/>
        <rFont val="Calibri"/>
        <family val="2"/>
        <scheme val="minor"/>
      </rPr>
      <t>THE SKY BLUE LINE</t>
    </r>
    <r>
      <rPr>
        <sz val="11"/>
        <rFont val="Calibri"/>
        <family val="2"/>
        <scheme val="minor"/>
      </rPr>
      <t xml:space="preserve"> is the upper tube</t>
    </r>
  </si>
  <si>
    <r>
      <rPr>
        <b/>
        <sz val="11"/>
        <rFont val="Calibri"/>
        <family val="2"/>
        <scheme val="minor"/>
      </rPr>
      <t>BLACK LINES</t>
    </r>
    <r>
      <rPr>
        <sz val="11"/>
        <rFont val="Calibri"/>
        <family val="2"/>
        <scheme val="minor"/>
      </rPr>
      <t xml:space="preserve"> are additional related tubes</t>
    </r>
  </si>
  <si>
    <t>represent potential design changes to an orange area to allow it to pass.</t>
  </si>
  <si>
    <t xml:space="preserve"> White dotted lines</t>
  </si>
  <si>
    <t>Upper FBHS from the top of FB  to above the Upper SIS, braced rearward.
Lower FBHS from the bottom of the FB to the Upper SIS, with a tolerance.
A second Lower FBHS path from the bottom of the FB to the Lower SIS.</t>
  </si>
  <si>
    <t>Otherwise, it must end at the node of a completely triangulated structure.</t>
  </si>
  <si>
    <t>A rear FHB must end at the node of a completely triangulated structure.</t>
  </si>
  <si>
    <r>
      <rPr>
        <b/>
        <sz val="11"/>
        <rFont val="Calibri"/>
        <family val="2"/>
        <scheme val="minor"/>
      </rPr>
      <t>T.2.10.2</t>
    </r>
    <r>
      <rPr>
        <sz val="11"/>
        <rFont val="Calibri"/>
        <family val="2"/>
        <scheme val="minor"/>
      </rPr>
      <t xml:space="preserve">  - Rear FHB must end at the node of a completely triangulated structure.</t>
    </r>
  </si>
  <si>
    <r>
      <rPr>
        <b/>
        <sz val="11"/>
        <rFont val="Calibri"/>
        <family val="2"/>
        <scheme val="minor"/>
      </rPr>
      <t>T.2.10.2</t>
    </r>
    <r>
      <rPr>
        <sz val="11"/>
        <rFont val="Calibri"/>
        <family val="2"/>
        <scheme val="minor"/>
      </rPr>
      <t xml:space="preserve"> - Front FHB that do not reach the FB must end the node of a completely triangulated structure.</t>
    </r>
  </si>
  <si>
    <t>The FHB may form part, all, or none of the Upper FBHS.</t>
  </si>
  <si>
    <t>In the examples to the right:</t>
  </si>
  <si>
    <t xml:space="preserve">Using this 7-color palette will accommodate color blind students or reviewers:
</t>
  </si>
  <si>
    <t>SIS with Rear FHB (or Forward MHB)</t>
  </si>
  <si>
    <t>Tubes may be added for leg and foot protection.</t>
  </si>
  <si>
    <t>Steel can be used for any part of the frame in the Monocoque/Hybrid/Non-Ferrous SES.</t>
  </si>
  <si>
    <r>
      <rPr>
        <sz val="14"/>
        <rFont val="Calibri"/>
        <family val="2"/>
        <scheme val="minor"/>
      </rPr>
      <t>The examples to the right cover the tube location requirements for the FBHS, SIS, and MBHS. There are many solutions not shown that can meet the documentation, triangulation, and bracing requirements.</t>
    </r>
    <r>
      <rPr>
        <b/>
        <sz val="14"/>
        <rFont val="Calibri"/>
        <family val="2"/>
        <scheme val="minor"/>
      </rPr>
      <t xml:space="preserve">
The examples to the left need to be replaced with your own CAD. Images should be clear, undistorted, moderate filesize. Each SES file 25Mb max.</t>
    </r>
  </si>
  <si>
    <t>Please respond quickly to requests for revisions or clarifications. Submissions or comments on FSAEonline.com will send a notification to your reviewer.</t>
  </si>
  <si>
    <t xml:space="preserve">Approval of an SES does not guarantee passing Tech Inspection. The final decision about all designs will be made at Tech Inspection. </t>
  </si>
  <si>
    <t>Read the additional guidance on the right side of the sheet.</t>
  </si>
  <si>
    <t>Fill in the sections at the bottom of the main tab.</t>
  </si>
  <si>
    <r>
      <t xml:space="preserve">Replace example images with your own clear, undistorted CAD, showing all required dimensions in a moderate filesize. </t>
    </r>
    <r>
      <rPr>
        <b/>
        <sz val="11"/>
        <rFont val="Calibri"/>
        <family val="2"/>
        <scheme val="minor"/>
      </rPr>
      <t>Each SES file 25Mb max.</t>
    </r>
  </si>
  <si>
    <t>Proceed to all other tabs.</t>
  </si>
  <si>
    <r>
      <t xml:space="preserve">Each entry, each category, each tab, and the entire sheet are coded as either </t>
    </r>
    <r>
      <rPr>
        <b/>
        <sz val="11"/>
        <color theme="3"/>
        <rFont val="Calibri"/>
        <family val="2"/>
        <scheme val="minor"/>
      </rPr>
      <t>BLANK</t>
    </r>
    <r>
      <rPr>
        <b/>
        <sz val="11"/>
        <rFont val="Calibri"/>
        <family val="2"/>
        <scheme val="minor"/>
      </rPr>
      <t xml:space="preserve">, </t>
    </r>
    <r>
      <rPr>
        <b/>
        <sz val="11"/>
        <color theme="4"/>
        <rFont val="Calibri"/>
        <family val="2"/>
        <scheme val="minor"/>
      </rPr>
      <t>EQ</t>
    </r>
    <r>
      <rPr>
        <b/>
        <sz val="11"/>
        <rFont val="Calibri"/>
        <family val="2"/>
        <scheme val="minor"/>
      </rPr>
      <t xml:space="preserve">, </t>
    </r>
    <r>
      <rPr>
        <b/>
        <sz val="11"/>
        <color theme="9"/>
        <rFont val="Calibri"/>
        <family val="2"/>
        <scheme val="minor"/>
      </rPr>
      <t>CHECK</t>
    </r>
    <r>
      <rPr>
        <b/>
        <sz val="11"/>
        <rFont val="Calibri"/>
        <family val="2"/>
        <scheme val="minor"/>
      </rPr>
      <t xml:space="preserve">, </t>
    </r>
    <r>
      <rPr>
        <b/>
        <sz val="11"/>
        <color theme="7"/>
        <rFont val="Calibri"/>
        <family val="2"/>
        <scheme val="minor"/>
      </rPr>
      <t>REJECT</t>
    </r>
    <r>
      <rPr>
        <sz val="11"/>
        <rFont val="Calibri"/>
        <family val="2"/>
        <scheme val="minor"/>
      </rPr>
      <t>, or N/A</t>
    </r>
    <r>
      <rPr>
        <b/>
        <sz val="11"/>
        <rFont val="Calibri"/>
        <family val="2"/>
        <scheme val="minor"/>
      </rPr>
      <t>.</t>
    </r>
  </si>
  <si>
    <t>Optional Front Bulkhead Diagonal:</t>
  </si>
  <si>
    <r>
      <rPr>
        <b/>
        <sz val="11"/>
        <rFont val="Calibri"/>
        <family val="2"/>
        <scheme val="minor"/>
      </rPr>
      <t xml:space="preserve">T.2.5.1 - </t>
    </r>
    <r>
      <rPr>
        <sz val="11"/>
        <rFont val="Calibri"/>
        <family val="2"/>
        <scheme val="minor"/>
      </rPr>
      <t xml:space="preserve"> minimum </t>
    </r>
    <r>
      <rPr>
        <b/>
        <sz val="11"/>
        <rFont val="Calibri"/>
        <family val="2"/>
        <scheme val="minor"/>
      </rPr>
      <t>Front Hoop</t>
    </r>
    <r>
      <rPr>
        <sz val="11"/>
        <rFont val="Calibri"/>
        <family val="2"/>
        <scheme val="minor"/>
      </rPr>
      <t xml:space="preserve"> tube size:
Round: 25mm x 2.5mm (1in x .095in)</t>
    </r>
  </si>
  <si>
    <r>
      <rPr>
        <b/>
        <sz val="11"/>
        <rFont val="Calibri"/>
        <family val="2"/>
        <scheme val="minor"/>
      </rPr>
      <t xml:space="preserve">T.2.5.1 - </t>
    </r>
    <r>
      <rPr>
        <sz val="11"/>
        <rFont val="Calibri"/>
        <family val="2"/>
        <scheme val="minor"/>
      </rPr>
      <t xml:space="preserve"> minimum </t>
    </r>
    <r>
      <rPr>
        <b/>
        <sz val="11"/>
        <rFont val="Calibri"/>
        <family val="2"/>
        <scheme val="minor"/>
      </rPr>
      <t xml:space="preserve">Main Hoop </t>
    </r>
    <r>
      <rPr>
        <sz val="11"/>
        <rFont val="Calibri"/>
        <family val="2"/>
        <scheme val="minor"/>
      </rPr>
      <t xml:space="preserve">and </t>
    </r>
    <r>
      <rPr>
        <b/>
        <sz val="11"/>
        <rFont val="Calibri"/>
        <family val="2"/>
        <scheme val="minor"/>
      </rPr>
      <t>Shoulder Harness Bar</t>
    </r>
    <r>
      <rPr>
        <sz val="11"/>
        <rFont val="Calibri"/>
        <family val="2"/>
        <scheme val="minor"/>
      </rPr>
      <t xml:space="preserve"> tube size:
Round: 25mm x 2.5mm (1in x .095in)</t>
    </r>
    <r>
      <rPr>
        <b/>
        <sz val="11"/>
        <rFont val="Calibri"/>
        <family val="2"/>
        <scheme val="minor"/>
      </rPr>
      <t/>
    </r>
  </si>
  <si>
    <t>SELECT YOUR UNITS. The entire SES will be completed in either mm or Inch. Inch tubing can be entered in mm, and vice versa.</t>
  </si>
  <si>
    <r>
      <rPr>
        <b/>
        <sz val="11"/>
        <rFont val="Calibri"/>
        <family val="2"/>
        <scheme val="minor"/>
      </rPr>
      <t>T.4.5.3b</t>
    </r>
    <r>
      <rPr>
        <sz val="11"/>
        <rFont val="Calibri"/>
        <family val="2"/>
        <scheme val="minor"/>
      </rPr>
      <t xml:space="preserve"> - Shoulder Harness Braces must support the middle of SH bends.</t>
    </r>
  </si>
  <si>
    <r>
      <rPr>
        <b/>
        <sz val="11"/>
        <rFont val="Calibri"/>
        <family val="2"/>
        <scheme val="minor"/>
      </rPr>
      <t>T.4.5.3b</t>
    </r>
    <r>
      <rPr>
        <sz val="11"/>
        <rFont val="Calibri"/>
        <family val="2"/>
        <scheme val="minor"/>
      </rPr>
      <t xml:space="preserve"> - Shoulder Harness Braces must connect back to the Main Hoop.</t>
    </r>
  </si>
  <si>
    <t>Bring a copy of the approved SES to Tech Inspection. Guidance and unused tabs are not necessary. Electronic copies of logged data cells will be acceptable.</t>
  </si>
  <si>
    <t>4*Su_1*I_1/r &lt;= 4*Su_1*(I_2+I_3)/r:</t>
  </si>
  <si>
    <t>Steel</t>
  </si>
  <si>
    <t>Keep a copy of the rules open to reference rule numbers directly while filling out the SES.</t>
  </si>
  <si>
    <t>Impact Attenuator</t>
  </si>
  <si>
    <t>Select Drop Down</t>
  </si>
  <si>
    <t>A</t>
  </si>
  <si>
    <t>Above</t>
  </si>
  <si>
    <t>If additional images are necessary, they may be placed below each section.</t>
  </si>
  <si>
    <t>The rollover plane is defined by the direction of the main hoop braces, shown above.</t>
  </si>
  <si>
    <r>
      <t xml:space="preserve">T.2.2.1 - </t>
    </r>
    <r>
      <rPr>
        <sz val="11"/>
        <rFont val="Calibri"/>
        <family val="2"/>
        <scheme val="minor"/>
      </rPr>
      <t>Head restraints cannot exceed the rollover envelope at any angle.</t>
    </r>
  </si>
  <si>
    <t>The row numbers are for reference only.</t>
  </si>
  <si>
    <t>Designating the FBHS as A,B, or C is needed to check rule T.2.20.2a-b.</t>
  </si>
  <si>
    <t>The other column letters are for reference only.</t>
  </si>
  <si>
    <t>Steel: 1.5mm (0.060in), Aluminum: 4.0mm (.157in):</t>
  </si>
  <si>
    <r>
      <rPr>
        <b/>
        <sz val="11"/>
        <rFont val="Calibri"/>
        <family val="2"/>
        <scheme val="minor"/>
      </rPr>
      <t xml:space="preserve">T.2.14.5- </t>
    </r>
    <r>
      <rPr>
        <sz val="11"/>
        <rFont val="Calibri"/>
        <family val="2"/>
        <scheme val="minor"/>
      </rPr>
      <t xml:space="preserve"> minimum rearward </t>
    </r>
    <r>
      <rPr>
        <b/>
        <sz val="11"/>
        <rFont val="Calibri"/>
        <family val="2"/>
        <scheme val="minor"/>
      </rPr>
      <t>Front Hoop Brace</t>
    </r>
    <r>
      <rPr>
        <sz val="11"/>
        <rFont val="Calibri"/>
        <family val="2"/>
        <scheme val="minor"/>
      </rPr>
      <t xml:space="preserve"> tube size:
Round: 25mm x 1.75mm (1in x .065in)
Square: 25mm x 25mm x 1.2mm (1in x 1in x .047in)</t>
    </r>
  </si>
  <si>
    <r>
      <rPr>
        <b/>
        <sz val="11"/>
        <rFont val="Calibri"/>
        <family val="2"/>
        <scheme val="minor"/>
      </rPr>
      <t>T.2.6.3</t>
    </r>
    <r>
      <rPr>
        <sz val="11"/>
        <rFont val="Calibri"/>
        <family val="2"/>
        <scheme val="minor"/>
      </rPr>
      <t xml:space="preserve"> - For alternate </t>
    </r>
    <r>
      <rPr>
        <b/>
        <sz val="11"/>
        <rFont val="Calibri"/>
        <family val="2"/>
        <scheme val="minor"/>
      </rPr>
      <t xml:space="preserve">T.2.6 </t>
    </r>
    <r>
      <rPr>
        <sz val="11"/>
        <rFont val="Calibri"/>
        <family val="2"/>
        <scheme val="minor"/>
      </rPr>
      <t>wall thicknesses as low as 1.2mm (.047in), the outer diameter must be increased to maintain the cross sectional area.</t>
    </r>
  </si>
  <si>
    <r>
      <rPr>
        <b/>
        <sz val="11"/>
        <rFont val="Calibri"/>
        <family val="2"/>
        <scheme val="minor"/>
      </rPr>
      <t xml:space="preserve">T.2.20.2b - </t>
    </r>
    <r>
      <rPr>
        <sz val="11"/>
        <rFont val="Calibri"/>
        <family val="2"/>
        <scheme val="minor"/>
      </rPr>
      <t xml:space="preserve"> minimum rearward </t>
    </r>
    <r>
      <rPr>
        <b/>
        <sz val="11"/>
        <rFont val="Calibri"/>
        <family val="2"/>
        <scheme val="minor"/>
      </rPr>
      <t>Front Bulkhead Support</t>
    </r>
    <r>
      <rPr>
        <sz val="11"/>
        <rFont val="Calibri"/>
        <family val="2"/>
        <scheme val="minor"/>
      </rPr>
      <t xml:space="preserve"> tube size:
Round: 25mm x 1.5mm (1in x .047in)
Square: 25mm x 25mm x 1.2mm (1in x 1in x .047in)</t>
    </r>
  </si>
  <si>
    <t>Inch</t>
  </si>
  <si>
    <r>
      <rPr>
        <b/>
        <sz val="11"/>
        <rFont val="Calibri"/>
        <family val="2"/>
        <scheme val="minor"/>
      </rPr>
      <t>T.2.23.4a</t>
    </r>
    <r>
      <rPr>
        <sz val="11"/>
        <rFont val="Calibri"/>
        <family val="2"/>
        <scheme val="minor"/>
      </rPr>
      <t xml:space="preserve"> - If the Front Bulkhead &gt; 406mm x 355mm (16in x 14in), the Impact Attenuator 356mm x 305mm (14in x 12in) does not reach at least the edge of the tubes. For EQ Equivalence, a diagonal or X-brace is needed. The diagonal ends should point to a node where FBHS tubes support the FB. Do not mount diagonal tubes between unsupported mid-span points of the FB.</t>
    </r>
  </si>
  <si>
    <r>
      <t>FSAE</t>
    </r>
    <r>
      <rPr>
        <b/>
        <vertAlign val="superscript"/>
        <sz val="11"/>
        <rFont val="Calibri"/>
        <family val="2"/>
        <scheme val="minor"/>
      </rPr>
      <t>TM</t>
    </r>
    <r>
      <rPr>
        <b/>
        <sz val="11"/>
        <rFont val="Calibri"/>
        <family val="2"/>
        <scheme val="minor"/>
      </rPr>
      <t xml:space="preserve"> STRUCTURAL EQUIVALENCY SPREADSHEET (SES) - Steel Tube Chassis - v.1.4 - Front Bulkhead 406x355, Single Brace Wing Mount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</si>
</sst>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b/>
      <sz val="11"/>
      <color theme="3"/>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b/>
      <vertAlign val="superscript"/>
      <sz val="11"/>
      <name val="Calibri"/>
      <family val="2"/>
      <scheme val="minor"/>
    </font>
    <font>
      <sz val="22"/>
      <name val="Calibri"/>
      <family val="2"/>
      <scheme val="minor"/>
    </font>
    <font>
      <b/>
      <sz val="11"/>
      <color theme="4"/>
      <name val="Calibri"/>
      <family val="2"/>
      <scheme val="minor"/>
    </font>
    <font>
      <b/>
      <sz val="11"/>
      <color theme="9"/>
      <name val="Calibri"/>
      <family val="2"/>
      <scheme val="minor"/>
    </font>
    <font>
      <b/>
      <sz val="11"/>
      <color theme="7"/>
      <name val="Calibri"/>
      <family val="2"/>
      <scheme val="minor"/>
    </font>
    <font>
      <u/>
      <sz val="11"/>
      <color theme="10"/>
      <name val="Calibri"/>
      <family val="2"/>
      <scheme val="minor"/>
    </font>
    <font>
      <sz val="36"/>
      <name val="Calibri"/>
      <family val="2"/>
      <scheme val="minor"/>
    </font>
    <font>
      <b/>
      <sz val="28"/>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
      <b/>
      <sz val="16"/>
      <name val="Calibri"/>
      <family val="2"/>
      <scheme val="minor"/>
    </font>
    <font>
      <b/>
      <sz val="22"/>
      <name val="Calibri"/>
      <family val="2"/>
      <scheme val="minor"/>
    </font>
    <font>
      <sz val="22"/>
      <color theme="0"/>
      <name val="Calibri"/>
      <family val="2"/>
      <scheme val="minor"/>
    </font>
    <font>
      <b/>
      <sz val="12"/>
      <name val="Calibri"/>
      <family val="2"/>
      <scheme val="minor"/>
    </font>
    <font>
      <b/>
      <sz val="14"/>
      <name val="Calibri"/>
      <family val="2"/>
      <scheme val="minor"/>
    </font>
    <font>
      <sz val="14"/>
      <name val="Calibri"/>
      <family val="2"/>
      <scheme val="minor"/>
    </font>
    <font>
      <b/>
      <u/>
      <sz val="11"/>
      <color theme="4"/>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3"/>
        <bgColor indexed="64"/>
      </patternFill>
    </fill>
    <fill>
      <patternFill patternType="solid">
        <fgColor rgb="FFD55E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5"/>
        <bgColor indexed="64"/>
      </patternFill>
    </fill>
  </fills>
  <borders count="1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201">
    <xf numFmtId="0" fontId="0" fillId="0" borderId="0" xfId="0"/>
    <xf numFmtId="0" fontId="5" fillId="6" borderId="0" xfId="0" applyFont="1" applyFill="1" applyBorder="1" applyAlignment="1">
      <alignment horizontal="center"/>
    </xf>
    <xf numFmtId="0" fontId="4" fillId="6" borderId="0" xfId="0" applyFont="1" applyFill="1" applyBorder="1" applyAlignment="1">
      <alignment horizontal="left"/>
    </xf>
    <xf numFmtId="0" fontId="5" fillId="6" borderId="0" xfId="0" applyFont="1" applyFill="1" applyBorder="1" applyAlignment="1">
      <alignment horizontal="left"/>
    </xf>
    <xf numFmtId="0" fontId="4" fillId="6" borderId="0" xfId="0" applyFont="1" applyFill="1" applyBorder="1" applyAlignment="1">
      <alignment horizontal="right"/>
    </xf>
    <xf numFmtId="0" fontId="4" fillId="6" borderId="0" xfId="0" applyFont="1" applyFill="1" applyBorder="1" applyAlignment="1">
      <alignment horizontal="center"/>
    </xf>
    <xf numFmtId="0" fontId="5" fillId="6" borderId="0" xfId="0" applyFont="1" applyFill="1" applyBorder="1" applyAlignment="1" applyProtection="1">
      <alignment horizontal="center"/>
      <protection locked="0"/>
    </xf>
    <xf numFmtId="0" fontId="4" fillId="6" borderId="13" xfId="0" applyFont="1" applyFill="1" applyBorder="1" applyAlignment="1">
      <alignment horizontal="center"/>
    </xf>
    <xf numFmtId="0" fontId="4" fillId="6" borderId="0" xfId="0" applyFont="1" applyFill="1" applyBorder="1" applyAlignment="1" applyProtection="1">
      <alignment horizontal="left"/>
      <protection locked="0"/>
    </xf>
    <xf numFmtId="0" fontId="4" fillId="6" borderId="14" xfId="0" applyFont="1" applyFill="1" applyBorder="1" applyAlignment="1">
      <alignment horizontal="center"/>
    </xf>
    <xf numFmtId="0" fontId="4" fillId="6" borderId="0" xfId="0" applyFont="1" applyFill="1" applyBorder="1" applyAlignment="1" applyProtection="1">
      <protection locked="0"/>
    </xf>
    <xf numFmtId="0" fontId="4" fillId="6" borderId="2" xfId="0" applyFont="1" applyFill="1" applyBorder="1" applyAlignment="1">
      <alignment horizontal="center"/>
    </xf>
    <xf numFmtId="0" fontId="4" fillId="6" borderId="0" xfId="0" applyFont="1" applyFill="1" applyBorder="1" applyAlignment="1"/>
    <xf numFmtId="0" fontId="4" fillId="6" borderId="0" xfId="0" applyFont="1" applyFill="1" applyBorder="1" applyAlignment="1" applyProtection="1">
      <alignment horizontal="left"/>
    </xf>
    <xf numFmtId="0" fontId="4" fillId="6" borderId="0" xfId="0" applyFont="1" applyFill="1" applyBorder="1" applyAlignment="1" applyProtection="1">
      <alignment vertical="center"/>
    </xf>
    <xf numFmtId="0" fontId="4" fillId="6" borderId="0" xfId="0" applyFont="1" applyFill="1" applyBorder="1" applyAlignment="1">
      <alignment horizontal="left" wrapText="1"/>
    </xf>
    <xf numFmtId="0" fontId="5" fillId="6" borderId="0" xfId="0" applyFont="1" applyFill="1" applyBorder="1" applyAlignment="1" applyProtection="1">
      <alignment horizontal="left"/>
      <protection locked="0"/>
    </xf>
    <xf numFmtId="0" fontId="4" fillId="6" borderId="12" xfId="0" applyFont="1" applyFill="1" applyBorder="1" applyAlignment="1">
      <alignment horizontal="center"/>
    </xf>
    <xf numFmtId="0" fontId="4" fillId="6" borderId="0" xfId="0" applyFont="1" applyFill="1" applyBorder="1" applyAlignment="1">
      <alignment horizontal="left"/>
    </xf>
    <xf numFmtId="0" fontId="4" fillId="6" borderId="0" xfId="0" applyFont="1" applyFill="1" applyBorder="1" applyAlignment="1">
      <alignment horizontal="left"/>
    </xf>
    <xf numFmtId="0" fontId="4" fillId="7" borderId="0" xfId="0" applyFont="1" applyFill="1" applyBorder="1" applyAlignment="1">
      <alignment horizontal="left"/>
    </xf>
    <xf numFmtId="0" fontId="5" fillId="7" borderId="0" xfId="0" applyFont="1" applyFill="1" applyBorder="1" applyAlignment="1" applyProtection="1">
      <alignment horizontal="center"/>
      <protection locked="0"/>
    </xf>
    <xf numFmtId="0" fontId="5" fillId="7" borderId="0" xfId="0" applyFont="1" applyFill="1" applyBorder="1" applyAlignment="1">
      <alignment horizontal="left"/>
    </xf>
    <xf numFmtId="0" fontId="7" fillId="7" borderId="0" xfId="0" applyFont="1" applyFill="1" applyBorder="1" applyAlignment="1">
      <alignment horizontal="center" vertical="center"/>
    </xf>
    <xf numFmtId="0" fontId="4" fillId="7" borderId="0" xfId="0" applyFont="1" applyFill="1" applyBorder="1" applyAlignment="1">
      <alignment horizontal="right"/>
    </xf>
    <xf numFmtId="0" fontId="5" fillId="7" borderId="0" xfId="0" applyFont="1" applyFill="1" applyBorder="1" applyAlignment="1">
      <alignment horizontal="center"/>
    </xf>
    <xf numFmtId="0" fontId="5" fillId="7" borderId="0" xfId="0" applyFont="1" applyFill="1" applyBorder="1" applyAlignment="1">
      <alignment horizontal="right"/>
    </xf>
    <xf numFmtId="0" fontId="4" fillId="6" borderId="0" xfId="0" applyFont="1" applyFill="1" applyBorder="1" applyAlignment="1">
      <alignment horizontal="left"/>
    </xf>
    <xf numFmtId="0" fontId="4" fillId="6" borderId="0" xfId="0" applyFont="1" applyFill="1" applyBorder="1" applyAlignment="1">
      <alignment horizontal="right"/>
    </xf>
    <xf numFmtId="0" fontId="4" fillId="6" borderId="0" xfId="0" applyFont="1" applyFill="1" applyBorder="1" applyAlignment="1">
      <alignment horizontal="center"/>
    </xf>
    <xf numFmtId="0" fontId="5" fillId="6" borderId="0" xfId="0" applyFont="1" applyFill="1" applyBorder="1" applyAlignment="1">
      <alignment horizontal="center"/>
    </xf>
    <xf numFmtId="0" fontId="4" fillId="6" borderId="2" xfId="0" applyFont="1" applyFill="1" applyBorder="1" applyAlignment="1">
      <alignment horizontal="center"/>
    </xf>
    <xf numFmtId="0" fontId="4" fillId="6" borderId="12" xfId="0" applyFont="1" applyFill="1" applyBorder="1" applyAlignment="1">
      <alignment horizontal="center"/>
    </xf>
    <xf numFmtId="0" fontId="0" fillId="6" borderId="0" xfId="0" applyFill="1"/>
    <xf numFmtId="0" fontId="0" fillId="6" borderId="0" xfId="0" applyFill="1" applyBorder="1"/>
    <xf numFmtId="0" fontId="4" fillId="6" borderId="0" xfId="0" applyFont="1" applyFill="1" applyBorder="1" applyAlignment="1">
      <alignment horizontal="center"/>
    </xf>
    <xf numFmtId="0" fontId="4" fillId="6" borderId="2" xfId="0" applyFont="1" applyFill="1" applyBorder="1" applyAlignment="1">
      <alignment horizontal="center"/>
    </xf>
    <xf numFmtId="0" fontId="4" fillId="6" borderId="0" xfId="0" applyFont="1" applyFill="1" applyBorder="1" applyAlignment="1">
      <alignment horizontal="left"/>
    </xf>
    <xf numFmtId="0" fontId="18" fillId="6" borderId="0" xfId="0" applyFont="1" applyFill="1" applyBorder="1" applyAlignment="1">
      <alignment horizontal="center" vertical="top"/>
    </xf>
    <xf numFmtId="0" fontId="3" fillId="4" borderId="0" xfId="0" applyFont="1" applyFill="1" applyBorder="1" applyAlignment="1">
      <alignment horizontal="left"/>
    </xf>
    <xf numFmtId="0" fontId="2" fillId="4" borderId="0" xfId="0" applyFont="1" applyFill="1" applyBorder="1" applyAlignment="1">
      <alignment horizontal="left"/>
    </xf>
    <xf numFmtId="0" fontId="4" fillId="6" borderId="0" xfId="0" applyFont="1" applyFill="1" applyBorder="1" applyAlignment="1">
      <alignment horizontal="left" vertical="center"/>
    </xf>
    <xf numFmtId="0" fontId="19" fillId="4" borderId="0" xfId="0" applyFont="1" applyFill="1" applyBorder="1" applyAlignment="1">
      <alignment horizontal="left"/>
    </xf>
    <xf numFmtId="0" fontId="19" fillId="4" borderId="0" xfId="0" applyFont="1" applyFill="1" applyBorder="1" applyAlignment="1">
      <alignment horizontal="center" vertical="center"/>
    </xf>
    <xf numFmtId="0" fontId="2" fillId="4" borderId="0" xfId="0" applyFont="1" applyFill="1" applyBorder="1" applyAlignment="1">
      <alignment horizontal="center"/>
    </xf>
    <xf numFmtId="0" fontId="2" fillId="4" borderId="0" xfId="0" applyFont="1" applyFill="1" applyBorder="1" applyAlignment="1">
      <alignment horizontal="right"/>
    </xf>
    <xf numFmtId="0" fontId="3" fillId="4" borderId="0" xfId="0" applyFont="1" applyFill="1" applyBorder="1" applyAlignment="1">
      <alignment horizontal="center"/>
    </xf>
    <xf numFmtId="0" fontId="3" fillId="4" borderId="0" xfId="0" applyFont="1" applyFill="1" applyBorder="1" applyAlignment="1">
      <alignment horizontal="right"/>
    </xf>
    <xf numFmtId="0" fontId="2" fillId="4" borderId="0" xfId="0" applyFont="1" applyFill="1" applyBorder="1" applyAlignment="1" applyProtection="1">
      <alignment horizontal="center"/>
      <protection locked="0"/>
    </xf>
    <xf numFmtId="0" fontId="19" fillId="4" borderId="0" xfId="0" applyFont="1" applyFill="1" applyBorder="1" applyAlignment="1">
      <alignment vertical="center"/>
    </xf>
    <xf numFmtId="0" fontId="0" fillId="6" borderId="0" xfId="0" applyFill="1"/>
    <xf numFmtId="0" fontId="19" fillId="4" borderId="0" xfId="0" applyFont="1" applyFill="1" applyBorder="1" applyAlignment="1">
      <alignment horizontal="center" vertical="center"/>
    </xf>
    <xf numFmtId="49" fontId="5" fillId="6" borderId="0" xfId="0" applyNumberFormat="1" applyFont="1" applyFill="1" applyBorder="1" applyAlignment="1">
      <alignment horizontal="right" vertical="center"/>
    </xf>
    <xf numFmtId="49" fontId="4" fillId="6" borderId="12" xfId="0" applyNumberFormat="1" applyFont="1" applyFill="1" applyBorder="1" applyAlignment="1" applyProtection="1">
      <alignment vertical="center"/>
    </xf>
    <xf numFmtId="1" fontId="19" fillId="4" borderId="0" xfId="0" applyNumberFormat="1" applyFont="1" applyFill="1" applyBorder="1" applyAlignment="1">
      <alignment horizontal="center" vertical="center"/>
    </xf>
    <xf numFmtId="0" fontId="4" fillId="6" borderId="0" xfId="0" applyFont="1" applyFill="1" applyBorder="1" applyAlignment="1">
      <alignment horizontal="center"/>
    </xf>
    <xf numFmtId="0" fontId="4" fillId="4" borderId="0" xfId="0" applyFont="1" applyFill="1" applyBorder="1" applyAlignment="1">
      <alignment horizontal="left"/>
    </xf>
    <xf numFmtId="0" fontId="0" fillId="6" borderId="0" xfId="0" applyFill="1" applyAlignment="1">
      <alignment horizontal="left" vertical="top" wrapText="1"/>
    </xf>
    <xf numFmtId="0" fontId="4" fillId="6" borderId="0" xfId="0" applyFont="1" applyFill="1" applyBorder="1" applyAlignment="1">
      <alignment horizontal="center"/>
    </xf>
    <xf numFmtId="0" fontId="4" fillId="6" borderId="0" xfId="0" applyFont="1" applyFill="1" applyBorder="1" applyAlignment="1">
      <alignment horizontal="left"/>
    </xf>
    <xf numFmtId="0" fontId="4" fillId="6" borderId="0" xfId="0" applyFont="1" applyFill="1" applyBorder="1" applyAlignment="1">
      <alignment horizontal="right"/>
    </xf>
    <xf numFmtId="0" fontId="5" fillId="6" borderId="0" xfId="0" applyFont="1" applyFill="1" applyBorder="1" applyAlignment="1">
      <alignment horizontal="center"/>
    </xf>
    <xf numFmtId="0" fontId="0" fillId="6" borderId="0" xfId="0" applyFill="1" applyAlignment="1">
      <alignment horizontal="right"/>
    </xf>
    <xf numFmtId="0" fontId="0" fillId="6" borderId="0" xfId="0" applyFill="1" applyAlignment="1">
      <alignment horizontal="center"/>
    </xf>
    <xf numFmtId="0" fontId="14" fillId="6" borderId="0" xfId="0" applyFont="1" applyFill="1" applyAlignment="1">
      <alignment horizontal="center"/>
    </xf>
    <xf numFmtId="0" fontId="0" fillId="6" borderId="0" xfId="0" applyFill="1"/>
    <xf numFmtId="0" fontId="0" fillId="6" borderId="0" xfId="0" applyFill="1" applyBorder="1" applyAlignment="1">
      <alignment horizontal="center"/>
    </xf>
    <xf numFmtId="11" fontId="4" fillId="6" borderId="0" xfId="0" applyNumberFormat="1" applyFont="1" applyFill="1" applyBorder="1" applyAlignment="1">
      <alignment horizontal="center"/>
    </xf>
    <xf numFmtId="0" fontId="0" fillId="6" borderId="0" xfId="0" quotePrefix="1" applyFill="1" applyAlignment="1">
      <alignment horizontal="center"/>
    </xf>
    <xf numFmtId="11" fontId="0" fillId="6" borderId="0" xfId="0" applyNumberFormat="1" applyFill="1"/>
    <xf numFmtId="164" fontId="0" fillId="6" borderId="0" xfId="0" applyNumberFormat="1" applyFill="1" applyAlignment="1">
      <alignment horizontal="center"/>
    </xf>
    <xf numFmtId="0" fontId="4" fillId="6" borderId="0" xfId="0" applyFont="1" applyFill="1" applyBorder="1" applyAlignment="1">
      <alignment horizontal="left" wrapText="1"/>
    </xf>
    <xf numFmtId="0" fontId="4" fillId="6" borderId="0" xfId="0" applyFont="1" applyFill="1" applyBorder="1" applyAlignment="1">
      <alignment horizontal="left" vertical="center"/>
    </xf>
    <xf numFmtId="0" fontId="18" fillId="6" borderId="0" xfId="0" applyFont="1" applyFill="1" applyBorder="1" applyAlignment="1">
      <alignment horizontal="center" vertical="center"/>
    </xf>
    <xf numFmtId="0" fontId="17" fillId="6" borderId="0" xfId="0" applyFont="1" applyFill="1" applyBorder="1" applyAlignment="1">
      <alignment horizontal="center" vertical="center"/>
    </xf>
    <xf numFmtId="0" fontId="4" fillId="6" borderId="0" xfId="0" applyFont="1" applyFill="1" applyBorder="1" applyAlignment="1">
      <alignment horizontal="left"/>
    </xf>
    <xf numFmtId="0" fontId="4" fillId="6" borderId="0" xfId="0" applyFont="1" applyFill="1" applyBorder="1" applyAlignment="1">
      <alignment horizontal="left"/>
    </xf>
    <xf numFmtId="0" fontId="4" fillId="6" borderId="0" xfId="0" applyFont="1" applyFill="1" applyBorder="1" applyAlignment="1">
      <alignment horizontal="left" vertical="center"/>
    </xf>
    <xf numFmtId="0" fontId="4" fillId="6" borderId="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4" fillId="6" borderId="0" xfId="0" applyFont="1" applyFill="1" applyBorder="1" applyAlignment="1">
      <alignment horizontal="left" vertical="center"/>
    </xf>
    <xf numFmtId="0" fontId="4" fillId="6" borderId="0" xfId="0" applyFont="1" applyFill="1" applyBorder="1" applyAlignment="1">
      <alignment horizontal="left" vertical="top" wrapText="1"/>
    </xf>
    <xf numFmtId="0" fontId="4" fillId="6" borderId="0" xfId="0" applyFont="1" applyFill="1" applyBorder="1" applyAlignment="1">
      <alignment horizontal="left" vertical="center"/>
    </xf>
    <xf numFmtId="0" fontId="20" fillId="6" borderId="0" xfId="0" applyFont="1" applyFill="1" applyBorder="1" applyAlignment="1">
      <alignment horizontal="center" vertical="center"/>
    </xf>
    <xf numFmtId="0" fontId="4" fillId="6" borderId="0" xfId="0" applyFont="1" applyFill="1" applyBorder="1" applyAlignment="1">
      <alignment horizontal="left"/>
    </xf>
    <xf numFmtId="0" fontId="4" fillId="6" borderId="0" xfId="0" applyFont="1" applyFill="1" applyBorder="1" applyAlignment="1">
      <alignment horizontal="center"/>
    </xf>
    <xf numFmtId="0" fontId="0" fillId="6" borderId="0" xfId="0" applyFill="1"/>
    <xf numFmtId="49" fontId="5" fillId="6" borderId="0" xfId="0" applyNumberFormat="1" applyFont="1" applyFill="1" applyBorder="1" applyAlignment="1" applyProtection="1">
      <alignment horizontal="right" vertical="center"/>
    </xf>
    <xf numFmtId="1" fontId="5" fillId="6" borderId="0" xfId="0" applyNumberFormat="1" applyFont="1" applyFill="1" applyBorder="1" applyAlignment="1" applyProtection="1">
      <alignment horizontal="right" vertical="center"/>
    </xf>
    <xf numFmtId="0" fontId="4" fillId="6" borderId="0" xfId="0" applyFont="1" applyFill="1" applyBorder="1" applyAlignment="1">
      <alignment horizontal="center"/>
    </xf>
    <xf numFmtId="0" fontId="4" fillId="6" borderId="0" xfId="0" applyFont="1" applyFill="1" applyBorder="1" applyAlignment="1">
      <alignment horizontal="left"/>
    </xf>
    <xf numFmtId="0" fontId="5" fillId="6" borderId="0" xfId="0" applyFont="1" applyFill="1" applyBorder="1" applyAlignment="1">
      <alignment horizontal="center"/>
    </xf>
    <xf numFmtId="0" fontId="4" fillId="6" borderId="17" xfId="0" applyFont="1" applyFill="1" applyBorder="1" applyAlignment="1">
      <alignment horizontal="center"/>
    </xf>
    <xf numFmtId="0" fontId="4" fillId="6" borderId="0" xfId="0" applyFont="1" applyFill="1" applyBorder="1" applyAlignment="1">
      <alignment horizontal="center"/>
    </xf>
    <xf numFmtId="0" fontId="4" fillId="6" borderId="0" xfId="0" applyFont="1" applyFill="1" applyBorder="1" applyAlignment="1">
      <alignment horizontal="left"/>
    </xf>
    <xf numFmtId="0" fontId="4" fillId="6" borderId="0" xfId="0" applyFont="1" applyFill="1" applyBorder="1" applyAlignment="1">
      <alignment horizontal="left" vertical="center"/>
    </xf>
    <xf numFmtId="0" fontId="4" fillId="6" borderId="0" xfId="0" applyFont="1" applyFill="1" applyBorder="1" applyAlignment="1">
      <alignment horizontal="left" vertical="center" wrapText="1"/>
    </xf>
    <xf numFmtId="0" fontId="4" fillId="6" borderId="0" xfId="0" applyFont="1" applyFill="1" applyBorder="1" applyAlignment="1">
      <alignment horizontal="left"/>
    </xf>
    <xf numFmtId="0" fontId="4" fillId="6" borderId="0" xfId="0" applyFont="1" applyFill="1" applyBorder="1" applyAlignment="1">
      <alignment horizontal="left" vertical="top" wrapText="1"/>
    </xf>
    <xf numFmtId="0" fontId="15" fillId="0" borderId="0" xfId="0" applyFont="1" applyAlignment="1">
      <alignment horizontal="center" vertical="center"/>
    </xf>
    <xf numFmtId="0" fontId="3" fillId="7" borderId="0" xfId="0" applyFont="1" applyFill="1" applyBorder="1" applyAlignment="1">
      <alignment horizontal="left"/>
    </xf>
    <xf numFmtId="0" fontId="2" fillId="7" borderId="0" xfId="0" applyFont="1" applyFill="1" applyBorder="1" applyAlignment="1" applyProtection="1">
      <alignment horizontal="center"/>
      <protection locked="0"/>
    </xf>
    <xf numFmtId="0" fontId="2" fillId="7" borderId="0" xfId="0" applyFont="1" applyFill="1" applyBorder="1" applyAlignment="1">
      <alignment horizontal="left"/>
    </xf>
    <xf numFmtId="0" fontId="4" fillId="6" borderId="0" xfId="0" applyFont="1" applyFill="1" applyBorder="1" applyAlignment="1">
      <alignment horizontal="center"/>
    </xf>
    <xf numFmtId="0" fontId="4" fillId="6" borderId="0" xfId="0" applyFont="1" applyFill="1" applyBorder="1" applyAlignment="1">
      <alignment horizontal="left" wrapText="1"/>
    </xf>
    <xf numFmtId="0" fontId="4" fillId="6" borderId="0" xfId="0" applyFont="1" applyFill="1" applyBorder="1" applyAlignment="1">
      <alignment horizontal="right"/>
    </xf>
    <xf numFmtId="0" fontId="4" fillId="6" borderId="15" xfId="0" applyFont="1" applyFill="1" applyBorder="1" applyAlignment="1">
      <alignment horizontal="right"/>
    </xf>
    <xf numFmtId="0" fontId="4" fillId="6" borderId="1" xfId="0" applyFont="1" applyFill="1" applyBorder="1" applyAlignment="1">
      <alignment horizontal="right"/>
    </xf>
    <xf numFmtId="0" fontId="4" fillId="6" borderId="0" xfId="0" applyFont="1" applyFill="1" applyBorder="1" applyAlignment="1">
      <alignment horizontal="center"/>
    </xf>
    <xf numFmtId="0" fontId="4" fillId="6" borderId="0" xfId="0" applyFont="1" applyFill="1" applyBorder="1" applyAlignment="1">
      <alignment horizontal="left"/>
    </xf>
    <xf numFmtId="0" fontId="5" fillId="6" borderId="0" xfId="0" applyFont="1" applyFill="1" applyBorder="1" applyAlignment="1">
      <alignment horizontal="center"/>
    </xf>
    <xf numFmtId="49" fontId="4" fillId="6" borderId="16" xfId="0" applyNumberFormat="1" applyFont="1" applyFill="1" applyBorder="1" applyAlignment="1" applyProtection="1">
      <alignment vertical="center"/>
    </xf>
    <xf numFmtId="49" fontId="4" fillId="6" borderId="10" xfId="0" applyNumberFormat="1" applyFont="1" applyFill="1" applyBorder="1" applyAlignment="1" applyProtection="1">
      <alignment vertical="center"/>
    </xf>
    <xf numFmtId="49" fontId="4" fillId="6" borderId="0" xfId="0" applyNumberFormat="1" applyFont="1" applyFill="1" applyBorder="1" applyAlignment="1" applyProtection="1">
      <alignment vertical="center"/>
    </xf>
    <xf numFmtId="0" fontId="18" fillId="6" borderId="0" xfId="0" quotePrefix="1" applyFont="1" applyFill="1" applyBorder="1" applyAlignment="1">
      <alignment horizontal="center" vertical="center"/>
    </xf>
    <xf numFmtId="0" fontId="4" fillId="6" borderId="0" xfId="0" applyFont="1" applyFill="1" applyBorder="1" applyAlignment="1">
      <alignment horizontal="left" vertical="center"/>
    </xf>
    <xf numFmtId="0" fontId="17" fillId="6" borderId="0" xfId="0" applyFont="1" applyFill="1" applyBorder="1" applyAlignment="1">
      <alignment horizontal="center" vertical="center"/>
    </xf>
    <xf numFmtId="0" fontId="4" fillId="6" borderId="0" xfId="0" applyFont="1" applyFill="1" applyBorder="1" applyAlignment="1">
      <alignment horizontal="left" vertical="center" wrapText="1"/>
    </xf>
    <xf numFmtId="0" fontId="19" fillId="4" borderId="0" xfId="0" applyFont="1" applyFill="1" applyBorder="1" applyAlignment="1">
      <alignment horizontal="center" vertical="center"/>
    </xf>
    <xf numFmtId="0" fontId="4" fillId="6" borderId="0" xfId="0" applyFont="1" applyFill="1" applyBorder="1" applyAlignment="1">
      <alignment horizontal="left" vertical="top" wrapText="1"/>
    </xf>
    <xf numFmtId="0" fontId="5" fillId="6" borderId="0" xfId="0" applyFont="1" applyFill="1" applyBorder="1" applyAlignment="1">
      <alignment horizontal="right"/>
    </xf>
    <xf numFmtId="0" fontId="4" fillId="7" borderId="0" xfId="0" applyFont="1" applyFill="1" applyBorder="1" applyAlignment="1">
      <alignment horizontal="center"/>
    </xf>
    <xf numFmtId="0" fontId="18" fillId="6" borderId="0" xfId="0" applyFont="1" applyFill="1" applyBorder="1" applyAlignment="1">
      <alignment horizontal="center"/>
    </xf>
    <xf numFmtId="0" fontId="21" fillId="6" borderId="0" xfId="0" applyFont="1" applyFill="1" applyBorder="1" applyAlignment="1">
      <alignment horizontal="left" vertical="top" wrapText="1"/>
    </xf>
    <xf numFmtId="49" fontId="5" fillId="6" borderId="0" xfId="0" applyNumberFormat="1" applyFont="1" applyFill="1" applyBorder="1" applyAlignment="1" applyProtection="1">
      <alignment vertical="center"/>
    </xf>
    <xf numFmtId="0" fontId="7" fillId="6" borderId="0" xfId="0" applyFont="1" applyFill="1" applyBorder="1" applyAlignment="1">
      <alignment horizontal="center"/>
    </xf>
    <xf numFmtId="0" fontId="4" fillId="6" borderId="0" xfId="0" applyFont="1" applyFill="1" applyBorder="1" applyAlignment="1">
      <alignment wrapText="1"/>
    </xf>
    <xf numFmtId="0" fontId="5" fillId="0" borderId="0" xfId="0" applyFont="1" applyFill="1" applyBorder="1" applyAlignment="1">
      <alignment horizontal="center"/>
    </xf>
    <xf numFmtId="49" fontId="4" fillId="6" borderId="3" xfId="0" applyNumberFormat="1" applyFont="1" applyFill="1" applyBorder="1" applyAlignment="1">
      <alignment vertical="center"/>
    </xf>
    <xf numFmtId="49" fontId="4" fillId="6" borderId="4" xfId="0" applyNumberFormat="1" applyFont="1" applyFill="1" applyBorder="1" applyAlignment="1">
      <alignment vertical="center"/>
    </xf>
    <xf numFmtId="49" fontId="4" fillId="6" borderId="5" xfId="0" applyNumberFormat="1" applyFont="1" applyFill="1" applyBorder="1" applyAlignment="1">
      <alignment vertical="center"/>
    </xf>
    <xf numFmtId="0" fontId="7" fillId="6" borderId="0" xfId="0" applyFont="1" applyFill="1" applyBorder="1" applyAlignment="1">
      <alignment horizontal="center" vertical="center"/>
    </xf>
    <xf numFmtId="0" fontId="4" fillId="2" borderId="0" xfId="0" applyFont="1" applyFill="1" applyBorder="1" applyAlignment="1">
      <alignment horizontal="left"/>
    </xf>
    <xf numFmtId="49" fontId="4" fillId="6" borderId="0" xfId="0" applyNumberFormat="1" applyFont="1" applyFill="1" applyBorder="1" applyAlignment="1">
      <alignment vertical="center"/>
    </xf>
    <xf numFmtId="49" fontId="4" fillId="6" borderId="2" xfId="1" applyNumberFormat="1" applyFont="1" applyFill="1" applyBorder="1" applyAlignment="1">
      <alignment horizontal="center" vertical="center"/>
    </xf>
    <xf numFmtId="49" fontId="4" fillId="6" borderId="2" xfId="0" applyNumberFormat="1" applyFont="1" applyFill="1" applyBorder="1" applyAlignment="1">
      <alignment horizontal="center" vertical="center"/>
    </xf>
    <xf numFmtId="0" fontId="4" fillId="6" borderId="2" xfId="0" applyFont="1" applyFill="1" applyBorder="1" applyAlignment="1">
      <alignment horizontal="center" vertical="center"/>
    </xf>
    <xf numFmtId="0" fontId="5" fillId="2" borderId="0" xfId="0" applyFont="1" applyFill="1" applyBorder="1" applyAlignment="1">
      <alignment horizontal="left"/>
    </xf>
    <xf numFmtId="0" fontId="3" fillId="4" borderId="0" xfId="0" applyFont="1" applyFill="1" applyBorder="1" applyAlignment="1">
      <alignment horizontal="left"/>
    </xf>
    <xf numFmtId="0" fontId="2" fillId="4" borderId="0" xfId="0" applyFont="1" applyFill="1" applyBorder="1" applyAlignment="1">
      <alignment horizontal="left"/>
    </xf>
    <xf numFmtId="0" fontId="7" fillId="9"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8" xfId="0" applyFont="1" applyFill="1" applyBorder="1" applyAlignment="1">
      <alignment horizontal="center" vertical="center"/>
    </xf>
    <xf numFmtId="0" fontId="7" fillId="9" borderId="9" xfId="0" applyFont="1" applyFill="1" applyBorder="1" applyAlignment="1">
      <alignment horizontal="center" vertical="center"/>
    </xf>
    <xf numFmtId="0" fontId="7" fillId="9" borderId="10" xfId="0" applyFont="1" applyFill="1" applyBorder="1" applyAlignment="1">
      <alignment horizontal="center" vertical="center"/>
    </xf>
    <xf numFmtId="0" fontId="7" fillId="9" borderId="11" xfId="0" applyFont="1" applyFill="1" applyBorder="1" applyAlignment="1">
      <alignment horizontal="center" vertical="center"/>
    </xf>
    <xf numFmtId="0" fontId="19" fillId="4" borderId="0" xfId="0" applyFont="1" applyFill="1" applyBorder="1" applyAlignment="1">
      <alignment horizontal="center"/>
    </xf>
    <xf numFmtId="0" fontId="4" fillId="6" borderId="3"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5" xfId="0" applyFont="1" applyFill="1" applyBorder="1" applyAlignment="1" applyProtection="1">
      <alignment horizontal="center" vertical="center"/>
      <protection locked="0"/>
    </xf>
    <xf numFmtId="49" fontId="4" fillId="6" borderId="12" xfId="1" applyNumberFormat="1" applyFont="1" applyFill="1" applyBorder="1" applyAlignment="1">
      <alignment horizontal="center" vertical="center"/>
    </xf>
    <xf numFmtId="49" fontId="4" fillId="6" borderId="12" xfId="0" applyNumberFormat="1" applyFont="1" applyFill="1" applyBorder="1" applyAlignment="1">
      <alignment horizontal="center" vertical="center"/>
    </xf>
    <xf numFmtId="0" fontId="12" fillId="6" borderId="0" xfId="0" applyFont="1" applyFill="1" applyBorder="1" applyAlignment="1">
      <alignment horizontal="center" vertical="center"/>
    </xf>
    <xf numFmtId="0" fontId="13" fillId="6" borderId="0" xfId="0" applyFont="1" applyFill="1" applyBorder="1" applyAlignment="1">
      <alignment horizontal="center" vertical="center"/>
    </xf>
    <xf numFmtId="0" fontId="5" fillId="5" borderId="0" xfId="0" applyFont="1" applyFill="1" applyBorder="1" applyAlignment="1">
      <alignment horizontal="left" vertical="center"/>
    </xf>
    <xf numFmtId="0" fontId="4" fillId="5" borderId="0" xfId="0" applyFont="1" applyFill="1" applyBorder="1" applyAlignment="1">
      <alignment horizontal="left" vertical="center"/>
    </xf>
    <xf numFmtId="0" fontId="5" fillId="6" borderId="1" xfId="0" applyFont="1" applyFill="1" applyBorder="1" applyAlignment="1">
      <alignment horizontal="center"/>
    </xf>
    <xf numFmtId="0" fontId="5" fillId="3" borderId="0" xfId="0" applyFont="1" applyFill="1" applyBorder="1" applyAlignment="1">
      <alignment horizontal="left"/>
    </xf>
    <xf numFmtId="0" fontId="7" fillId="6" borderId="0" xfId="0" applyFont="1" applyFill="1" applyBorder="1" applyAlignment="1">
      <alignment horizontal="center" vertical="top"/>
    </xf>
    <xf numFmtId="0" fontId="20" fillId="6" borderId="0" xfId="0" applyFont="1" applyFill="1" applyBorder="1" applyAlignment="1">
      <alignment horizontal="left" vertical="center"/>
    </xf>
    <xf numFmtId="0" fontId="18" fillId="6" borderId="0" xfId="0" applyFont="1" applyFill="1" applyBorder="1" applyAlignment="1">
      <alignment horizontal="center" vertical="center"/>
    </xf>
    <xf numFmtId="0" fontId="19" fillId="4" borderId="0" xfId="0" applyFont="1" applyFill="1" applyBorder="1" applyAlignment="1">
      <alignment horizontal="left"/>
    </xf>
    <xf numFmtId="0" fontId="5" fillId="6" borderId="0" xfId="0" applyFont="1" applyFill="1" applyBorder="1" applyAlignment="1">
      <alignment horizontal="left"/>
    </xf>
    <xf numFmtId="0" fontId="5" fillId="6" borderId="0" xfId="0" applyFont="1" applyFill="1" applyBorder="1" applyAlignment="1">
      <alignment horizontal="left" wrapText="1"/>
    </xf>
    <xf numFmtId="0" fontId="20" fillId="6" borderId="0" xfId="0" applyFont="1" applyFill="1" applyBorder="1" applyAlignment="1">
      <alignment horizontal="left" vertical="center" wrapText="1"/>
    </xf>
    <xf numFmtId="0" fontId="4" fillId="6" borderId="3" xfId="0" applyFont="1" applyFill="1" applyBorder="1" applyAlignment="1">
      <alignment horizontal="center"/>
    </xf>
    <xf numFmtId="0" fontId="4" fillId="6" borderId="4" xfId="0" applyFont="1" applyFill="1" applyBorder="1" applyAlignment="1">
      <alignment horizontal="center"/>
    </xf>
    <xf numFmtId="0" fontId="4" fillId="6" borderId="5" xfId="0" applyFont="1" applyFill="1" applyBorder="1" applyAlignment="1">
      <alignment horizontal="center"/>
    </xf>
    <xf numFmtId="49" fontId="5" fillId="6" borderId="0" xfId="0" applyNumberFormat="1" applyFont="1" applyFill="1" applyBorder="1" applyAlignment="1" applyProtection="1">
      <alignment vertical="top"/>
    </xf>
    <xf numFmtId="0" fontId="4" fillId="6" borderId="0" xfId="0" applyFont="1" applyFill="1" applyBorder="1" applyAlignment="1" applyProtection="1">
      <alignment horizontal="left"/>
    </xf>
    <xf numFmtId="0" fontId="4" fillId="3" borderId="10" xfId="0" applyFont="1" applyFill="1" applyBorder="1" applyAlignment="1">
      <alignment horizontal="left"/>
    </xf>
    <xf numFmtId="0" fontId="4" fillId="3" borderId="0" xfId="0" applyFont="1" applyFill="1" applyBorder="1" applyAlignment="1">
      <alignment horizontal="left"/>
    </xf>
    <xf numFmtId="0" fontId="5" fillId="5" borderId="0" xfId="0" applyFont="1" applyFill="1" applyBorder="1" applyAlignment="1">
      <alignment horizontal="left"/>
    </xf>
    <xf numFmtId="0" fontId="4" fillId="4" borderId="0" xfId="0" applyFont="1" applyFill="1" applyBorder="1" applyAlignment="1">
      <alignment horizontal="center"/>
    </xf>
    <xf numFmtId="0" fontId="11" fillId="6" borderId="0" xfId="1" applyFill="1" applyBorder="1" applyAlignment="1">
      <alignment horizontal="left" vertical="top" wrapText="1"/>
    </xf>
    <xf numFmtId="0" fontId="23" fillId="6" borderId="0" xfId="0" applyFont="1" applyFill="1" applyBorder="1" applyAlignment="1">
      <alignment horizontal="left" vertical="top" wrapText="1"/>
    </xf>
    <xf numFmtId="0" fontId="0" fillId="6" borderId="0" xfId="0" applyFill="1"/>
    <xf numFmtId="49" fontId="5" fillId="9" borderId="0" xfId="0" applyNumberFormat="1" applyFont="1" applyFill="1" applyBorder="1" applyAlignment="1" applyProtection="1">
      <alignment horizontal="left" vertical="center"/>
    </xf>
    <xf numFmtId="49" fontId="4" fillId="6" borderId="0" xfId="0" applyNumberFormat="1" applyFont="1" applyFill="1" applyBorder="1" applyAlignment="1" applyProtection="1">
      <alignment horizontal="left" vertical="center"/>
    </xf>
    <xf numFmtId="0" fontId="0" fillId="6" borderId="0" xfId="0" applyFill="1" applyAlignment="1">
      <alignment horizontal="left" vertical="center"/>
    </xf>
    <xf numFmtId="0" fontId="14" fillId="6" borderId="0" xfId="0" applyFont="1" applyFill="1" applyAlignment="1">
      <alignment horizontal="left" vertical="center"/>
    </xf>
    <xf numFmtId="0" fontId="2" fillId="8" borderId="0" xfId="0" applyFont="1" applyFill="1" applyBorder="1" applyAlignment="1">
      <alignment horizontal="left" vertical="top" wrapText="1"/>
    </xf>
    <xf numFmtId="0" fontId="4" fillId="8" borderId="0" xfId="0" applyFont="1" applyFill="1" applyBorder="1" applyAlignment="1">
      <alignment horizontal="left" vertical="top" wrapText="1"/>
    </xf>
    <xf numFmtId="0" fontId="0" fillId="6" borderId="0" xfId="0" applyFill="1" applyAlignment="1">
      <alignment horizontal="right"/>
    </xf>
    <xf numFmtId="0" fontId="5" fillId="6" borderId="0" xfId="0" applyFont="1" applyFill="1" applyBorder="1" applyAlignment="1">
      <alignment horizontal="center" wrapText="1"/>
    </xf>
    <xf numFmtId="0" fontId="5" fillId="6" borderId="10" xfId="0" applyFont="1" applyFill="1" applyBorder="1" applyAlignment="1">
      <alignment horizontal="center" wrapText="1"/>
    </xf>
    <xf numFmtId="0" fontId="14"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vertical="top" wrapText="1"/>
    </xf>
    <xf numFmtId="1" fontId="14" fillId="6" borderId="0" xfId="0" applyNumberFormat="1" applyFont="1" applyFill="1" applyAlignment="1">
      <alignment horizontal="center"/>
    </xf>
    <xf numFmtId="0" fontId="14" fillId="6" borderId="0" xfId="0" applyFont="1" applyFill="1" applyAlignment="1">
      <alignment horizontal="center"/>
    </xf>
    <xf numFmtId="0" fontId="0" fillId="6" borderId="0" xfId="0" applyFill="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14" fillId="6" borderId="0" xfId="0" applyFont="1" applyFill="1" applyBorder="1" applyAlignment="1">
      <alignment horizontal="center"/>
    </xf>
    <xf numFmtId="0" fontId="0" fillId="6" borderId="0" xfId="0" applyFill="1" applyAlignment="1">
      <alignment horizontal="center" wrapText="1"/>
    </xf>
    <xf numFmtId="0" fontId="0" fillId="6" borderId="10" xfId="0" applyFill="1" applyBorder="1" applyAlignment="1">
      <alignment horizontal="center" wrapText="1"/>
    </xf>
    <xf numFmtId="0" fontId="14" fillId="6" borderId="7" xfId="0" applyFont="1" applyFill="1" applyBorder="1" applyAlignment="1">
      <alignment horizontal="center"/>
    </xf>
  </cellXfs>
  <cellStyles count="2">
    <cellStyle name="Hyperlink" xfId="1" builtinId="8"/>
    <cellStyle name="Normal" xfId="0" builtinId="0"/>
  </cellStyles>
  <dxfs count="15">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s>
  <tableStyles count="0" defaultTableStyle="TableStyleMedium2" defaultPivotStyle="PivotStyleLight16"/>
  <colors>
    <mruColors>
      <color rgb="FFD5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18</xdr:col>
      <xdr:colOff>608914</xdr:colOff>
      <xdr:row>52</xdr:row>
      <xdr:rowOff>170833</xdr:rowOff>
    </xdr:to>
    <xdr:pic>
      <xdr:nvPicPr>
        <xdr:cNvPr id="22" name="Picture 21">
          <a:extLst>
            <a:ext uri="{FF2B5EF4-FFF2-40B4-BE49-F238E27FC236}">
              <a16:creationId xmlns:a16="http://schemas.microsoft.com/office/drawing/2014/main" id="{EE5D52BD-3AC4-49BD-815D-8BF271950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410200"/>
          <a:ext cx="5485714" cy="4933333"/>
        </a:xfrm>
        <a:prstGeom prst="rect">
          <a:avLst/>
        </a:prstGeom>
      </xdr:spPr>
    </xdr:pic>
    <xdr:clientData/>
  </xdr:twoCellAnchor>
  <xdr:twoCellAnchor editAs="oneCell">
    <xdr:from>
      <xdr:col>20</xdr:col>
      <xdr:colOff>0</xdr:colOff>
      <xdr:row>27</xdr:row>
      <xdr:rowOff>1</xdr:rowOff>
    </xdr:from>
    <xdr:to>
      <xdr:col>29</xdr:col>
      <xdr:colOff>765</xdr:colOff>
      <xdr:row>52</xdr:row>
      <xdr:rowOff>172138</xdr:rowOff>
    </xdr:to>
    <xdr:pic>
      <xdr:nvPicPr>
        <xdr:cNvPr id="24" name="Picture 23">
          <a:extLst>
            <a:ext uri="{FF2B5EF4-FFF2-40B4-BE49-F238E27FC236}">
              <a16:creationId xmlns:a16="http://schemas.microsoft.com/office/drawing/2014/main" id="{5287CC15-E8B6-42DB-A5FE-E77E5ADA8E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0" y="5410201"/>
          <a:ext cx="5487165" cy="4934637"/>
        </a:xfrm>
        <a:prstGeom prst="rect">
          <a:avLst/>
        </a:prstGeom>
      </xdr:spPr>
    </xdr:pic>
    <xdr:clientData/>
  </xdr:twoCellAnchor>
  <xdr:twoCellAnchor editAs="oneCell">
    <xdr:from>
      <xdr:col>30</xdr:col>
      <xdr:colOff>0</xdr:colOff>
      <xdr:row>27</xdr:row>
      <xdr:rowOff>0</xdr:rowOff>
    </xdr:from>
    <xdr:to>
      <xdr:col>39</xdr:col>
      <xdr:colOff>765</xdr:colOff>
      <xdr:row>52</xdr:row>
      <xdr:rowOff>172139</xdr:rowOff>
    </xdr:to>
    <xdr:pic>
      <xdr:nvPicPr>
        <xdr:cNvPr id="26" name="Picture 25">
          <a:extLst>
            <a:ext uri="{FF2B5EF4-FFF2-40B4-BE49-F238E27FC236}">
              <a16:creationId xmlns:a16="http://schemas.microsoft.com/office/drawing/2014/main" id="{74FE04CB-D80B-42D4-86BC-712F97B21C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288000" y="5400675"/>
          <a:ext cx="5487165" cy="4934639"/>
        </a:xfrm>
        <a:prstGeom prst="rect">
          <a:avLst/>
        </a:prstGeom>
      </xdr:spPr>
    </xdr:pic>
    <xdr:clientData/>
  </xdr:twoCellAnchor>
  <xdr:twoCellAnchor editAs="oneCell">
    <xdr:from>
      <xdr:col>60</xdr:col>
      <xdr:colOff>0</xdr:colOff>
      <xdr:row>27</xdr:row>
      <xdr:rowOff>0</xdr:rowOff>
    </xdr:from>
    <xdr:to>
      <xdr:col>69</xdr:col>
      <xdr:colOff>2217</xdr:colOff>
      <xdr:row>52</xdr:row>
      <xdr:rowOff>173444</xdr:rowOff>
    </xdr:to>
    <xdr:pic>
      <xdr:nvPicPr>
        <xdr:cNvPr id="28" name="Picture 27">
          <a:extLst>
            <a:ext uri="{FF2B5EF4-FFF2-40B4-BE49-F238E27FC236}">
              <a16:creationId xmlns:a16="http://schemas.microsoft.com/office/drawing/2014/main" id="{BE4A6F0E-E2F3-4901-AC88-F7AE194B3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6576000" y="5410200"/>
          <a:ext cx="5488617" cy="4935944"/>
        </a:xfrm>
        <a:prstGeom prst="rect">
          <a:avLst/>
        </a:prstGeom>
      </xdr:spPr>
    </xdr:pic>
    <xdr:clientData/>
  </xdr:twoCellAnchor>
  <xdr:twoCellAnchor editAs="oneCell">
    <xdr:from>
      <xdr:col>40</xdr:col>
      <xdr:colOff>0</xdr:colOff>
      <xdr:row>27</xdr:row>
      <xdr:rowOff>0</xdr:rowOff>
    </xdr:from>
    <xdr:to>
      <xdr:col>49</xdr:col>
      <xdr:colOff>2217</xdr:colOff>
      <xdr:row>52</xdr:row>
      <xdr:rowOff>173444</xdr:rowOff>
    </xdr:to>
    <xdr:pic>
      <xdr:nvPicPr>
        <xdr:cNvPr id="3" name="Picture 2">
          <a:extLst>
            <a:ext uri="{FF2B5EF4-FFF2-40B4-BE49-F238E27FC236}">
              <a16:creationId xmlns:a16="http://schemas.microsoft.com/office/drawing/2014/main" id="{0E199F18-DE1B-40FA-B3E8-B96FAA860C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384000" y="5410200"/>
          <a:ext cx="5488617" cy="4935944"/>
        </a:xfrm>
        <a:prstGeom prst="rect">
          <a:avLst/>
        </a:prstGeom>
      </xdr:spPr>
    </xdr:pic>
    <xdr:clientData/>
  </xdr:twoCellAnchor>
  <xdr:twoCellAnchor editAs="oneCell">
    <xdr:from>
      <xdr:col>50</xdr:col>
      <xdr:colOff>0</xdr:colOff>
      <xdr:row>27</xdr:row>
      <xdr:rowOff>0</xdr:rowOff>
    </xdr:from>
    <xdr:to>
      <xdr:col>58</xdr:col>
      <xdr:colOff>608914</xdr:colOff>
      <xdr:row>52</xdr:row>
      <xdr:rowOff>170833</xdr:rowOff>
    </xdr:to>
    <xdr:pic>
      <xdr:nvPicPr>
        <xdr:cNvPr id="4" name="Picture 3">
          <a:extLst>
            <a:ext uri="{FF2B5EF4-FFF2-40B4-BE49-F238E27FC236}">
              <a16:creationId xmlns:a16="http://schemas.microsoft.com/office/drawing/2014/main" id="{B6046D84-02BE-4877-95AB-98DC082978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0" y="5410200"/>
          <a:ext cx="5485714" cy="4933333"/>
        </a:xfrm>
        <a:prstGeom prst="rect">
          <a:avLst/>
        </a:prstGeom>
      </xdr:spPr>
    </xdr:pic>
    <xdr:clientData/>
  </xdr:twoCellAnchor>
  <xdr:twoCellAnchor editAs="oneCell">
    <xdr:from>
      <xdr:col>56</xdr:col>
      <xdr:colOff>2</xdr:colOff>
      <xdr:row>0</xdr:row>
      <xdr:rowOff>0</xdr:rowOff>
    </xdr:from>
    <xdr:to>
      <xdr:col>69</xdr:col>
      <xdr:colOff>241423</xdr:colOff>
      <xdr:row>25</xdr:row>
      <xdr:rowOff>154489</xdr:rowOff>
    </xdr:to>
    <xdr:pic>
      <xdr:nvPicPr>
        <xdr:cNvPr id="8" name="Picture 7">
          <a:extLst>
            <a:ext uri="{FF2B5EF4-FFF2-40B4-BE49-F238E27FC236}">
              <a16:creationId xmlns:a16="http://schemas.microsoft.com/office/drawing/2014/main" id="{05C892DD-B3DD-4575-8313-23F53633EB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137602" y="0"/>
          <a:ext cx="8166221" cy="5174164"/>
        </a:xfrm>
        <a:prstGeom prst="rect">
          <a:avLst/>
        </a:prstGeom>
      </xdr:spPr>
    </xdr:pic>
    <xdr:clientData/>
  </xdr:twoCellAnchor>
  <xdr:twoCellAnchor editAs="oneCell">
    <xdr:from>
      <xdr:col>41</xdr:col>
      <xdr:colOff>600076</xdr:colOff>
      <xdr:row>0</xdr:row>
      <xdr:rowOff>9525</xdr:rowOff>
    </xdr:from>
    <xdr:to>
      <xdr:col>55</xdr:col>
      <xdr:colOff>231900</xdr:colOff>
      <xdr:row>25</xdr:row>
      <xdr:rowOff>164015</xdr:rowOff>
    </xdr:to>
    <xdr:pic>
      <xdr:nvPicPr>
        <xdr:cNvPr id="10" name="Picture 9">
          <a:extLst>
            <a:ext uri="{FF2B5EF4-FFF2-40B4-BE49-F238E27FC236}">
              <a16:creationId xmlns:a16="http://schemas.microsoft.com/office/drawing/2014/main" id="{FF03A9A1-DA7A-4DD8-90A6-ACC254E16C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593676" y="9525"/>
          <a:ext cx="8166224" cy="5174165"/>
        </a:xfrm>
        <a:prstGeom prst="rect">
          <a:avLst/>
        </a:prstGeom>
      </xdr:spPr>
    </xdr:pic>
    <xdr:clientData/>
  </xdr:twoCellAnchor>
  <xdr:twoCellAnchor editAs="oneCell">
    <xdr:from>
      <xdr:col>71</xdr:col>
      <xdr:colOff>219075</xdr:colOff>
      <xdr:row>94</xdr:row>
      <xdr:rowOff>161925</xdr:rowOff>
    </xdr:from>
    <xdr:to>
      <xdr:col>78</xdr:col>
      <xdr:colOff>457829</xdr:colOff>
      <xdr:row>111</xdr:row>
      <xdr:rowOff>133798</xdr:rowOff>
    </xdr:to>
    <xdr:pic>
      <xdr:nvPicPr>
        <xdr:cNvPr id="9" name="Picture 8">
          <a:extLst>
            <a:ext uri="{FF2B5EF4-FFF2-40B4-BE49-F238E27FC236}">
              <a16:creationId xmlns:a16="http://schemas.microsoft.com/office/drawing/2014/main" id="{439F3839-81F1-44EF-9CF6-8FC6405B342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521475" y="14049375"/>
          <a:ext cx="4505954" cy="3210373"/>
        </a:xfrm>
        <a:prstGeom prst="rect">
          <a:avLst/>
        </a:prstGeom>
      </xdr:spPr>
    </xdr:pic>
    <xdr:clientData/>
  </xdr:twoCellAnchor>
  <xdr:twoCellAnchor editAs="oneCell">
    <xdr:from>
      <xdr:col>103</xdr:col>
      <xdr:colOff>0</xdr:colOff>
      <xdr:row>2</xdr:row>
      <xdr:rowOff>0</xdr:rowOff>
    </xdr:from>
    <xdr:to>
      <xdr:col>118</xdr:col>
      <xdr:colOff>172750</xdr:colOff>
      <xdr:row>101</xdr:row>
      <xdr:rowOff>155084</xdr:rowOff>
    </xdr:to>
    <xdr:pic>
      <xdr:nvPicPr>
        <xdr:cNvPr id="18" name="Picture 17">
          <a:extLst>
            <a:ext uri="{FF2B5EF4-FFF2-40B4-BE49-F238E27FC236}">
              <a16:creationId xmlns:a16="http://schemas.microsoft.com/office/drawing/2014/main" id="{7FF12478-5D86-436B-914C-3EEE60E37A8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2788800" y="419100"/>
          <a:ext cx="9316750" cy="19243184"/>
        </a:xfrm>
        <a:prstGeom prst="rect">
          <a:avLst/>
        </a:prstGeom>
      </xdr:spPr>
    </xdr:pic>
    <xdr:clientData/>
  </xdr:twoCellAnchor>
  <xdr:twoCellAnchor editAs="oneCell">
    <xdr:from>
      <xdr:col>119</xdr:col>
      <xdr:colOff>0</xdr:colOff>
      <xdr:row>2</xdr:row>
      <xdr:rowOff>0</xdr:rowOff>
    </xdr:from>
    <xdr:to>
      <xdr:col>141</xdr:col>
      <xdr:colOff>592503</xdr:colOff>
      <xdr:row>101</xdr:row>
      <xdr:rowOff>155084</xdr:rowOff>
    </xdr:to>
    <xdr:pic>
      <xdr:nvPicPr>
        <xdr:cNvPr id="20" name="Picture 19">
          <a:extLst>
            <a:ext uri="{FF2B5EF4-FFF2-40B4-BE49-F238E27FC236}">
              <a16:creationId xmlns:a16="http://schemas.microsoft.com/office/drawing/2014/main" id="{B5DF35C4-5427-4079-A260-54A247A2DD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2542400" y="419100"/>
          <a:ext cx="14003703" cy="19243184"/>
        </a:xfrm>
        <a:prstGeom prst="rect">
          <a:avLst/>
        </a:prstGeom>
      </xdr:spPr>
    </xdr:pic>
    <xdr:clientData/>
  </xdr:twoCellAnchor>
  <xdr:twoCellAnchor editAs="oneCell">
    <xdr:from>
      <xdr:col>0</xdr:col>
      <xdr:colOff>0</xdr:colOff>
      <xdr:row>27</xdr:row>
      <xdr:rowOff>0</xdr:rowOff>
    </xdr:from>
    <xdr:to>
      <xdr:col>8</xdr:col>
      <xdr:colOff>608914</xdr:colOff>
      <xdr:row>52</xdr:row>
      <xdr:rowOff>170833</xdr:rowOff>
    </xdr:to>
    <xdr:pic>
      <xdr:nvPicPr>
        <xdr:cNvPr id="7" name="Picture 6">
          <a:extLst>
            <a:ext uri="{FF2B5EF4-FFF2-40B4-BE49-F238E27FC236}">
              <a16:creationId xmlns:a16="http://schemas.microsoft.com/office/drawing/2014/main" id="{CBD09C81-4226-4E3F-A2B4-2FFDF2FFEC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5410200"/>
          <a:ext cx="5485714" cy="4933333"/>
        </a:xfrm>
        <a:prstGeom prst="rect">
          <a:avLst/>
        </a:prstGeom>
      </xdr:spPr>
    </xdr:pic>
    <xdr:clientData/>
  </xdr:twoCellAnchor>
  <xdr:twoCellAnchor editAs="oneCell">
    <xdr:from>
      <xdr:col>80</xdr:col>
      <xdr:colOff>0</xdr:colOff>
      <xdr:row>2</xdr:row>
      <xdr:rowOff>0</xdr:rowOff>
    </xdr:from>
    <xdr:to>
      <xdr:col>102</xdr:col>
      <xdr:colOff>379250</xdr:colOff>
      <xdr:row>102</xdr:row>
      <xdr:rowOff>188095</xdr:rowOff>
    </xdr:to>
    <xdr:pic>
      <xdr:nvPicPr>
        <xdr:cNvPr id="11" name="Picture 10">
          <a:extLst>
            <a:ext uri="{FF2B5EF4-FFF2-40B4-BE49-F238E27FC236}">
              <a16:creationId xmlns:a16="http://schemas.microsoft.com/office/drawing/2014/main" id="{B6143BF9-EF29-45E1-97EE-3B0581E1C9F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9530000" y="404813"/>
          <a:ext cx="14000000" cy="19238095"/>
        </a:xfrm>
        <a:prstGeom prst="rect">
          <a:avLst/>
        </a:prstGeom>
      </xdr:spPr>
    </xdr:pic>
    <xdr:clientData/>
  </xdr:twoCellAnchor>
  <xdr:twoCellAnchor editAs="oneCell">
    <xdr:from>
      <xdr:col>28</xdr:col>
      <xdr:colOff>0</xdr:colOff>
      <xdr:row>0</xdr:row>
      <xdr:rowOff>0</xdr:rowOff>
    </xdr:from>
    <xdr:to>
      <xdr:col>41</xdr:col>
      <xdr:colOff>117601</xdr:colOff>
      <xdr:row>27</xdr:row>
      <xdr:rowOff>6853</xdr:rowOff>
    </xdr:to>
    <xdr:pic>
      <xdr:nvPicPr>
        <xdr:cNvPr id="5" name="Picture 4">
          <a:extLst>
            <a:ext uri="{FF2B5EF4-FFF2-40B4-BE49-F238E27FC236}">
              <a16:creationId xmlns:a16="http://schemas.microsoft.com/office/drawing/2014/main" id="{1DB0C5DA-DB31-47AF-86E2-40CA8E13116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7335500" y="0"/>
          <a:ext cx="8166226" cy="51741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3" name="Picture 2">
          <a:extLst>
            <a:ext uri="{FF2B5EF4-FFF2-40B4-BE49-F238E27FC236}">
              <a16:creationId xmlns:a16="http://schemas.microsoft.com/office/drawing/2014/main" id="{1D5C020B-9EC5-41A4-A919-4464ED5375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twoCellAnchor editAs="oneCell">
    <xdr:from>
      <xdr:col>13</xdr:col>
      <xdr:colOff>0</xdr:colOff>
      <xdr:row>1</xdr:row>
      <xdr:rowOff>0</xdr:rowOff>
    </xdr:from>
    <xdr:to>
      <xdr:col>21</xdr:col>
      <xdr:colOff>608914</xdr:colOff>
      <xdr:row>26</xdr:row>
      <xdr:rowOff>170833</xdr:rowOff>
    </xdr:to>
    <xdr:pic>
      <xdr:nvPicPr>
        <xdr:cNvPr id="9" name="Picture 8">
          <a:extLst>
            <a:ext uri="{FF2B5EF4-FFF2-40B4-BE49-F238E27FC236}">
              <a16:creationId xmlns:a16="http://schemas.microsoft.com/office/drawing/2014/main" id="{FD3AC338-6BD3-4318-BEAB-30383961E5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24800" y="190500"/>
          <a:ext cx="5485714" cy="4933333"/>
        </a:xfrm>
        <a:prstGeom prst="rect">
          <a:avLst/>
        </a:prstGeom>
      </xdr:spPr>
    </xdr:pic>
    <xdr:clientData/>
  </xdr:twoCellAnchor>
  <xdr:twoCellAnchor editAs="oneCell">
    <xdr:from>
      <xdr:col>23</xdr:col>
      <xdr:colOff>0</xdr:colOff>
      <xdr:row>1</xdr:row>
      <xdr:rowOff>0</xdr:rowOff>
    </xdr:from>
    <xdr:to>
      <xdr:col>31</xdr:col>
      <xdr:colOff>608914</xdr:colOff>
      <xdr:row>26</xdr:row>
      <xdr:rowOff>170833</xdr:rowOff>
    </xdr:to>
    <xdr:pic>
      <xdr:nvPicPr>
        <xdr:cNvPr id="10" name="Picture 9">
          <a:extLst>
            <a:ext uri="{FF2B5EF4-FFF2-40B4-BE49-F238E27FC236}">
              <a16:creationId xmlns:a16="http://schemas.microsoft.com/office/drawing/2014/main" id="{4F9A6549-0B81-46E6-85AE-2EC3D7007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0800" y="190500"/>
          <a:ext cx="5485714" cy="4933333"/>
        </a:xfrm>
        <a:prstGeom prst="rect">
          <a:avLst/>
        </a:prstGeom>
      </xdr:spPr>
    </xdr:pic>
    <xdr:clientData/>
  </xdr:twoCellAnchor>
  <xdr:twoCellAnchor editAs="oneCell">
    <xdr:from>
      <xdr:col>33</xdr:col>
      <xdr:colOff>0</xdr:colOff>
      <xdr:row>1</xdr:row>
      <xdr:rowOff>0</xdr:rowOff>
    </xdr:from>
    <xdr:to>
      <xdr:col>41</xdr:col>
      <xdr:colOff>608914</xdr:colOff>
      <xdr:row>26</xdr:row>
      <xdr:rowOff>170833</xdr:rowOff>
    </xdr:to>
    <xdr:pic>
      <xdr:nvPicPr>
        <xdr:cNvPr id="11" name="Picture 10">
          <a:extLst>
            <a:ext uri="{FF2B5EF4-FFF2-40B4-BE49-F238E27FC236}">
              <a16:creationId xmlns:a16="http://schemas.microsoft.com/office/drawing/2014/main" id="{AD365C31-B282-4185-B7B9-E9370A735C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16800" y="190500"/>
          <a:ext cx="5485714" cy="4933333"/>
        </a:xfrm>
        <a:prstGeom prst="rect">
          <a:avLst/>
        </a:prstGeom>
      </xdr:spPr>
    </xdr:pic>
    <xdr:clientData/>
  </xdr:twoCellAnchor>
  <xdr:twoCellAnchor editAs="oneCell">
    <xdr:from>
      <xdr:col>43</xdr:col>
      <xdr:colOff>0</xdr:colOff>
      <xdr:row>1</xdr:row>
      <xdr:rowOff>0</xdr:rowOff>
    </xdr:from>
    <xdr:to>
      <xdr:col>51</xdr:col>
      <xdr:colOff>608914</xdr:colOff>
      <xdr:row>26</xdr:row>
      <xdr:rowOff>170833</xdr:rowOff>
    </xdr:to>
    <xdr:pic>
      <xdr:nvPicPr>
        <xdr:cNvPr id="15" name="Picture 14">
          <a:extLst>
            <a:ext uri="{FF2B5EF4-FFF2-40B4-BE49-F238E27FC236}">
              <a16:creationId xmlns:a16="http://schemas.microsoft.com/office/drawing/2014/main" id="{B5B02827-5B26-495E-BF0C-E107783E5A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12800" y="190500"/>
          <a:ext cx="5485714" cy="49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8" name="Picture 7">
          <a:extLst>
            <a:ext uri="{FF2B5EF4-FFF2-40B4-BE49-F238E27FC236}">
              <a16:creationId xmlns:a16="http://schemas.microsoft.com/office/drawing/2014/main" id="{57B778B5-FFC1-4EB9-A6F9-F1AD77E5AE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twoCellAnchor editAs="oneCell">
    <xdr:from>
      <xdr:col>13</xdr:col>
      <xdr:colOff>0</xdr:colOff>
      <xdr:row>1</xdr:row>
      <xdr:rowOff>0</xdr:rowOff>
    </xdr:from>
    <xdr:to>
      <xdr:col>21</xdr:col>
      <xdr:colOff>608914</xdr:colOff>
      <xdr:row>26</xdr:row>
      <xdr:rowOff>170833</xdr:rowOff>
    </xdr:to>
    <xdr:pic>
      <xdr:nvPicPr>
        <xdr:cNvPr id="7" name="Picture 6">
          <a:extLst>
            <a:ext uri="{FF2B5EF4-FFF2-40B4-BE49-F238E27FC236}">
              <a16:creationId xmlns:a16="http://schemas.microsoft.com/office/drawing/2014/main" id="{8B0200D9-EA82-4375-A18A-3239F7143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24800" y="190500"/>
          <a:ext cx="5485714" cy="4933333"/>
        </a:xfrm>
        <a:prstGeom prst="rect">
          <a:avLst/>
        </a:prstGeom>
      </xdr:spPr>
    </xdr:pic>
    <xdr:clientData/>
  </xdr:twoCellAnchor>
  <xdr:twoCellAnchor editAs="oneCell">
    <xdr:from>
      <xdr:col>23</xdr:col>
      <xdr:colOff>0</xdr:colOff>
      <xdr:row>1</xdr:row>
      <xdr:rowOff>0</xdr:rowOff>
    </xdr:from>
    <xdr:to>
      <xdr:col>31</xdr:col>
      <xdr:colOff>608914</xdr:colOff>
      <xdr:row>26</xdr:row>
      <xdr:rowOff>170833</xdr:rowOff>
    </xdr:to>
    <xdr:pic>
      <xdr:nvPicPr>
        <xdr:cNvPr id="13" name="Picture 12">
          <a:extLst>
            <a:ext uri="{FF2B5EF4-FFF2-40B4-BE49-F238E27FC236}">
              <a16:creationId xmlns:a16="http://schemas.microsoft.com/office/drawing/2014/main" id="{951DF4A8-2A21-4CB0-96FE-64466C184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0800" y="190500"/>
          <a:ext cx="5485714" cy="4933333"/>
        </a:xfrm>
        <a:prstGeom prst="rect">
          <a:avLst/>
        </a:prstGeom>
      </xdr:spPr>
    </xdr:pic>
    <xdr:clientData/>
  </xdr:twoCellAnchor>
  <xdr:twoCellAnchor editAs="oneCell">
    <xdr:from>
      <xdr:col>33</xdr:col>
      <xdr:colOff>0</xdr:colOff>
      <xdr:row>1</xdr:row>
      <xdr:rowOff>0</xdr:rowOff>
    </xdr:from>
    <xdr:to>
      <xdr:col>41</xdr:col>
      <xdr:colOff>608914</xdr:colOff>
      <xdr:row>26</xdr:row>
      <xdr:rowOff>170833</xdr:rowOff>
    </xdr:to>
    <xdr:pic>
      <xdr:nvPicPr>
        <xdr:cNvPr id="14" name="Picture 13">
          <a:extLst>
            <a:ext uri="{FF2B5EF4-FFF2-40B4-BE49-F238E27FC236}">
              <a16:creationId xmlns:a16="http://schemas.microsoft.com/office/drawing/2014/main" id="{35E80CAA-173E-4224-89C5-C927859C23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16800" y="190500"/>
          <a:ext cx="5485714" cy="4933333"/>
        </a:xfrm>
        <a:prstGeom prst="rect">
          <a:avLst/>
        </a:prstGeom>
      </xdr:spPr>
    </xdr:pic>
    <xdr:clientData/>
  </xdr:twoCellAnchor>
  <xdr:twoCellAnchor editAs="oneCell">
    <xdr:from>
      <xdr:col>43</xdr:col>
      <xdr:colOff>0</xdr:colOff>
      <xdr:row>1</xdr:row>
      <xdr:rowOff>0</xdr:rowOff>
    </xdr:from>
    <xdr:to>
      <xdr:col>51</xdr:col>
      <xdr:colOff>608914</xdr:colOff>
      <xdr:row>26</xdr:row>
      <xdr:rowOff>170833</xdr:rowOff>
    </xdr:to>
    <xdr:pic>
      <xdr:nvPicPr>
        <xdr:cNvPr id="15" name="Picture 14">
          <a:extLst>
            <a:ext uri="{FF2B5EF4-FFF2-40B4-BE49-F238E27FC236}">
              <a16:creationId xmlns:a16="http://schemas.microsoft.com/office/drawing/2014/main" id="{2010646C-DD62-4895-9600-C4C3726C6C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12800" y="190500"/>
          <a:ext cx="5485714" cy="4933333"/>
        </a:xfrm>
        <a:prstGeom prst="rect">
          <a:avLst/>
        </a:prstGeom>
      </xdr:spPr>
    </xdr:pic>
    <xdr:clientData/>
  </xdr:twoCellAnchor>
</xdr:wsDr>
</file>

<file path=xl/theme/theme1.xml><?xml version="1.0" encoding="utf-8"?>
<a:theme xmlns:a="http://schemas.openxmlformats.org/drawingml/2006/main" name="Office Theme">
  <a:themeElements>
    <a:clrScheme name="Unambiguous">
      <a:dk1>
        <a:sysClr val="windowText" lastClr="000000"/>
      </a:dk1>
      <a:lt1>
        <a:sysClr val="window" lastClr="FFFFFF"/>
      </a:lt1>
      <a:dk2>
        <a:srgbClr val="004E72"/>
      </a:dk2>
      <a:lt2>
        <a:srgbClr val="E7E6E6"/>
      </a:lt2>
      <a:accent1>
        <a:srgbClr val="56B4E9"/>
      </a:accent1>
      <a:accent2>
        <a:srgbClr val="CC79A7"/>
      </a:accent2>
      <a:accent3>
        <a:srgbClr val="009E73"/>
      </a:accent3>
      <a:accent4>
        <a:srgbClr val="D55E00"/>
      </a:accent4>
      <a:accent5>
        <a:srgbClr val="E69F00"/>
      </a:accent5>
      <a:accent6>
        <a:srgbClr val="F0E442"/>
      </a:accent6>
      <a:hlink>
        <a:srgbClr val="56B4E9"/>
      </a:hlink>
      <a:folHlink>
        <a:srgbClr val="D55E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D4A4-BBD8-4992-9339-28B76E69241C}">
  <sheetPr>
    <pageSetUpPr fitToPage="1"/>
  </sheetPr>
  <dimension ref="A1:EL121"/>
  <sheetViews>
    <sheetView tabSelected="1" zoomScale="40" zoomScaleNormal="40" workbookViewId="0">
      <selection activeCell="M2" sqref="M2"/>
    </sheetView>
  </sheetViews>
  <sheetFormatPr defaultColWidth="9.1796875" defaultRowHeight="14.5" x14ac:dyDescent="0.35"/>
  <cols>
    <col min="1" max="6" width="9.1796875" style="2" customWidth="1"/>
    <col min="7" max="10" width="9.1796875" style="2"/>
    <col min="11" max="11" width="9.1796875" style="1"/>
    <col min="12" max="12" width="9.1796875" style="3"/>
    <col min="13" max="71" width="9.1796875" style="2"/>
    <col min="72" max="80" width="9.1796875" style="41"/>
    <col min="81" max="16384" width="9.1796875" style="2"/>
  </cols>
  <sheetData>
    <row r="1" spans="1:142" ht="17.25" customHeight="1" x14ac:dyDescent="0.65">
      <c r="A1" s="110" t="s">
        <v>0</v>
      </c>
      <c r="B1" s="110"/>
      <c r="C1" s="156"/>
      <c r="D1" s="136"/>
      <c r="E1" s="136"/>
      <c r="F1" s="136"/>
      <c r="G1" s="136"/>
      <c r="H1" s="136"/>
      <c r="I1" s="136"/>
      <c r="J1" s="136"/>
      <c r="K1" s="5" t="str">
        <f t="shared" ref="K1:K8" si="0">IF(D1="","BLANK","EQ")</f>
        <v>BLANK</v>
      </c>
      <c r="L1" s="87"/>
      <c r="M1" s="88">
        <v>2019</v>
      </c>
      <c r="N1" s="168" t="s">
        <v>373</v>
      </c>
      <c r="O1" s="168"/>
      <c r="P1" s="168"/>
      <c r="Q1" s="168"/>
      <c r="R1" s="168"/>
      <c r="S1" s="168"/>
      <c r="T1" s="168"/>
      <c r="U1" s="168"/>
      <c r="V1" s="168"/>
      <c r="W1" s="168"/>
      <c r="X1" s="168"/>
      <c r="Y1" s="168"/>
      <c r="Z1" s="168"/>
      <c r="AA1" s="168"/>
      <c r="AB1" s="20"/>
      <c r="AC1" s="39"/>
      <c r="AD1" s="39"/>
      <c r="AE1" s="39"/>
      <c r="AF1" s="39"/>
      <c r="AG1" s="39"/>
      <c r="AH1" s="39"/>
      <c r="AI1" s="39"/>
      <c r="AJ1" s="39"/>
      <c r="AK1" s="39"/>
      <c r="AL1" s="39"/>
      <c r="AM1" s="39"/>
      <c r="AN1" s="39"/>
      <c r="AO1" s="39"/>
      <c r="AP1" s="20"/>
      <c r="AQ1" s="39"/>
      <c r="AR1" s="39"/>
      <c r="AS1" s="39"/>
      <c r="AT1" s="39"/>
      <c r="AU1" s="39"/>
      <c r="AV1" s="39"/>
      <c r="AW1" s="39"/>
      <c r="AX1" s="39"/>
      <c r="AY1" s="39"/>
      <c r="AZ1" s="39"/>
      <c r="BA1" s="39"/>
      <c r="BB1" s="39"/>
      <c r="BC1" s="39"/>
      <c r="BD1" s="20"/>
      <c r="BE1" s="42"/>
      <c r="BF1" s="42"/>
      <c r="BG1" s="42"/>
      <c r="BH1" s="42"/>
      <c r="BI1" s="42"/>
      <c r="BJ1" s="42"/>
      <c r="BK1" s="42"/>
      <c r="BL1" s="42"/>
      <c r="BM1" s="42"/>
      <c r="BN1" s="42"/>
      <c r="BO1" s="42"/>
      <c r="BP1" s="42"/>
      <c r="BQ1" s="42"/>
      <c r="BR1" s="20"/>
      <c r="BS1" s="123" t="s">
        <v>339</v>
      </c>
      <c r="BT1" s="123"/>
      <c r="BU1" s="123"/>
      <c r="BV1" s="123"/>
      <c r="BW1" s="123"/>
      <c r="BX1" s="123"/>
      <c r="BY1" s="123"/>
      <c r="BZ1" s="123"/>
      <c r="CA1" s="123"/>
      <c r="CB1" s="123"/>
      <c r="CC1" s="122" t="s">
        <v>202</v>
      </c>
      <c r="CD1" s="122"/>
      <c r="CE1" s="122"/>
      <c r="CF1" s="122"/>
      <c r="CG1" s="122"/>
      <c r="CH1" s="122"/>
      <c r="CI1" s="122"/>
      <c r="CJ1" s="122"/>
      <c r="CK1" s="122"/>
      <c r="CL1" s="122"/>
      <c r="CM1" s="122"/>
      <c r="CN1" s="122"/>
      <c r="CO1" s="122"/>
      <c r="CP1" s="122"/>
      <c r="CQ1" s="122"/>
      <c r="CR1" s="122"/>
      <c r="CS1" s="122"/>
      <c r="CT1" s="122"/>
      <c r="CU1" s="122"/>
      <c r="CV1" s="122"/>
      <c r="CW1" s="122"/>
      <c r="CX1" s="122"/>
      <c r="CY1" s="122"/>
      <c r="CZ1" s="122" t="s">
        <v>243</v>
      </c>
      <c r="DA1" s="122"/>
      <c r="DB1" s="122"/>
      <c r="DC1" s="122"/>
      <c r="DD1" s="122"/>
      <c r="DE1" s="122"/>
      <c r="DF1" s="122"/>
      <c r="DG1" s="122"/>
      <c r="DH1" s="122" t="s">
        <v>336</v>
      </c>
      <c r="DI1" s="122"/>
      <c r="DJ1" s="122"/>
      <c r="DK1" s="122"/>
      <c r="DL1" s="122"/>
      <c r="DM1" s="122"/>
      <c r="DN1" s="122"/>
      <c r="DP1" s="122" t="s">
        <v>244</v>
      </c>
      <c r="DQ1" s="108"/>
      <c r="DR1" s="108"/>
      <c r="DS1" s="108"/>
      <c r="DT1" s="108"/>
      <c r="DU1" s="108"/>
      <c r="DV1" s="108"/>
      <c r="DW1" s="108"/>
      <c r="DX1" s="108"/>
      <c r="DY1" s="108"/>
      <c r="DZ1" s="108"/>
      <c r="EA1" s="108"/>
      <c r="EB1" s="108"/>
      <c r="EC1" s="108"/>
      <c r="ED1" s="108"/>
      <c r="EE1" s="122" t="s">
        <v>245</v>
      </c>
      <c r="EF1" s="122"/>
      <c r="EG1" s="122"/>
      <c r="EH1" s="122"/>
      <c r="EI1" s="122"/>
      <c r="EJ1" s="122"/>
      <c r="EK1" s="122"/>
      <c r="EL1" s="122"/>
    </row>
    <row r="2" spans="1:142" ht="15.75" customHeight="1" thickBot="1" x14ac:dyDescent="0.7">
      <c r="A2" s="110" t="s">
        <v>6</v>
      </c>
      <c r="B2" s="110"/>
      <c r="C2" s="156"/>
      <c r="D2" s="136"/>
      <c r="E2" s="136"/>
      <c r="F2" s="136"/>
      <c r="G2" s="136"/>
      <c r="H2" s="136"/>
      <c r="I2" s="136"/>
      <c r="J2" s="136"/>
      <c r="K2" s="5" t="str">
        <f t="shared" si="0"/>
        <v>BLANK</v>
      </c>
      <c r="L2" s="52"/>
      <c r="M2" s="53"/>
      <c r="N2" s="111" t="s">
        <v>55</v>
      </c>
      <c r="O2" s="112"/>
      <c r="P2" s="112"/>
      <c r="Q2" s="112"/>
      <c r="R2" s="112"/>
      <c r="S2" s="112"/>
      <c r="T2" s="112"/>
      <c r="U2" s="112"/>
      <c r="V2" s="112"/>
      <c r="W2" s="112"/>
      <c r="X2" s="112"/>
      <c r="Y2" s="112"/>
      <c r="Z2" s="112"/>
      <c r="AA2" s="112"/>
      <c r="AB2" s="20"/>
      <c r="AC2" s="39"/>
      <c r="AD2" s="39"/>
      <c r="AE2" s="39"/>
      <c r="AF2" s="39"/>
      <c r="AG2" s="39"/>
      <c r="AH2" s="39"/>
      <c r="AI2" s="39"/>
      <c r="AJ2" s="39"/>
      <c r="AK2" s="39"/>
      <c r="AL2" s="39"/>
      <c r="AM2" s="39"/>
      <c r="AN2" s="39"/>
      <c r="AO2" s="39"/>
      <c r="AP2" s="20"/>
      <c r="AQ2" s="39"/>
      <c r="AR2" s="39"/>
      <c r="AS2" s="39"/>
      <c r="AT2" s="39"/>
      <c r="AU2" s="39"/>
      <c r="AV2" s="39"/>
      <c r="AW2" s="39"/>
      <c r="AX2" s="39"/>
      <c r="AY2" s="39"/>
      <c r="AZ2" s="39"/>
      <c r="BA2" s="39"/>
      <c r="BB2" s="39"/>
      <c r="BC2" s="39"/>
      <c r="BD2" s="20"/>
      <c r="BE2" s="42"/>
      <c r="BF2" s="42"/>
      <c r="BG2" s="42"/>
      <c r="BH2" s="42"/>
      <c r="BI2" s="42"/>
      <c r="BJ2" s="42"/>
      <c r="BK2" s="42"/>
      <c r="BL2" s="42"/>
      <c r="BM2" s="42"/>
      <c r="BN2" s="42"/>
      <c r="BO2" s="42"/>
      <c r="BP2" s="42"/>
      <c r="BQ2" s="42"/>
      <c r="BR2" s="20"/>
      <c r="BS2" s="123"/>
      <c r="BT2" s="123"/>
      <c r="BU2" s="123"/>
      <c r="BV2" s="123"/>
      <c r="BW2" s="123"/>
      <c r="BX2" s="123"/>
      <c r="BY2" s="123"/>
      <c r="BZ2" s="123"/>
      <c r="CA2" s="123"/>
      <c r="CB2" s="123"/>
      <c r="CC2" s="122"/>
      <c r="CD2" s="122"/>
      <c r="CE2" s="122"/>
      <c r="CF2" s="122"/>
      <c r="CG2" s="122"/>
      <c r="CH2" s="122"/>
      <c r="CI2" s="122"/>
      <c r="CJ2" s="122"/>
      <c r="CK2" s="122"/>
      <c r="CL2" s="122"/>
      <c r="CM2" s="122"/>
      <c r="CN2" s="122"/>
      <c r="CO2" s="122"/>
      <c r="CP2" s="122"/>
      <c r="CQ2" s="122"/>
      <c r="CR2" s="122"/>
      <c r="CS2" s="122"/>
      <c r="CT2" s="122"/>
      <c r="CU2" s="122"/>
      <c r="CV2" s="122"/>
      <c r="CW2" s="122"/>
      <c r="CX2" s="122"/>
      <c r="CY2" s="122"/>
      <c r="CZ2" s="122"/>
      <c r="DA2" s="122"/>
      <c r="DB2" s="122"/>
      <c r="DC2" s="122"/>
      <c r="DD2" s="122"/>
      <c r="DE2" s="122"/>
      <c r="DF2" s="122"/>
      <c r="DG2" s="122"/>
      <c r="DH2" s="122"/>
      <c r="DI2" s="122"/>
      <c r="DJ2" s="122"/>
      <c r="DK2" s="122"/>
      <c r="DL2" s="122"/>
      <c r="DM2" s="122"/>
      <c r="DN2" s="122"/>
      <c r="DP2" s="108"/>
      <c r="DQ2" s="108"/>
      <c r="DR2" s="108"/>
      <c r="DS2" s="108"/>
      <c r="DT2" s="108"/>
      <c r="DU2" s="108"/>
      <c r="DV2" s="108"/>
      <c r="DW2" s="108"/>
      <c r="DX2" s="108"/>
      <c r="DY2" s="108"/>
      <c r="DZ2" s="108"/>
      <c r="EA2" s="108"/>
      <c r="EB2" s="108"/>
      <c r="EC2" s="108"/>
      <c r="ED2" s="108"/>
      <c r="EE2" s="122"/>
      <c r="EF2" s="122"/>
      <c r="EG2" s="122"/>
      <c r="EH2" s="122"/>
      <c r="EI2" s="122"/>
      <c r="EJ2" s="122"/>
      <c r="EK2" s="122"/>
      <c r="EL2" s="122"/>
    </row>
    <row r="3" spans="1:142" ht="15.75" customHeight="1" thickBot="1" x14ac:dyDescent="0.7">
      <c r="A3" s="110" t="s">
        <v>256</v>
      </c>
      <c r="B3" s="110"/>
      <c r="C3" s="156"/>
      <c r="D3" s="136"/>
      <c r="E3" s="136"/>
      <c r="F3" s="136"/>
      <c r="G3" s="136"/>
      <c r="H3" s="136"/>
      <c r="I3" s="136"/>
      <c r="J3" s="136"/>
      <c r="K3" s="5" t="str">
        <f t="shared" si="0"/>
        <v>BLANK</v>
      </c>
      <c r="L3" s="52"/>
      <c r="M3" s="128" t="s">
        <v>155</v>
      </c>
      <c r="N3" s="129"/>
      <c r="O3" s="129"/>
      <c r="P3" s="129"/>
      <c r="Q3" s="129"/>
      <c r="R3" s="129"/>
      <c r="S3" s="129"/>
      <c r="T3" s="129"/>
      <c r="U3" s="129"/>
      <c r="V3" s="129"/>
      <c r="W3" s="129"/>
      <c r="X3" s="129"/>
      <c r="Y3" s="129"/>
      <c r="Z3" s="129"/>
      <c r="AA3" s="130"/>
      <c r="AB3" s="20"/>
      <c r="AC3" s="39"/>
      <c r="AD3" s="39"/>
      <c r="AE3" s="39"/>
      <c r="AF3" s="39"/>
      <c r="AG3" s="39"/>
      <c r="AH3" s="39"/>
      <c r="AI3" s="39"/>
      <c r="AJ3" s="39"/>
      <c r="AK3" s="39"/>
      <c r="AL3" s="39"/>
      <c r="AM3" s="39"/>
      <c r="AN3" s="39"/>
      <c r="AO3" s="39"/>
      <c r="AP3" s="20"/>
      <c r="AQ3" s="39"/>
      <c r="AR3" s="39"/>
      <c r="AS3" s="39"/>
      <c r="AT3" s="39"/>
      <c r="AU3" s="39"/>
      <c r="AV3" s="39"/>
      <c r="AW3" s="39"/>
      <c r="AX3" s="39"/>
      <c r="AY3" s="39"/>
      <c r="AZ3" s="39"/>
      <c r="BA3" s="39"/>
      <c r="BB3" s="39"/>
      <c r="BC3" s="39"/>
      <c r="BD3" s="20"/>
      <c r="BE3" s="42"/>
      <c r="BF3" s="42"/>
      <c r="BG3" s="42"/>
      <c r="BH3" s="42"/>
      <c r="BI3" s="42"/>
      <c r="BJ3" s="42"/>
      <c r="BK3" s="42"/>
      <c r="BL3" s="42"/>
      <c r="BM3" s="42"/>
      <c r="BN3" s="42"/>
      <c r="BO3" s="42"/>
      <c r="BP3" s="42"/>
      <c r="BQ3" s="42"/>
      <c r="BR3" s="20"/>
      <c r="BS3" s="123"/>
      <c r="BT3" s="123"/>
      <c r="BU3" s="123"/>
      <c r="BV3" s="123"/>
      <c r="BW3" s="123"/>
      <c r="BX3" s="123"/>
      <c r="BY3" s="123"/>
      <c r="BZ3" s="123"/>
      <c r="CA3" s="123"/>
      <c r="CB3" s="123"/>
    </row>
    <row r="4" spans="1:142" ht="15.75" customHeight="1" x14ac:dyDescent="0.65">
      <c r="A4" s="110" t="s">
        <v>255</v>
      </c>
      <c r="B4" s="110"/>
      <c r="C4" s="156"/>
      <c r="D4" s="136"/>
      <c r="E4" s="136"/>
      <c r="F4" s="136"/>
      <c r="G4" s="136"/>
      <c r="H4" s="136"/>
      <c r="I4" s="136"/>
      <c r="J4" s="136"/>
      <c r="K4" s="5" t="str">
        <f t="shared" si="0"/>
        <v>BLANK</v>
      </c>
      <c r="L4" s="52"/>
      <c r="M4" s="133" t="s">
        <v>346</v>
      </c>
      <c r="N4" s="133"/>
      <c r="O4" s="133"/>
      <c r="P4" s="133"/>
      <c r="Q4" s="133"/>
      <c r="R4" s="133"/>
      <c r="S4" s="133"/>
      <c r="T4" s="133"/>
      <c r="U4" s="133"/>
      <c r="V4" s="133"/>
      <c r="W4" s="133"/>
      <c r="X4" s="133"/>
      <c r="Y4" s="133"/>
      <c r="Z4" s="133"/>
      <c r="AA4" s="133"/>
      <c r="AB4" s="20"/>
      <c r="AC4" s="39"/>
      <c r="AD4" s="39"/>
      <c r="AE4" s="39"/>
      <c r="AF4" s="39"/>
      <c r="AG4" s="39"/>
      <c r="AH4" s="39"/>
      <c r="AI4" s="39"/>
      <c r="AJ4" s="39"/>
      <c r="AK4" s="39"/>
      <c r="AL4" s="39"/>
      <c r="AM4" s="39"/>
      <c r="AN4" s="39"/>
      <c r="AO4" s="39"/>
      <c r="AP4" s="20"/>
      <c r="AQ4" s="39"/>
      <c r="AR4" s="39"/>
      <c r="AS4" s="39"/>
      <c r="AT4" s="39"/>
      <c r="AU4" s="39"/>
      <c r="AV4" s="39"/>
      <c r="AW4" s="39"/>
      <c r="AX4" s="39"/>
      <c r="AY4" s="39"/>
      <c r="AZ4" s="39"/>
      <c r="BA4" s="39"/>
      <c r="BB4" s="39"/>
      <c r="BC4" s="39"/>
      <c r="BD4" s="20"/>
      <c r="BE4" s="42"/>
      <c r="BF4" s="42"/>
      <c r="BG4" s="42"/>
      <c r="BH4" s="42"/>
      <c r="BI4" s="42"/>
      <c r="BJ4" s="42"/>
      <c r="BK4" s="42"/>
      <c r="BL4" s="42"/>
      <c r="BM4" s="42"/>
      <c r="BN4" s="42"/>
      <c r="BO4" s="42"/>
      <c r="BP4" s="42"/>
      <c r="BQ4" s="42"/>
      <c r="BR4" s="20"/>
      <c r="BS4" s="123"/>
      <c r="BT4" s="123"/>
      <c r="BU4" s="123"/>
      <c r="BV4" s="123"/>
      <c r="BW4" s="123"/>
      <c r="BX4" s="123"/>
      <c r="BY4" s="123"/>
      <c r="BZ4" s="123"/>
      <c r="CA4" s="123"/>
      <c r="CB4" s="123"/>
    </row>
    <row r="5" spans="1:142" ht="15.75" customHeight="1" x14ac:dyDescent="0.65">
      <c r="A5" s="110" t="s">
        <v>20</v>
      </c>
      <c r="B5" s="110"/>
      <c r="C5" s="156"/>
      <c r="D5" s="136"/>
      <c r="E5" s="136"/>
      <c r="F5" s="136"/>
      <c r="G5" s="136"/>
      <c r="H5" s="136"/>
      <c r="I5" s="136"/>
      <c r="J5" s="136"/>
      <c r="K5" s="5" t="str">
        <f t="shared" si="0"/>
        <v>BLANK</v>
      </c>
      <c r="L5" s="52"/>
      <c r="M5" s="133" t="s">
        <v>25</v>
      </c>
      <c r="N5" s="133"/>
      <c r="O5" s="133"/>
      <c r="P5" s="133"/>
      <c r="Q5" s="133"/>
      <c r="R5" s="133"/>
      <c r="S5" s="133"/>
      <c r="T5" s="133"/>
      <c r="U5" s="133"/>
      <c r="V5" s="133"/>
      <c r="W5" s="133"/>
      <c r="X5" s="133"/>
      <c r="Y5" s="133"/>
      <c r="Z5" s="133"/>
      <c r="AA5" s="133"/>
      <c r="AB5" s="20"/>
      <c r="AC5" s="39"/>
      <c r="AD5" s="39"/>
      <c r="AE5" s="39"/>
      <c r="AF5" s="39"/>
      <c r="AG5" s="39"/>
      <c r="AH5" s="39"/>
      <c r="AI5" s="39"/>
      <c r="AJ5" s="39"/>
      <c r="AK5" s="39"/>
      <c r="AL5" s="39"/>
      <c r="AM5" s="39"/>
      <c r="AN5" s="39"/>
      <c r="AO5" s="39"/>
      <c r="AP5" s="20"/>
      <c r="AQ5" s="39"/>
      <c r="AR5" s="39"/>
      <c r="AS5" s="39"/>
      <c r="AT5" s="39"/>
      <c r="AU5" s="39"/>
      <c r="AV5" s="39"/>
      <c r="AW5" s="39"/>
      <c r="AX5" s="39"/>
      <c r="AY5" s="39"/>
      <c r="AZ5" s="39"/>
      <c r="BA5" s="39"/>
      <c r="BB5" s="39"/>
      <c r="BC5" s="39"/>
      <c r="BD5" s="20"/>
      <c r="BE5" s="42"/>
      <c r="BF5" s="42"/>
      <c r="BG5" s="42"/>
      <c r="BH5" s="42"/>
      <c r="BI5" s="42"/>
      <c r="BJ5" s="42"/>
      <c r="BK5" s="42"/>
      <c r="BL5" s="42"/>
      <c r="BM5" s="42"/>
      <c r="BN5" s="42"/>
      <c r="BO5" s="42"/>
      <c r="BP5" s="42"/>
      <c r="BQ5" s="42"/>
      <c r="BR5" s="20"/>
      <c r="BS5" s="123"/>
      <c r="BT5" s="123"/>
      <c r="BU5" s="123"/>
      <c r="BV5" s="123"/>
      <c r="BW5" s="123"/>
      <c r="BX5" s="123"/>
      <c r="BY5" s="123"/>
      <c r="BZ5" s="123"/>
      <c r="CA5" s="123"/>
      <c r="CB5" s="123"/>
    </row>
    <row r="6" spans="1:142" ht="15.75" customHeight="1" x14ac:dyDescent="0.65">
      <c r="A6" s="110" t="s">
        <v>7</v>
      </c>
      <c r="B6" s="110"/>
      <c r="C6" s="156"/>
      <c r="D6" s="134"/>
      <c r="E6" s="135"/>
      <c r="F6" s="135"/>
      <c r="G6" s="135"/>
      <c r="H6" s="135"/>
      <c r="I6" s="135"/>
      <c r="J6" s="135"/>
      <c r="K6" s="5" t="str">
        <f t="shared" si="0"/>
        <v>BLANK</v>
      </c>
      <c r="L6" s="87"/>
      <c r="M6" s="176"/>
      <c r="N6" s="176"/>
      <c r="O6" s="176"/>
      <c r="P6" s="176"/>
      <c r="Q6" s="176"/>
      <c r="R6" s="176"/>
      <c r="S6" s="176"/>
      <c r="T6" s="176"/>
      <c r="U6" s="176"/>
      <c r="V6" s="176"/>
      <c r="W6" s="176"/>
      <c r="X6" s="176"/>
      <c r="Y6" s="176"/>
      <c r="Z6" s="176"/>
      <c r="AA6" s="176"/>
      <c r="AB6" s="20"/>
      <c r="AC6" s="39"/>
      <c r="AD6" s="39"/>
      <c r="AE6" s="39"/>
      <c r="AF6" s="39"/>
      <c r="AG6" s="39"/>
      <c r="AH6" s="39"/>
      <c r="AI6" s="39"/>
      <c r="AJ6" s="39"/>
      <c r="AK6" s="39"/>
      <c r="AL6" s="39"/>
      <c r="AM6" s="39"/>
      <c r="AN6" s="39"/>
      <c r="AO6" s="39"/>
      <c r="AP6" s="20"/>
      <c r="AQ6" s="39"/>
      <c r="AR6" s="39"/>
      <c r="AS6" s="39"/>
      <c r="AT6" s="39"/>
      <c r="AU6" s="39"/>
      <c r="AV6" s="39"/>
      <c r="AW6" s="39"/>
      <c r="AX6" s="39"/>
      <c r="AY6" s="39"/>
      <c r="AZ6" s="39"/>
      <c r="BA6" s="39"/>
      <c r="BB6" s="39"/>
      <c r="BC6" s="39"/>
      <c r="BD6" s="20"/>
      <c r="BE6" s="42"/>
      <c r="BF6" s="42"/>
      <c r="BG6" s="42"/>
      <c r="BH6" s="42"/>
      <c r="BI6" s="42"/>
      <c r="BJ6" s="42"/>
      <c r="BK6" s="42"/>
      <c r="BL6" s="42"/>
      <c r="BM6" s="42"/>
      <c r="BN6" s="42"/>
      <c r="BO6" s="42"/>
      <c r="BP6" s="42"/>
      <c r="BQ6" s="42"/>
      <c r="BR6" s="20"/>
      <c r="BS6" s="123"/>
      <c r="BT6" s="123"/>
      <c r="BU6" s="123"/>
      <c r="BV6" s="123"/>
      <c r="BW6" s="123"/>
      <c r="BX6" s="123"/>
      <c r="BY6" s="123"/>
      <c r="BZ6" s="123"/>
      <c r="CA6" s="123"/>
      <c r="CB6" s="123"/>
    </row>
    <row r="7" spans="1:142" ht="15.75" customHeight="1" x14ac:dyDescent="0.65">
      <c r="A7" s="110" t="s">
        <v>2</v>
      </c>
      <c r="B7" s="110"/>
      <c r="C7" s="156"/>
      <c r="D7" s="136"/>
      <c r="E7" s="136"/>
      <c r="F7" s="136"/>
      <c r="G7" s="136"/>
      <c r="H7" s="136"/>
      <c r="I7" s="136"/>
      <c r="J7" s="136"/>
      <c r="K7" s="5" t="str">
        <f t="shared" si="0"/>
        <v>BLANK</v>
      </c>
      <c r="L7" s="52"/>
      <c r="M7" s="177" t="s">
        <v>350</v>
      </c>
      <c r="N7" s="177"/>
      <c r="O7" s="177"/>
      <c r="P7" s="177"/>
      <c r="Q7" s="177"/>
      <c r="R7" s="177"/>
      <c r="S7" s="177"/>
      <c r="T7" s="177"/>
      <c r="U7" s="177"/>
      <c r="V7" s="177"/>
      <c r="W7" s="177"/>
      <c r="X7" s="177"/>
      <c r="Y7" s="177"/>
      <c r="Z7" s="177"/>
      <c r="AA7" s="177"/>
      <c r="AB7" s="20"/>
      <c r="AC7" s="39"/>
      <c r="AD7" s="39"/>
      <c r="AE7" s="39"/>
      <c r="AF7" s="39"/>
      <c r="AG7" s="39"/>
      <c r="AH7" s="39"/>
      <c r="AI7" s="39"/>
      <c r="AJ7" s="39"/>
      <c r="AK7" s="39"/>
      <c r="AL7" s="39"/>
      <c r="AM7" s="39"/>
      <c r="AN7" s="39"/>
      <c r="AO7" s="39"/>
      <c r="AP7" s="20"/>
      <c r="AQ7" s="39"/>
      <c r="AR7" s="39"/>
      <c r="AS7" s="39"/>
      <c r="AT7" s="39"/>
      <c r="AU7" s="39"/>
      <c r="AV7" s="39"/>
      <c r="AW7" s="39"/>
      <c r="AX7" s="39"/>
      <c r="AY7" s="39"/>
      <c r="AZ7" s="39"/>
      <c r="BA7" s="39"/>
      <c r="BB7" s="39"/>
      <c r="BC7" s="39"/>
      <c r="BD7" s="20"/>
      <c r="BE7" s="42"/>
      <c r="BF7" s="42"/>
      <c r="BG7" s="42"/>
      <c r="BH7" s="42"/>
      <c r="BI7" s="42"/>
      <c r="BJ7" s="42"/>
      <c r="BK7" s="42"/>
      <c r="BL7" s="42"/>
      <c r="BM7" s="42"/>
      <c r="BN7" s="42"/>
      <c r="BO7" s="42"/>
      <c r="BP7" s="42"/>
      <c r="BQ7" s="42"/>
      <c r="BR7" s="20"/>
      <c r="BS7" s="119" t="s">
        <v>335</v>
      </c>
      <c r="BT7" s="119"/>
      <c r="BU7" s="119"/>
      <c r="BV7" s="119"/>
      <c r="BW7" s="119"/>
      <c r="BX7" s="119"/>
      <c r="BY7" s="119"/>
      <c r="BZ7" s="119"/>
      <c r="CA7" s="119"/>
      <c r="CB7" s="119"/>
    </row>
    <row r="8" spans="1:142" ht="15.75" customHeight="1" thickBot="1" x14ac:dyDescent="0.7">
      <c r="A8" s="110" t="s">
        <v>1</v>
      </c>
      <c r="B8" s="110"/>
      <c r="C8" s="156"/>
      <c r="D8" s="150"/>
      <c r="E8" s="151"/>
      <c r="F8" s="151"/>
      <c r="G8" s="151"/>
      <c r="H8" s="151"/>
      <c r="I8" s="151"/>
      <c r="J8" s="151"/>
      <c r="K8" s="5" t="str">
        <f t="shared" si="0"/>
        <v>BLANK</v>
      </c>
      <c r="L8" s="87"/>
      <c r="M8" s="178" t="s">
        <v>356</v>
      </c>
      <c r="N8" s="178"/>
      <c r="O8" s="178"/>
      <c r="P8" s="178"/>
      <c r="Q8" s="178"/>
      <c r="R8" s="178"/>
      <c r="S8" s="178"/>
      <c r="T8" s="178"/>
      <c r="U8" s="178"/>
      <c r="V8" s="178"/>
      <c r="W8" s="178"/>
      <c r="X8" s="178"/>
      <c r="Y8" s="178"/>
      <c r="Z8" s="178"/>
      <c r="AA8" s="178"/>
      <c r="AB8" s="20"/>
      <c r="AC8" s="39"/>
      <c r="AD8" s="39"/>
      <c r="AE8" s="39"/>
      <c r="AF8" s="39"/>
      <c r="AG8" s="39"/>
      <c r="AH8" s="39"/>
      <c r="AI8" s="39"/>
      <c r="AJ8" s="39"/>
      <c r="AK8" s="39"/>
      <c r="AL8" s="39"/>
      <c r="AM8" s="39"/>
      <c r="AN8" s="39"/>
      <c r="AO8" s="39"/>
      <c r="AP8" s="20"/>
      <c r="AQ8" s="39"/>
      <c r="AR8" s="39"/>
      <c r="AS8" s="39"/>
      <c r="AT8" s="39"/>
      <c r="AU8" s="39"/>
      <c r="AV8" s="39"/>
      <c r="AW8" s="39"/>
      <c r="AX8" s="39"/>
      <c r="AY8" s="39"/>
      <c r="AZ8" s="39"/>
      <c r="BA8" s="39"/>
      <c r="BB8" s="39"/>
      <c r="BC8" s="39"/>
      <c r="BD8" s="20"/>
      <c r="BE8" s="42"/>
      <c r="BF8" s="42"/>
      <c r="BG8" s="42"/>
      <c r="BH8" s="42"/>
      <c r="BI8" s="42"/>
      <c r="BJ8" s="42"/>
      <c r="BK8" s="42"/>
      <c r="BL8" s="42"/>
      <c r="BM8" s="42"/>
      <c r="BN8" s="42"/>
      <c r="BO8" s="42"/>
      <c r="BP8" s="42"/>
      <c r="BQ8" s="42"/>
      <c r="BR8" s="20"/>
      <c r="BS8" s="174" t="str">
        <f>HYPERLINK("http://mkweb.bcgsc.ca/colorblind/","http://mkweb.bcgsc.ca/colorblind/")</f>
        <v>http://mkweb.bcgsc.ca/colorblind/</v>
      </c>
      <c r="BT8" s="175"/>
      <c r="BU8" s="175"/>
      <c r="BV8" s="175"/>
      <c r="BW8" s="175"/>
      <c r="BX8" s="175"/>
      <c r="BY8" s="175"/>
      <c r="BZ8" s="175"/>
      <c r="CA8" s="175"/>
      <c r="CB8" s="175"/>
    </row>
    <row r="9" spans="1:142" ht="15.75" customHeight="1" thickBot="1" x14ac:dyDescent="0.7">
      <c r="A9" s="110" t="s">
        <v>3</v>
      </c>
      <c r="B9" s="110"/>
      <c r="C9" s="110"/>
      <c r="D9" s="147" t="s">
        <v>358</v>
      </c>
      <c r="E9" s="148"/>
      <c r="F9" s="148"/>
      <c r="G9" s="148"/>
      <c r="H9" s="148"/>
      <c r="I9" s="148"/>
      <c r="J9" s="149"/>
      <c r="K9" s="55" t="str">
        <f>IF(D9="Select Drop Down","BLANK","EQ")</f>
        <v>BLANK</v>
      </c>
      <c r="L9" s="87"/>
      <c r="M9" s="178" t="s">
        <v>342</v>
      </c>
      <c r="N9" s="178"/>
      <c r="O9" s="178"/>
      <c r="P9" s="178"/>
      <c r="Q9" s="178"/>
      <c r="R9" s="178"/>
      <c r="S9" s="178"/>
      <c r="T9" s="178"/>
      <c r="U9" s="178"/>
      <c r="V9" s="178"/>
      <c r="W9" s="178"/>
      <c r="X9" s="178"/>
      <c r="Y9" s="178"/>
      <c r="Z9" s="178"/>
      <c r="AA9" s="178"/>
      <c r="AB9" s="20"/>
      <c r="AC9" s="39"/>
      <c r="AD9" s="118" t="s">
        <v>169</v>
      </c>
      <c r="AE9" s="118"/>
      <c r="AF9" s="118"/>
      <c r="AG9" s="118"/>
      <c r="AH9" s="118"/>
      <c r="AI9" s="118"/>
      <c r="AJ9" s="118"/>
      <c r="AK9" s="118"/>
      <c r="AL9" s="118"/>
      <c r="AM9" s="118"/>
      <c r="AN9" s="118"/>
      <c r="AO9" s="39"/>
      <c r="AP9" s="20"/>
      <c r="AQ9" s="39"/>
      <c r="AR9" s="118" t="s">
        <v>170</v>
      </c>
      <c r="AS9" s="118"/>
      <c r="AT9" s="118"/>
      <c r="AU9" s="118"/>
      <c r="AV9" s="118"/>
      <c r="AW9" s="118"/>
      <c r="AX9" s="118"/>
      <c r="AY9" s="118"/>
      <c r="AZ9" s="118"/>
      <c r="BA9" s="118"/>
      <c r="BB9" s="118"/>
      <c r="BC9" s="39"/>
      <c r="BD9" s="20"/>
      <c r="BE9" s="42"/>
      <c r="BF9" s="118"/>
      <c r="BG9" s="118"/>
      <c r="BH9" s="118"/>
      <c r="BI9" s="118"/>
      <c r="BJ9" s="118"/>
      <c r="BK9" s="118"/>
      <c r="BL9" s="118"/>
      <c r="BM9" s="118"/>
      <c r="BN9" s="118"/>
      <c r="BO9" s="118"/>
      <c r="BP9" s="118"/>
      <c r="BQ9" s="42"/>
      <c r="BR9" s="20"/>
      <c r="BS9" s="82" t="s">
        <v>334</v>
      </c>
    </row>
    <row r="10" spans="1:142" ht="15.75" customHeight="1" x14ac:dyDescent="0.65">
      <c r="A10" s="131" t="s">
        <v>24</v>
      </c>
      <c r="B10" s="131"/>
      <c r="C10" s="131" t="s">
        <v>14</v>
      </c>
      <c r="D10" s="131"/>
      <c r="E10" s="131"/>
      <c r="F10" s="131"/>
      <c r="G10" s="131"/>
      <c r="H10" s="131"/>
      <c r="I10" s="131"/>
      <c r="J10" s="131"/>
      <c r="L10" s="86"/>
      <c r="M10" s="179" t="s">
        <v>343</v>
      </c>
      <c r="N10" s="179"/>
      <c r="O10" s="179"/>
      <c r="P10" s="179"/>
      <c r="Q10" s="179"/>
      <c r="R10" s="179"/>
      <c r="S10" s="179"/>
      <c r="T10" s="179"/>
      <c r="U10" s="179"/>
      <c r="V10" s="179"/>
      <c r="W10" s="179"/>
      <c r="X10" s="179"/>
      <c r="Y10" s="179"/>
      <c r="Z10" s="179"/>
      <c r="AA10" s="179"/>
      <c r="AB10" s="20"/>
      <c r="AC10" s="39"/>
      <c r="AD10" s="118"/>
      <c r="AE10" s="118"/>
      <c r="AF10" s="118"/>
      <c r="AG10" s="118"/>
      <c r="AH10" s="118"/>
      <c r="AI10" s="118"/>
      <c r="AJ10" s="118"/>
      <c r="AK10" s="118"/>
      <c r="AL10" s="118"/>
      <c r="AM10" s="118"/>
      <c r="AN10" s="118"/>
      <c r="AO10" s="39"/>
      <c r="AP10" s="20"/>
      <c r="AQ10" s="39"/>
      <c r="AR10" s="118"/>
      <c r="AS10" s="118"/>
      <c r="AT10" s="118"/>
      <c r="AU10" s="118"/>
      <c r="AV10" s="118"/>
      <c r="AW10" s="118"/>
      <c r="AX10" s="118"/>
      <c r="AY10" s="118"/>
      <c r="AZ10" s="118"/>
      <c r="BA10" s="118"/>
      <c r="BB10" s="118"/>
      <c r="BC10" s="39"/>
      <c r="BD10" s="20"/>
      <c r="BE10" s="42"/>
      <c r="BF10" s="118"/>
      <c r="BG10" s="118"/>
      <c r="BH10" s="118"/>
      <c r="BI10" s="118"/>
      <c r="BJ10" s="118"/>
      <c r="BK10" s="118"/>
      <c r="BL10" s="118"/>
      <c r="BM10" s="118"/>
      <c r="BN10" s="118"/>
      <c r="BO10" s="118"/>
      <c r="BP10" s="118"/>
      <c r="BQ10" s="42"/>
      <c r="BR10" s="20"/>
      <c r="BS10" s="119" t="s">
        <v>324</v>
      </c>
      <c r="BT10" s="119"/>
      <c r="BU10" s="119"/>
      <c r="BV10" s="119"/>
      <c r="BW10" s="119"/>
      <c r="BX10" s="119"/>
      <c r="BY10" s="119"/>
      <c r="BZ10" s="119"/>
      <c r="CA10" s="119"/>
      <c r="CB10" s="119"/>
    </row>
    <row r="11" spans="1:142" ht="15.75" customHeight="1" x14ac:dyDescent="0.65">
      <c r="A11" s="131"/>
      <c r="B11" s="131"/>
      <c r="C11" s="131"/>
      <c r="D11" s="131"/>
      <c r="E11" s="131"/>
      <c r="F11" s="131"/>
      <c r="G11" s="131"/>
      <c r="H11" s="131"/>
      <c r="I11" s="131"/>
      <c r="J11" s="131"/>
      <c r="L11" s="86"/>
      <c r="M11" s="178" t="s">
        <v>344</v>
      </c>
      <c r="N11" s="178"/>
      <c r="O11" s="178"/>
      <c r="P11" s="178"/>
      <c r="Q11" s="178"/>
      <c r="R11" s="178"/>
      <c r="S11" s="178"/>
      <c r="T11" s="178"/>
      <c r="U11" s="178"/>
      <c r="V11" s="178"/>
      <c r="W11" s="178"/>
      <c r="X11" s="178"/>
      <c r="Y11" s="178"/>
      <c r="Z11" s="178"/>
      <c r="AA11" s="178"/>
      <c r="AB11" s="20"/>
      <c r="AC11" s="39"/>
      <c r="AD11" s="39"/>
      <c r="AE11" s="118" t="s">
        <v>159</v>
      </c>
      <c r="AF11" s="118"/>
      <c r="AG11" s="118"/>
      <c r="AH11" s="118"/>
      <c r="AI11" s="118"/>
      <c r="AJ11" s="118"/>
      <c r="AK11" s="118"/>
      <c r="AL11" s="118"/>
      <c r="AM11" s="118"/>
      <c r="AN11" s="39"/>
      <c r="AO11" s="39"/>
      <c r="AP11" s="20"/>
      <c r="AQ11" s="39"/>
      <c r="AR11" s="39"/>
      <c r="AS11" s="118" t="s">
        <v>159</v>
      </c>
      <c r="AT11" s="118"/>
      <c r="AU11" s="118"/>
      <c r="AV11" s="118"/>
      <c r="AW11" s="118"/>
      <c r="AX11" s="118"/>
      <c r="AY11" s="118"/>
      <c r="AZ11" s="118"/>
      <c r="BA11" s="118"/>
      <c r="BB11" s="39"/>
      <c r="BC11" s="39"/>
      <c r="BD11" s="20"/>
      <c r="BE11" s="42"/>
      <c r="BF11" s="161" t="s">
        <v>171</v>
      </c>
      <c r="BG11" s="161"/>
      <c r="BH11" s="161"/>
      <c r="BI11" s="161"/>
      <c r="BJ11" s="161"/>
      <c r="BK11" s="161"/>
      <c r="BL11" s="161"/>
      <c r="BM11" s="161"/>
      <c r="BN11" s="161"/>
      <c r="BO11" s="161"/>
      <c r="BP11" s="161"/>
      <c r="BQ11" s="42"/>
      <c r="BR11" s="20"/>
      <c r="BS11" s="119" t="s">
        <v>323</v>
      </c>
      <c r="BT11" s="119"/>
      <c r="BU11" s="119"/>
      <c r="BV11" s="119"/>
      <c r="BW11" s="119"/>
      <c r="BX11" s="119"/>
      <c r="BY11" s="119"/>
      <c r="BZ11" s="119"/>
      <c r="CA11" s="119"/>
      <c r="CB11" s="119"/>
    </row>
    <row r="12" spans="1:142" ht="15.75" customHeight="1" x14ac:dyDescent="0.65">
      <c r="A12" s="152" t="str">
        <f>IF(OR(A19="EQ",A19="CHECK"),"YES","NO")</f>
        <v>NO</v>
      </c>
      <c r="B12" s="152"/>
      <c r="C12" s="139" t="s">
        <v>197</v>
      </c>
      <c r="D12" s="139"/>
      <c r="E12" s="139"/>
      <c r="F12" s="139"/>
      <c r="G12" s="139"/>
      <c r="H12" s="139"/>
      <c r="I12" s="139"/>
      <c r="J12" s="139"/>
      <c r="L12" s="86"/>
      <c r="M12" s="180" t="s">
        <v>345</v>
      </c>
      <c r="N12" s="180"/>
      <c r="O12" s="180"/>
      <c r="P12" s="180"/>
      <c r="Q12" s="180"/>
      <c r="R12" s="180"/>
      <c r="S12" s="180"/>
      <c r="T12" s="180"/>
      <c r="U12" s="180"/>
      <c r="V12" s="180"/>
      <c r="W12" s="180"/>
      <c r="X12" s="180"/>
      <c r="Y12" s="180"/>
      <c r="Z12" s="180"/>
      <c r="AA12" s="180"/>
      <c r="AB12" s="20"/>
      <c r="AC12" s="39"/>
      <c r="AD12" s="39"/>
      <c r="AE12" s="118"/>
      <c r="AF12" s="118"/>
      <c r="AG12" s="118"/>
      <c r="AH12" s="118"/>
      <c r="AI12" s="118"/>
      <c r="AJ12" s="118"/>
      <c r="AK12" s="118"/>
      <c r="AL12" s="118"/>
      <c r="AM12" s="118"/>
      <c r="AN12" s="39"/>
      <c r="AO12" s="39"/>
      <c r="AP12" s="20"/>
      <c r="AQ12" s="39"/>
      <c r="AR12" s="39"/>
      <c r="AS12" s="118"/>
      <c r="AT12" s="118"/>
      <c r="AU12" s="118"/>
      <c r="AV12" s="118"/>
      <c r="AW12" s="118"/>
      <c r="AX12" s="118"/>
      <c r="AY12" s="118"/>
      <c r="AZ12" s="118"/>
      <c r="BA12" s="118"/>
      <c r="BB12" s="39"/>
      <c r="BC12" s="39"/>
      <c r="BD12" s="20"/>
      <c r="BE12" s="42"/>
      <c r="BF12" s="161"/>
      <c r="BG12" s="161"/>
      <c r="BH12" s="161"/>
      <c r="BI12" s="161"/>
      <c r="BJ12" s="161"/>
      <c r="BK12" s="161"/>
      <c r="BL12" s="161"/>
      <c r="BM12" s="161"/>
      <c r="BN12" s="161"/>
      <c r="BO12" s="161"/>
      <c r="BP12" s="161"/>
      <c r="BQ12" s="42"/>
      <c r="BR12" s="20"/>
      <c r="BS12" s="119" t="s">
        <v>325</v>
      </c>
      <c r="BT12" s="119"/>
      <c r="BU12" s="119"/>
      <c r="BV12" s="119"/>
      <c r="BW12" s="119"/>
      <c r="BX12" s="119"/>
      <c r="BY12" s="119"/>
      <c r="BZ12" s="119"/>
      <c r="CA12" s="119"/>
      <c r="CB12" s="119"/>
    </row>
    <row r="13" spans="1:142" ht="15.75" customHeight="1" x14ac:dyDescent="0.65">
      <c r="A13" s="152"/>
      <c r="B13" s="152"/>
      <c r="C13" s="138" t="s">
        <v>187</v>
      </c>
      <c r="D13" s="138"/>
      <c r="E13" s="138"/>
      <c r="F13" s="138"/>
      <c r="G13" s="138"/>
      <c r="H13" s="138"/>
      <c r="I13" s="138"/>
      <c r="J13" s="138"/>
      <c r="L13" s="86"/>
      <c r="M13" s="176"/>
      <c r="N13" s="176"/>
      <c r="O13" s="176"/>
      <c r="P13" s="176"/>
      <c r="Q13" s="176"/>
      <c r="R13" s="176"/>
      <c r="S13" s="176"/>
      <c r="T13" s="176"/>
      <c r="U13" s="176"/>
      <c r="V13" s="176"/>
      <c r="W13" s="176"/>
      <c r="X13" s="176"/>
      <c r="Y13" s="176"/>
      <c r="Z13" s="176"/>
      <c r="AA13" s="176"/>
      <c r="AB13" s="20"/>
      <c r="AC13" s="39"/>
      <c r="AD13" s="39"/>
      <c r="AE13" s="118" t="s">
        <v>160</v>
      </c>
      <c r="AF13" s="118"/>
      <c r="AG13" s="118"/>
      <c r="AH13" s="118"/>
      <c r="AI13" s="118"/>
      <c r="AJ13" s="118"/>
      <c r="AK13" s="118"/>
      <c r="AL13" s="118"/>
      <c r="AM13" s="118"/>
      <c r="AN13" s="39"/>
      <c r="AO13" s="39"/>
      <c r="AP13" s="20"/>
      <c r="AQ13" s="39"/>
      <c r="AR13" s="39"/>
      <c r="AS13" s="118" t="s">
        <v>160</v>
      </c>
      <c r="AT13" s="118"/>
      <c r="AU13" s="118"/>
      <c r="AV13" s="118"/>
      <c r="AW13" s="118"/>
      <c r="AX13" s="118"/>
      <c r="AY13" s="118"/>
      <c r="AZ13" s="118"/>
      <c r="BA13" s="118"/>
      <c r="BB13" s="39"/>
      <c r="BC13" s="39"/>
      <c r="BD13" s="20"/>
      <c r="BE13" s="42"/>
      <c r="BF13" s="161" t="s">
        <v>168</v>
      </c>
      <c r="BG13" s="161"/>
      <c r="BH13" s="161"/>
      <c r="BI13" s="161"/>
      <c r="BJ13" s="161"/>
      <c r="BK13" s="161"/>
      <c r="BL13" s="161"/>
      <c r="BM13" s="161"/>
      <c r="BN13" s="161"/>
      <c r="BO13" s="161"/>
      <c r="BP13" s="161"/>
      <c r="BQ13" s="42"/>
      <c r="BR13" s="20"/>
      <c r="BS13" s="119" t="s">
        <v>322</v>
      </c>
      <c r="BT13" s="119"/>
      <c r="BU13" s="119"/>
      <c r="BV13" s="119"/>
      <c r="BW13" s="119"/>
      <c r="BX13" s="119"/>
      <c r="BY13" s="119"/>
      <c r="BZ13" s="119"/>
      <c r="CA13" s="119"/>
      <c r="CB13" s="119"/>
    </row>
    <row r="14" spans="1:142" ht="15.75" customHeight="1" x14ac:dyDescent="0.65">
      <c r="A14" s="152"/>
      <c r="B14" s="152"/>
      <c r="C14" s="139" t="s">
        <v>152</v>
      </c>
      <c r="D14" s="139"/>
      <c r="E14" s="139"/>
      <c r="F14" s="139"/>
      <c r="G14" s="139"/>
      <c r="H14" s="139"/>
      <c r="I14" s="139"/>
      <c r="J14" s="139"/>
      <c r="L14" s="86"/>
      <c r="M14" s="124" t="s">
        <v>8</v>
      </c>
      <c r="N14" s="124"/>
      <c r="O14" s="124"/>
      <c r="P14" s="124"/>
      <c r="Q14" s="124"/>
      <c r="R14" s="124"/>
      <c r="S14" s="124"/>
      <c r="T14" s="124"/>
      <c r="U14" s="124"/>
      <c r="V14" s="124"/>
      <c r="W14" s="124"/>
      <c r="X14" s="124"/>
      <c r="Y14" s="124"/>
      <c r="Z14" s="124"/>
      <c r="AA14" s="124"/>
      <c r="AB14" s="20"/>
      <c r="AC14" s="39"/>
      <c r="AD14" s="39"/>
      <c r="AE14" s="118"/>
      <c r="AF14" s="118"/>
      <c r="AG14" s="118"/>
      <c r="AH14" s="118"/>
      <c r="AI14" s="118"/>
      <c r="AJ14" s="118"/>
      <c r="AK14" s="118"/>
      <c r="AL14" s="118"/>
      <c r="AM14" s="118"/>
      <c r="AN14" s="39"/>
      <c r="AO14" s="39"/>
      <c r="AP14" s="20"/>
      <c r="AQ14" s="39"/>
      <c r="AR14" s="39"/>
      <c r="AS14" s="118"/>
      <c r="AT14" s="118"/>
      <c r="AU14" s="118"/>
      <c r="AV14" s="118"/>
      <c r="AW14" s="118"/>
      <c r="AX14" s="118"/>
      <c r="AY14" s="118"/>
      <c r="AZ14" s="118"/>
      <c r="BA14" s="118"/>
      <c r="BB14" s="39"/>
      <c r="BC14" s="39"/>
      <c r="BD14" s="20"/>
      <c r="BE14" s="42"/>
      <c r="BF14" s="161"/>
      <c r="BG14" s="161"/>
      <c r="BH14" s="161"/>
      <c r="BI14" s="161"/>
      <c r="BJ14" s="161"/>
      <c r="BK14" s="161"/>
      <c r="BL14" s="161"/>
      <c r="BM14" s="161"/>
      <c r="BN14" s="161"/>
      <c r="BO14" s="161"/>
      <c r="BP14" s="161"/>
      <c r="BQ14" s="42"/>
      <c r="BR14" s="20"/>
      <c r="BS14" s="181" t="s">
        <v>327</v>
      </c>
      <c r="BT14" s="182"/>
      <c r="BU14" s="119" t="s">
        <v>326</v>
      </c>
      <c r="BV14" s="119"/>
      <c r="BW14" s="119"/>
      <c r="BX14" s="119"/>
      <c r="BY14" s="119"/>
      <c r="BZ14" s="119"/>
      <c r="CA14" s="119"/>
      <c r="CB14" s="119"/>
    </row>
    <row r="15" spans="1:142" ht="15.75" customHeight="1" x14ac:dyDescent="0.65">
      <c r="A15" s="152"/>
      <c r="B15" s="152"/>
      <c r="C15" s="172" t="s">
        <v>188</v>
      </c>
      <c r="D15" s="172"/>
      <c r="E15" s="172"/>
      <c r="F15" s="172"/>
      <c r="G15" s="172"/>
      <c r="H15" s="172"/>
      <c r="I15" s="172"/>
      <c r="J15" s="172"/>
      <c r="L15" s="87">
        <v>1</v>
      </c>
      <c r="M15" s="113" t="s">
        <v>153</v>
      </c>
      <c r="N15" s="113"/>
      <c r="O15" s="113"/>
      <c r="P15" s="113"/>
      <c r="Q15" s="113"/>
      <c r="R15" s="113"/>
      <c r="S15" s="113"/>
      <c r="T15" s="113"/>
      <c r="U15" s="113"/>
      <c r="V15" s="113"/>
      <c r="W15" s="113"/>
      <c r="X15" s="113"/>
      <c r="Y15" s="113"/>
      <c r="Z15" s="113"/>
      <c r="AA15" s="113"/>
      <c r="AB15" s="20"/>
      <c r="AC15" s="39"/>
      <c r="AD15" s="118" t="s">
        <v>161</v>
      </c>
      <c r="AE15" s="118"/>
      <c r="AF15" s="118"/>
      <c r="AG15" s="118"/>
      <c r="AH15" s="118"/>
      <c r="AI15" s="118"/>
      <c r="AJ15" s="118"/>
      <c r="AK15" s="118"/>
      <c r="AL15" s="118"/>
      <c r="AM15" s="118"/>
      <c r="AN15" s="118"/>
      <c r="AO15" s="39"/>
      <c r="AP15" s="20"/>
      <c r="AQ15" s="39"/>
      <c r="AR15" s="118" t="s">
        <v>161</v>
      </c>
      <c r="AS15" s="118"/>
      <c r="AT15" s="118"/>
      <c r="AU15" s="118"/>
      <c r="AV15" s="118"/>
      <c r="AW15" s="118"/>
      <c r="AX15" s="118"/>
      <c r="AY15" s="118"/>
      <c r="AZ15" s="118"/>
      <c r="BA15" s="118"/>
      <c r="BB15" s="118"/>
      <c r="BC15" s="39"/>
      <c r="BD15" s="20"/>
      <c r="BE15" s="42"/>
      <c r="BF15" s="118"/>
      <c r="BG15" s="118"/>
      <c r="BH15" s="118"/>
      <c r="BI15" s="118"/>
      <c r="BJ15" s="118"/>
      <c r="BK15" s="118"/>
      <c r="BL15" s="118"/>
      <c r="BM15" s="118"/>
      <c r="BN15" s="118"/>
      <c r="BO15" s="118"/>
      <c r="BP15" s="118"/>
      <c r="BQ15" s="42"/>
      <c r="BR15" s="20"/>
      <c r="BS15" s="81"/>
      <c r="BT15" s="81"/>
      <c r="BU15" s="81"/>
      <c r="BV15" s="81"/>
      <c r="BW15" s="81"/>
      <c r="BX15" s="81"/>
      <c r="BY15" s="81"/>
      <c r="BZ15" s="81"/>
      <c r="CA15" s="81"/>
      <c r="CB15" s="81"/>
    </row>
    <row r="16" spans="1:142" ht="15.75" customHeight="1" x14ac:dyDescent="0.65">
      <c r="A16" s="152"/>
      <c r="B16" s="152"/>
      <c r="C16" s="155" t="s">
        <v>23</v>
      </c>
      <c r="D16" s="155"/>
      <c r="E16" s="155"/>
      <c r="F16" s="155"/>
      <c r="G16" s="155"/>
      <c r="H16" s="155"/>
      <c r="I16" s="155"/>
      <c r="J16" s="155"/>
      <c r="L16" s="87" t="s">
        <v>175</v>
      </c>
      <c r="M16" s="113" t="s">
        <v>154</v>
      </c>
      <c r="N16" s="113"/>
      <c r="O16" s="113"/>
      <c r="P16" s="113"/>
      <c r="Q16" s="113"/>
      <c r="R16" s="113"/>
      <c r="S16" s="113"/>
      <c r="T16" s="113"/>
      <c r="U16" s="113"/>
      <c r="V16" s="113"/>
      <c r="W16" s="113"/>
      <c r="X16" s="113"/>
      <c r="Y16" s="113"/>
      <c r="Z16" s="113"/>
      <c r="AA16" s="113"/>
      <c r="AB16" s="20"/>
      <c r="AC16" s="39"/>
      <c r="AD16" s="118"/>
      <c r="AE16" s="118"/>
      <c r="AF16" s="118"/>
      <c r="AG16" s="118"/>
      <c r="AH16" s="118"/>
      <c r="AI16" s="118"/>
      <c r="AJ16" s="118"/>
      <c r="AK16" s="118"/>
      <c r="AL16" s="118"/>
      <c r="AM16" s="118"/>
      <c r="AN16" s="118"/>
      <c r="AO16" s="39"/>
      <c r="AP16" s="20"/>
      <c r="AQ16" s="39"/>
      <c r="AR16" s="118"/>
      <c r="AS16" s="118"/>
      <c r="AT16" s="118"/>
      <c r="AU16" s="118"/>
      <c r="AV16" s="118"/>
      <c r="AW16" s="118"/>
      <c r="AX16" s="118"/>
      <c r="AY16" s="118"/>
      <c r="AZ16" s="118"/>
      <c r="BA16" s="118"/>
      <c r="BB16" s="118"/>
      <c r="BC16" s="39"/>
      <c r="BD16" s="20"/>
      <c r="BE16" s="42"/>
      <c r="BF16" s="118"/>
      <c r="BG16" s="118"/>
      <c r="BH16" s="118"/>
      <c r="BI16" s="118"/>
      <c r="BJ16" s="118"/>
      <c r="BK16" s="118"/>
      <c r="BL16" s="118"/>
      <c r="BM16" s="118"/>
      <c r="BN16" s="118"/>
      <c r="BO16" s="118"/>
      <c r="BP16" s="118"/>
      <c r="BQ16" s="42"/>
      <c r="BR16" s="20"/>
      <c r="BS16" s="160" t="s">
        <v>291</v>
      </c>
      <c r="BT16" s="160"/>
      <c r="BU16" s="160"/>
      <c r="BY16" s="81"/>
      <c r="BZ16" s="81"/>
      <c r="CA16" s="81"/>
      <c r="CB16" s="81"/>
    </row>
    <row r="17" spans="1:80" ht="15.75" customHeight="1" x14ac:dyDescent="0.65">
      <c r="A17" s="152"/>
      <c r="B17" s="152"/>
      <c r="C17" s="154" t="s">
        <v>201</v>
      </c>
      <c r="D17" s="154"/>
      <c r="E17" s="154"/>
      <c r="F17" s="154"/>
      <c r="G17" s="154"/>
      <c r="H17" s="154"/>
      <c r="I17" s="154"/>
      <c r="J17" s="154"/>
      <c r="L17" s="87">
        <v>2</v>
      </c>
      <c r="M17" s="113" t="s">
        <v>239</v>
      </c>
      <c r="N17" s="113"/>
      <c r="O17" s="113"/>
      <c r="P17" s="113"/>
      <c r="Q17" s="113"/>
      <c r="R17" s="113"/>
      <c r="S17" s="113"/>
      <c r="T17" s="113"/>
      <c r="U17" s="113"/>
      <c r="V17" s="113"/>
      <c r="W17" s="113"/>
      <c r="X17" s="113"/>
      <c r="Y17" s="113"/>
      <c r="Z17" s="113"/>
      <c r="AA17" s="113"/>
      <c r="AB17" s="20"/>
      <c r="AC17" s="39"/>
      <c r="AD17" s="39"/>
      <c r="AE17" s="39"/>
      <c r="AF17" s="39"/>
      <c r="AG17" s="39"/>
      <c r="AH17" s="39"/>
      <c r="AI17" s="39"/>
      <c r="AJ17" s="39"/>
      <c r="AK17" s="39"/>
      <c r="AL17" s="39"/>
      <c r="AM17" s="39"/>
      <c r="AN17" s="39"/>
      <c r="AO17" s="39"/>
      <c r="AP17" s="20"/>
      <c r="AQ17" s="39"/>
      <c r="AR17" s="39"/>
      <c r="AS17" s="39"/>
      <c r="AT17" s="39"/>
      <c r="AU17" s="39"/>
      <c r="AV17" s="39"/>
      <c r="AW17" s="39"/>
      <c r="AX17" s="39"/>
      <c r="AY17" s="39"/>
      <c r="AZ17" s="39"/>
      <c r="BA17" s="39"/>
      <c r="BB17" s="39"/>
      <c r="BC17" s="39"/>
      <c r="BD17" s="20"/>
      <c r="BE17" s="42"/>
      <c r="BF17" s="42"/>
      <c r="BG17" s="42"/>
      <c r="BH17" s="42"/>
      <c r="BI17" s="42"/>
      <c r="BJ17" s="42"/>
      <c r="BK17" s="42"/>
      <c r="BL17" s="42"/>
      <c r="BM17" s="42"/>
      <c r="BN17" s="42"/>
      <c r="BO17" s="42"/>
      <c r="BP17" s="42"/>
      <c r="BQ17" s="42"/>
      <c r="BR17" s="20"/>
      <c r="BS17" s="160"/>
      <c r="BT17" s="160"/>
      <c r="BU17" s="160"/>
      <c r="BY17" s="81"/>
      <c r="BZ17" s="81"/>
      <c r="CA17" s="81"/>
      <c r="CB17" s="81"/>
    </row>
    <row r="18" spans="1:80" ht="15.75" customHeight="1" x14ac:dyDescent="0.65">
      <c r="A18" s="152"/>
      <c r="B18" s="152"/>
      <c r="C18" s="137" t="s">
        <v>198</v>
      </c>
      <c r="D18" s="137"/>
      <c r="E18" s="137"/>
      <c r="F18" s="137"/>
      <c r="G18" s="137"/>
      <c r="H18" s="137"/>
      <c r="I18" s="137"/>
      <c r="J18" s="137"/>
      <c r="L18" s="87" t="s">
        <v>10</v>
      </c>
      <c r="M18" s="113" t="s">
        <v>338</v>
      </c>
      <c r="N18" s="113"/>
      <c r="O18" s="113"/>
      <c r="P18" s="113"/>
      <c r="Q18" s="113"/>
      <c r="R18" s="113"/>
      <c r="S18" s="113"/>
      <c r="T18" s="113"/>
      <c r="U18" s="113"/>
      <c r="V18" s="113"/>
      <c r="W18" s="113"/>
      <c r="X18" s="113"/>
      <c r="Y18" s="113"/>
      <c r="Z18" s="113"/>
      <c r="AA18" s="113"/>
      <c r="AB18" s="20"/>
      <c r="AC18" s="39"/>
      <c r="AD18" s="39"/>
      <c r="AE18" s="39"/>
      <c r="AF18" s="39"/>
      <c r="AG18" s="39"/>
      <c r="AH18" s="39"/>
      <c r="AI18" s="39"/>
      <c r="AJ18" s="39"/>
      <c r="AK18" s="39"/>
      <c r="AL18" s="39"/>
      <c r="AM18" s="39"/>
      <c r="AN18" s="39"/>
      <c r="AO18" s="39"/>
      <c r="AP18" s="20"/>
      <c r="AQ18" s="39"/>
      <c r="AR18" s="39"/>
      <c r="AS18" s="39"/>
      <c r="AT18" s="39"/>
      <c r="AU18" s="39"/>
      <c r="AV18" s="39"/>
      <c r="AW18" s="39"/>
      <c r="AX18" s="39"/>
      <c r="AY18" s="39"/>
      <c r="AZ18" s="39"/>
      <c r="BA18" s="39"/>
      <c r="BB18" s="39"/>
      <c r="BC18" s="39"/>
      <c r="BD18" s="20"/>
      <c r="BE18" s="42"/>
      <c r="BF18" s="42"/>
      <c r="BG18" s="42"/>
      <c r="BH18" s="42"/>
      <c r="BI18" s="42"/>
      <c r="BJ18" s="42"/>
      <c r="BK18" s="42"/>
      <c r="BL18" s="42"/>
      <c r="BM18" s="42"/>
      <c r="BN18" s="42"/>
      <c r="BO18" s="42"/>
      <c r="BP18" s="42"/>
      <c r="BQ18" s="42"/>
      <c r="BR18" s="20"/>
      <c r="BS18" s="83" t="s">
        <v>292</v>
      </c>
      <c r="BT18" s="80" t="s">
        <v>293</v>
      </c>
      <c r="BU18" s="80"/>
      <c r="BY18" s="81"/>
      <c r="BZ18" s="81"/>
      <c r="CA18" s="81"/>
      <c r="CB18" s="81"/>
    </row>
    <row r="19" spans="1:80" ht="15.75" customHeight="1" x14ac:dyDescent="0.65">
      <c r="A19" s="153" t="str">
        <f>IF(OR('T.2.4.4 Welded Tube Inserts'!A23="BLANK",'T.2.18 Bolted Members'!A22="BLANK",COUNTIF(K1:K9,"BLANK"),COUNTIF(A56:BQ57,"BLANK")),"BLANK",
IF(OR('T.2.4.4 Welded Tube Inserts'!A23="REJECT",'T.2.18 Bolted Members'!A22="REJECT",COUNTIF(A56:BQ57,"REJECT")),"REJECT",
IF(OR(COUNTIF(A56:BQ57,"CHECK"),'T.2.4.4 Welded Tube Inserts'!A23="CHECK"),"CHECK","EQ")))</f>
        <v>BLANK</v>
      </c>
      <c r="B19" s="153"/>
      <c r="C19" s="132" t="s">
        <v>15</v>
      </c>
      <c r="D19" s="132"/>
      <c r="E19" s="132"/>
      <c r="F19" s="132"/>
      <c r="G19" s="132"/>
      <c r="H19" s="132"/>
      <c r="I19" s="132"/>
      <c r="J19" s="132"/>
      <c r="L19" s="87">
        <v>3</v>
      </c>
      <c r="M19" s="113" t="s">
        <v>11</v>
      </c>
      <c r="N19" s="113"/>
      <c r="O19" s="113"/>
      <c r="P19" s="113"/>
      <c r="Q19" s="113"/>
      <c r="R19" s="113"/>
      <c r="S19" s="113"/>
      <c r="T19" s="113"/>
      <c r="U19" s="113"/>
      <c r="V19" s="113"/>
      <c r="W19" s="113"/>
      <c r="X19" s="113"/>
      <c r="Y19" s="113"/>
      <c r="Z19" s="113"/>
      <c r="AA19" s="113"/>
      <c r="AB19" s="20"/>
      <c r="AC19" s="39"/>
      <c r="AD19" s="39"/>
      <c r="AE19" s="39"/>
      <c r="AF19" s="39"/>
      <c r="AG19" s="39"/>
      <c r="AH19" s="39"/>
      <c r="AI19" s="39"/>
      <c r="AJ19" s="39"/>
      <c r="AK19" s="39"/>
      <c r="AL19" s="39"/>
      <c r="AM19" s="39"/>
      <c r="AN19" s="39"/>
      <c r="AO19" s="39"/>
      <c r="AP19" s="20"/>
      <c r="AQ19" s="39"/>
      <c r="AR19" s="39"/>
      <c r="AS19" s="39"/>
      <c r="AT19" s="39"/>
      <c r="AU19" s="39"/>
      <c r="AV19" s="39"/>
      <c r="AW19" s="39"/>
      <c r="AX19" s="39"/>
      <c r="AY19" s="39"/>
      <c r="AZ19" s="39"/>
      <c r="BA19" s="39"/>
      <c r="BB19" s="39"/>
      <c r="BC19" s="39"/>
      <c r="BD19" s="20"/>
      <c r="BE19" s="42"/>
      <c r="BF19" s="42"/>
      <c r="BG19" s="42"/>
      <c r="BH19" s="42"/>
      <c r="BI19" s="42"/>
      <c r="BJ19" s="42"/>
      <c r="BK19" s="42"/>
      <c r="BL19" s="42"/>
      <c r="BM19" s="42"/>
      <c r="BN19" s="42"/>
      <c r="BO19" s="42"/>
      <c r="BP19" s="42"/>
      <c r="BQ19" s="42"/>
      <c r="BR19" s="20"/>
      <c r="BS19" s="83" t="s">
        <v>308</v>
      </c>
      <c r="BT19" s="80" t="s">
        <v>357</v>
      </c>
      <c r="BU19" s="80"/>
      <c r="BY19" s="81"/>
      <c r="BZ19" s="81"/>
      <c r="CA19" s="81"/>
      <c r="CB19" s="81"/>
    </row>
    <row r="20" spans="1:80" ht="15.75" customHeight="1" x14ac:dyDescent="0.65">
      <c r="A20" s="153"/>
      <c r="B20" s="153"/>
      <c r="C20" s="132" t="s">
        <v>94</v>
      </c>
      <c r="D20" s="132"/>
      <c r="E20" s="132"/>
      <c r="F20" s="132"/>
      <c r="G20" s="132"/>
      <c r="H20" s="132"/>
      <c r="I20" s="132"/>
      <c r="J20" s="132"/>
      <c r="L20" s="86"/>
      <c r="M20" s="176"/>
      <c r="N20" s="176"/>
      <c r="O20" s="176"/>
      <c r="P20" s="176"/>
      <c r="Q20" s="176"/>
      <c r="R20" s="176"/>
      <c r="S20" s="176"/>
      <c r="T20" s="176"/>
      <c r="U20" s="176"/>
      <c r="V20" s="176"/>
      <c r="W20" s="176"/>
      <c r="X20" s="176"/>
      <c r="Y20" s="176"/>
      <c r="Z20" s="176"/>
      <c r="AA20" s="176"/>
      <c r="AB20" s="20"/>
      <c r="AC20" s="39"/>
      <c r="AD20" s="39"/>
      <c r="AE20" s="39"/>
      <c r="AF20" s="39"/>
      <c r="AG20" s="39"/>
      <c r="AH20" s="39"/>
      <c r="AI20" s="39"/>
      <c r="AJ20" s="39"/>
      <c r="AK20" s="39"/>
      <c r="AL20" s="39"/>
      <c r="AM20" s="39"/>
      <c r="AN20" s="39"/>
      <c r="AO20" s="39"/>
      <c r="AP20" s="20"/>
      <c r="AQ20" s="39"/>
      <c r="AR20" s="39"/>
      <c r="AS20" s="39"/>
      <c r="AT20" s="39"/>
      <c r="AU20" s="39"/>
      <c r="AV20" s="39"/>
      <c r="AW20" s="39"/>
      <c r="AX20" s="39"/>
      <c r="AY20" s="39"/>
      <c r="AZ20" s="39"/>
      <c r="BA20" s="39"/>
      <c r="BB20" s="39"/>
      <c r="BC20" s="39"/>
      <c r="BD20" s="20"/>
      <c r="BE20" s="42"/>
      <c r="BF20" s="42"/>
      <c r="BG20" s="42"/>
      <c r="BH20" s="42"/>
      <c r="BI20" s="42"/>
      <c r="BJ20" s="42"/>
      <c r="BK20" s="42"/>
      <c r="BL20" s="42"/>
      <c r="BM20" s="42"/>
      <c r="BN20" s="42"/>
      <c r="BO20" s="42"/>
      <c r="BP20" s="42"/>
      <c r="BQ20" s="42"/>
      <c r="BR20" s="20"/>
      <c r="BS20" s="83" t="s">
        <v>294</v>
      </c>
      <c r="BT20" s="80" t="s">
        <v>295</v>
      </c>
      <c r="BU20" s="80"/>
      <c r="BY20" s="81"/>
      <c r="BZ20" s="81"/>
      <c r="CA20" s="81"/>
      <c r="CB20" s="81"/>
    </row>
    <row r="21" spans="1:80" ht="15.75" customHeight="1" x14ac:dyDescent="0.65">
      <c r="A21" s="153"/>
      <c r="B21" s="153"/>
      <c r="C21" s="132" t="s">
        <v>82</v>
      </c>
      <c r="D21" s="132"/>
      <c r="E21" s="132"/>
      <c r="F21" s="132"/>
      <c r="G21" s="132"/>
      <c r="H21" s="132"/>
      <c r="I21" s="132"/>
      <c r="J21" s="132"/>
      <c r="L21" s="87" t="s">
        <v>12</v>
      </c>
      <c r="M21" s="113" t="s">
        <v>5</v>
      </c>
      <c r="N21" s="113"/>
      <c r="O21" s="113"/>
      <c r="P21" s="113"/>
      <c r="Q21" s="113"/>
      <c r="R21" s="113"/>
      <c r="S21" s="113"/>
      <c r="T21" s="113"/>
      <c r="U21" s="113"/>
      <c r="V21" s="113"/>
      <c r="W21" s="113"/>
      <c r="X21" s="113"/>
      <c r="Y21" s="113"/>
      <c r="Z21" s="113"/>
      <c r="AA21" s="113"/>
      <c r="AB21" s="20"/>
      <c r="AC21" s="39"/>
      <c r="AD21" s="39"/>
      <c r="AE21" s="39"/>
      <c r="AF21" s="39"/>
      <c r="AG21" s="39"/>
      <c r="AH21" s="39"/>
      <c r="AI21" s="39"/>
      <c r="AJ21" s="39"/>
      <c r="AK21" s="39"/>
      <c r="AL21" s="39"/>
      <c r="AM21" s="39"/>
      <c r="AN21" s="39"/>
      <c r="AO21" s="39"/>
      <c r="AP21" s="20"/>
      <c r="AQ21" s="39"/>
      <c r="AR21" s="39"/>
      <c r="AS21" s="39"/>
      <c r="AT21" s="39"/>
      <c r="AU21" s="39"/>
      <c r="AV21" s="39"/>
      <c r="AW21" s="39"/>
      <c r="AX21" s="39"/>
      <c r="AY21" s="39"/>
      <c r="AZ21" s="39"/>
      <c r="BA21" s="39"/>
      <c r="BB21" s="39"/>
      <c r="BC21" s="39"/>
      <c r="BD21" s="20"/>
      <c r="BE21" s="42"/>
      <c r="BF21" s="42"/>
      <c r="BG21" s="42"/>
      <c r="BH21" s="42"/>
      <c r="BI21" s="42"/>
      <c r="BJ21" s="42"/>
      <c r="BK21" s="42"/>
      <c r="BL21" s="42"/>
      <c r="BM21" s="42"/>
      <c r="BN21" s="42"/>
      <c r="BO21" s="42"/>
      <c r="BP21" s="42"/>
      <c r="BQ21" s="42"/>
      <c r="BR21" s="20"/>
      <c r="BS21" s="83" t="s">
        <v>196</v>
      </c>
      <c r="BT21" s="80" t="s">
        <v>296</v>
      </c>
      <c r="BU21" s="80"/>
      <c r="BY21" s="81"/>
      <c r="BZ21" s="81"/>
      <c r="CA21" s="81"/>
      <c r="CB21" s="81"/>
    </row>
    <row r="22" spans="1:80" ht="15.75" customHeight="1" x14ac:dyDescent="0.65">
      <c r="A22" s="153"/>
      <c r="B22" s="153"/>
      <c r="C22" s="157" t="s">
        <v>199</v>
      </c>
      <c r="D22" s="157"/>
      <c r="E22" s="157"/>
      <c r="F22" s="157"/>
      <c r="G22" s="157"/>
      <c r="H22" s="157"/>
      <c r="I22" s="157"/>
      <c r="J22" s="157"/>
      <c r="L22" s="52" t="s">
        <v>17</v>
      </c>
      <c r="M22" s="133" t="s">
        <v>321</v>
      </c>
      <c r="N22" s="133"/>
      <c r="O22" s="133"/>
      <c r="P22" s="133"/>
      <c r="Q22" s="133"/>
      <c r="R22" s="133"/>
      <c r="S22" s="133"/>
      <c r="T22" s="133"/>
      <c r="U22" s="133"/>
      <c r="V22" s="133"/>
      <c r="W22" s="133"/>
      <c r="X22" s="133"/>
      <c r="Y22" s="133"/>
      <c r="Z22" s="133"/>
      <c r="AA22" s="133"/>
      <c r="AB22" s="20"/>
      <c r="AC22" s="39"/>
      <c r="AD22" s="39"/>
      <c r="AE22" s="39"/>
      <c r="AF22" s="39"/>
      <c r="AG22" s="39"/>
      <c r="AH22" s="39"/>
      <c r="AI22" s="39"/>
      <c r="AJ22" s="39"/>
      <c r="AK22" s="39"/>
      <c r="AL22" s="39"/>
      <c r="AM22" s="39"/>
      <c r="AN22" s="39"/>
      <c r="AO22" s="39"/>
      <c r="AP22" s="20"/>
      <c r="AQ22" s="39"/>
      <c r="AR22" s="39"/>
      <c r="AS22" s="39"/>
      <c r="AT22" s="39"/>
      <c r="AU22" s="39"/>
      <c r="AV22" s="39"/>
      <c r="AW22" s="39"/>
      <c r="AX22" s="39"/>
      <c r="AY22" s="39"/>
      <c r="AZ22" s="39"/>
      <c r="BA22" s="39"/>
      <c r="BB22" s="39"/>
      <c r="BC22" s="39"/>
      <c r="BD22" s="20"/>
      <c r="BE22" s="42"/>
      <c r="BF22" s="42"/>
      <c r="BG22" s="42"/>
      <c r="BH22" s="42"/>
      <c r="BI22" s="42"/>
      <c r="BJ22" s="42"/>
      <c r="BK22" s="42"/>
      <c r="BL22" s="42"/>
      <c r="BM22" s="42"/>
      <c r="BN22" s="42"/>
      <c r="BO22" s="42"/>
      <c r="BP22" s="42"/>
      <c r="BQ22" s="42"/>
      <c r="BR22" s="20"/>
      <c r="BS22" s="83" t="s">
        <v>297</v>
      </c>
      <c r="BT22" s="80" t="s">
        <v>298</v>
      </c>
      <c r="BU22" s="80"/>
      <c r="BY22" s="81"/>
      <c r="BZ22" s="81"/>
      <c r="CA22" s="81"/>
      <c r="CB22" s="81"/>
    </row>
    <row r="23" spans="1:80" ht="15.75" customHeight="1" x14ac:dyDescent="0.65">
      <c r="A23" s="153"/>
      <c r="B23" s="153"/>
      <c r="C23" s="171" t="s">
        <v>21</v>
      </c>
      <c r="D23" s="171"/>
      <c r="E23" s="171"/>
      <c r="F23" s="171"/>
      <c r="G23" s="171"/>
      <c r="H23" s="171"/>
      <c r="I23" s="171"/>
      <c r="J23" s="171"/>
      <c r="L23" s="52" t="s">
        <v>18</v>
      </c>
      <c r="M23" s="133" t="s">
        <v>19</v>
      </c>
      <c r="N23" s="133"/>
      <c r="O23" s="133"/>
      <c r="P23" s="133"/>
      <c r="Q23" s="133"/>
      <c r="R23" s="133"/>
      <c r="S23" s="133"/>
      <c r="T23" s="133"/>
      <c r="U23" s="133"/>
      <c r="V23" s="133"/>
      <c r="W23" s="133"/>
      <c r="X23" s="133"/>
      <c r="Y23" s="133"/>
      <c r="Z23" s="133"/>
      <c r="AA23" s="133"/>
      <c r="AB23" s="20"/>
      <c r="AC23" s="39"/>
      <c r="AD23" s="39"/>
      <c r="AE23" s="39"/>
      <c r="AF23" s="39"/>
      <c r="AG23" s="39"/>
      <c r="AH23" s="39"/>
      <c r="AI23" s="39"/>
      <c r="AJ23" s="39"/>
      <c r="AK23" s="39"/>
      <c r="AL23" s="39"/>
      <c r="AM23" s="39"/>
      <c r="AN23" s="39"/>
      <c r="AO23" s="39"/>
      <c r="AP23" s="20"/>
      <c r="AQ23" s="39"/>
      <c r="AR23" s="39"/>
      <c r="AS23" s="39"/>
      <c r="AT23" s="39"/>
      <c r="AU23" s="39"/>
      <c r="AV23" s="39"/>
      <c r="AW23" s="39"/>
      <c r="AX23" s="39"/>
      <c r="AY23" s="39"/>
      <c r="AZ23" s="39"/>
      <c r="BA23" s="39"/>
      <c r="BB23" s="39"/>
      <c r="BC23" s="39"/>
      <c r="BD23" s="20"/>
      <c r="BE23" s="42"/>
      <c r="BF23" s="42"/>
      <c r="BG23" s="42"/>
      <c r="BH23" s="42"/>
      <c r="BI23" s="42"/>
      <c r="BJ23" s="42"/>
      <c r="BK23" s="42"/>
      <c r="BL23" s="42"/>
      <c r="BM23" s="42"/>
      <c r="BN23" s="42"/>
      <c r="BO23" s="42"/>
      <c r="BP23" s="42"/>
      <c r="BQ23" s="42"/>
      <c r="BR23" s="20"/>
      <c r="BS23" s="83" t="s">
        <v>235</v>
      </c>
      <c r="BT23" s="80" t="s">
        <v>299</v>
      </c>
      <c r="BU23" s="80"/>
      <c r="BY23" s="81"/>
      <c r="BZ23" s="81"/>
      <c r="CA23" s="81"/>
      <c r="CB23" s="81"/>
    </row>
    <row r="24" spans="1:80" ht="15.75" customHeight="1" thickBot="1" x14ac:dyDescent="0.7">
      <c r="A24" s="153"/>
      <c r="B24" s="153"/>
      <c r="C24" s="170" t="s">
        <v>22</v>
      </c>
      <c r="D24" s="170"/>
      <c r="E24" s="170"/>
      <c r="F24" s="170"/>
      <c r="G24" s="170"/>
      <c r="H24" s="170"/>
      <c r="I24" s="170"/>
      <c r="J24" s="170"/>
      <c r="L24" s="52" t="s">
        <v>16</v>
      </c>
      <c r="M24" s="133" t="s">
        <v>340</v>
      </c>
      <c r="N24" s="133"/>
      <c r="O24" s="133"/>
      <c r="P24" s="133"/>
      <c r="Q24" s="133"/>
      <c r="R24" s="133"/>
      <c r="S24" s="133"/>
      <c r="T24" s="133"/>
      <c r="U24" s="133"/>
      <c r="V24" s="133"/>
      <c r="W24" s="133"/>
      <c r="X24" s="133"/>
      <c r="Y24" s="133"/>
      <c r="Z24" s="133"/>
      <c r="AA24" s="133"/>
      <c r="AB24" s="20"/>
      <c r="AC24" s="39"/>
      <c r="AD24" s="39"/>
      <c r="AE24" s="39"/>
      <c r="AF24" s="39"/>
      <c r="AG24" s="39"/>
      <c r="AH24" s="39"/>
      <c r="AI24" s="39"/>
      <c r="AJ24" s="39"/>
      <c r="AK24" s="39"/>
      <c r="AL24" s="39"/>
      <c r="AM24" s="39"/>
      <c r="AN24" s="39"/>
      <c r="AO24" s="39"/>
      <c r="AP24" s="20"/>
      <c r="AQ24" s="39"/>
      <c r="AR24" s="39"/>
      <c r="AS24" s="39"/>
      <c r="AT24" s="39"/>
      <c r="AU24" s="39"/>
      <c r="AV24" s="39"/>
      <c r="AW24" s="39"/>
      <c r="AX24" s="39"/>
      <c r="AY24" s="39"/>
      <c r="AZ24" s="39"/>
      <c r="BA24" s="39"/>
      <c r="BB24" s="39"/>
      <c r="BC24" s="39"/>
      <c r="BD24" s="20"/>
      <c r="BE24" s="42"/>
      <c r="BF24" s="42"/>
      <c r="BG24" s="42"/>
      <c r="BH24" s="42"/>
      <c r="BI24" s="42"/>
      <c r="BJ24" s="42"/>
      <c r="BK24" s="42"/>
      <c r="BL24" s="42"/>
      <c r="BM24" s="42"/>
      <c r="BN24" s="42"/>
      <c r="BO24" s="42"/>
      <c r="BP24" s="42"/>
      <c r="BQ24" s="42"/>
      <c r="BR24" s="20"/>
      <c r="BS24" s="83" t="s">
        <v>300</v>
      </c>
      <c r="BT24" s="80" t="s">
        <v>301</v>
      </c>
      <c r="BU24" s="80"/>
      <c r="BY24" s="81"/>
      <c r="BZ24" s="81"/>
      <c r="CA24" s="81"/>
      <c r="CB24" s="81"/>
    </row>
    <row r="25" spans="1:80" ht="15.75" customHeight="1" x14ac:dyDescent="0.65">
      <c r="A25" s="131" t="s">
        <v>26</v>
      </c>
      <c r="B25" s="131"/>
      <c r="C25" s="140" t="s">
        <v>371</v>
      </c>
      <c r="D25" s="141"/>
      <c r="E25" s="141"/>
      <c r="F25" s="141"/>
      <c r="G25" s="141"/>
      <c r="H25" s="141"/>
      <c r="I25" s="141"/>
      <c r="J25" s="142"/>
      <c r="L25" s="87" t="s">
        <v>9</v>
      </c>
      <c r="M25" s="113" t="s">
        <v>353</v>
      </c>
      <c r="N25" s="113"/>
      <c r="O25" s="113"/>
      <c r="P25" s="113"/>
      <c r="Q25" s="113"/>
      <c r="R25" s="113"/>
      <c r="S25" s="113"/>
      <c r="T25" s="113"/>
      <c r="U25" s="113"/>
      <c r="V25" s="113"/>
      <c r="W25" s="113"/>
      <c r="X25" s="113"/>
      <c r="Y25" s="113"/>
      <c r="Z25" s="113"/>
      <c r="AA25" s="113"/>
      <c r="AB25" s="20"/>
      <c r="AC25" s="39"/>
      <c r="AD25" s="39"/>
      <c r="AE25" s="39"/>
      <c r="AF25" s="39"/>
      <c r="AG25" s="39"/>
      <c r="AH25" s="39"/>
      <c r="AI25" s="39"/>
      <c r="AJ25" s="39"/>
      <c r="AK25" s="39"/>
      <c r="AL25" s="39"/>
      <c r="AM25" s="39"/>
      <c r="AN25" s="39"/>
      <c r="AO25" s="39"/>
      <c r="AP25" s="20"/>
      <c r="AQ25" s="39"/>
      <c r="AR25" s="39"/>
      <c r="AS25" s="39"/>
      <c r="AT25" s="39"/>
      <c r="AU25" s="39"/>
      <c r="AV25" s="39"/>
      <c r="AW25" s="39"/>
      <c r="AX25" s="39"/>
      <c r="AY25" s="39"/>
      <c r="AZ25" s="39"/>
      <c r="BA25" s="39"/>
      <c r="BB25" s="39"/>
      <c r="BC25" s="39"/>
      <c r="BD25" s="20"/>
      <c r="BE25" s="42"/>
      <c r="BF25" s="42"/>
      <c r="BG25" s="42"/>
      <c r="BH25" s="42"/>
      <c r="BI25" s="42"/>
      <c r="BJ25" s="42"/>
      <c r="BK25" s="42"/>
      <c r="BL25" s="42"/>
      <c r="BM25" s="42"/>
      <c r="BN25" s="42"/>
      <c r="BO25" s="42"/>
      <c r="BP25" s="42"/>
      <c r="BQ25" s="42"/>
      <c r="BR25" s="20"/>
      <c r="BS25" s="83" t="s">
        <v>302</v>
      </c>
      <c r="BT25" s="80" t="s">
        <v>303</v>
      </c>
      <c r="BU25" s="80"/>
      <c r="BY25" s="81"/>
      <c r="BZ25" s="81"/>
      <c r="CA25" s="81"/>
      <c r="CB25" s="81"/>
    </row>
    <row r="26" spans="1:80" ht="15.75" customHeight="1" thickBot="1" x14ac:dyDescent="0.7">
      <c r="A26" s="131"/>
      <c r="B26" s="131"/>
      <c r="C26" s="143"/>
      <c r="D26" s="144"/>
      <c r="E26" s="144"/>
      <c r="F26" s="144"/>
      <c r="G26" s="144"/>
      <c r="H26" s="144"/>
      <c r="I26" s="144"/>
      <c r="J26" s="145"/>
      <c r="L26" s="87" t="s">
        <v>13</v>
      </c>
      <c r="M26" s="113" t="s">
        <v>341</v>
      </c>
      <c r="N26" s="113"/>
      <c r="O26" s="113"/>
      <c r="P26" s="113"/>
      <c r="Q26" s="113"/>
      <c r="R26" s="113"/>
      <c r="S26" s="113"/>
      <c r="T26" s="113"/>
      <c r="U26" s="113"/>
      <c r="V26" s="113"/>
      <c r="W26" s="113"/>
      <c r="X26" s="113"/>
      <c r="Y26" s="113"/>
      <c r="Z26" s="113"/>
      <c r="AA26" s="113"/>
      <c r="AB26" s="20"/>
      <c r="AC26" s="39"/>
      <c r="AD26" s="39"/>
      <c r="AE26" s="39"/>
      <c r="AF26" s="39"/>
      <c r="AG26" s="39"/>
      <c r="AH26" s="39"/>
      <c r="AI26" s="39"/>
      <c r="AJ26" s="39"/>
      <c r="AK26" s="39"/>
      <c r="AL26" s="39"/>
      <c r="AM26" s="39"/>
      <c r="AN26" s="39"/>
      <c r="AO26" s="39"/>
      <c r="AP26" s="20"/>
      <c r="AQ26" s="39"/>
      <c r="AR26" s="39"/>
      <c r="AS26" s="39"/>
      <c r="AT26" s="39"/>
      <c r="AU26" s="39"/>
      <c r="AV26" s="39"/>
      <c r="AW26" s="39"/>
      <c r="AX26" s="39"/>
      <c r="AY26" s="39"/>
      <c r="AZ26" s="39"/>
      <c r="BA26" s="39"/>
      <c r="BB26" s="39"/>
      <c r="BC26" s="39"/>
      <c r="BD26" s="20"/>
      <c r="BE26" s="42"/>
      <c r="BF26" s="42"/>
      <c r="BG26" s="42"/>
      <c r="BH26" s="42"/>
      <c r="BI26" s="42"/>
      <c r="BJ26" s="42"/>
      <c r="BK26" s="42"/>
      <c r="BL26" s="42"/>
      <c r="BM26" s="42"/>
      <c r="BN26" s="42"/>
      <c r="BO26" s="42"/>
      <c r="BP26" s="42"/>
      <c r="BQ26" s="42"/>
      <c r="BR26" s="20"/>
      <c r="BS26" s="83" t="s">
        <v>304</v>
      </c>
      <c r="BT26" s="80" t="s">
        <v>305</v>
      </c>
      <c r="BU26" s="80"/>
      <c r="BY26" s="81"/>
      <c r="BZ26" s="81"/>
      <c r="CA26" s="81"/>
      <c r="CB26" s="81"/>
    </row>
    <row r="27" spans="1:80" s="18" customFormat="1" ht="15" customHeight="1" x14ac:dyDescent="0.35">
      <c r="A27" s="23"/>
      <c r="B27" s="23"/>
      <c r="C27" s="23"/>
      <c r="D27" s="23"/>
      <c r="E27" s="23"/>
      <c r="F27" s="23"/>
      <c r="G27" s="23"/>
      <c r="H27" s="23"/>
      <c r="I27" s="23"/>
      <c r="J27" s="23"/>
      <c r="K27" s="25"/>
      <c r="L27" s="26"/>
      <c r="M27" s="20"/>
      <c r="N27" s="20"/>
      <c r="O27" s="20"/>
      <c r="P27" s="20"/>
      <c r="Q27" s="20"/>
      <c r="R27" s="20"/>
      <c r="S27" s="20"/>
      <c r="T27" s="23"/>
      <c r="U27" s="20"/>
      <c r="V27" s="20"/>
      <c r="W27" s="20"/>
      <c r="X27" s="20"/>
      <c r="Y27" s="20"/>
      <c r="Z27" s="20"/>
      <c r="AA27" s="20"/>
      <c r="AB27" s="20"/>
      <c r="AC27" s="20"/>
      <c r="AD27" s="23"/>
      <c r="AE27" s="20"/>
      <c r="AF27" s="20"/>
      <c r="AG27" s="20"/>
      <c r="AH27" s="20"/>
      <c r="AI27" s="20"/>
      <c r="AJ27" s="20"/>
      <c r="AK27" s="20"/>
      <c r="AL27" s="20"/>
      <c r="AM27" s="20"/>
      <c r="AN27" s="23"/>
      <c r="AO27" s="20"/>
      <c r="AP27" s="20"/>
      <c r="AQ27" s="20"/>
      <c r="AR27" s="20"/>
      <c r="AS27" s="20"/>
      <c r="AT27" s="20"/>
      <c r="AU27" s="20"/>
      <c r="AV27" s="20"/>
      <c r="AW27" s="20"/>
      <c r="AX27" s="23"/>
      <c r="AY27" s="20"/>
      <c r="AZ27" s="20"/>
      <c r="BA27" s="20"/>
      <c r="BB27" s="20"/>
      <c r="BC27" s="20"/>
      <c r="BD27" s="20"/>
      <c r="BE27" s="20"/>
      <c r="BF27" s="20"/>
      <c r="BG27" s="20"/>
      <c r="BH27" s="23"/>
      <c r="BI27" s="20"/>
      <c r="BJ27" s="20"/>
      <c r="BK27" s="20"/>
      <c r="BL27" s="20"/>
      <c r="BM27" s="20"/>
      <c r="BN27" s="20"/>
      <c r="BO27" s="20"/>
      <c r="BP27" s="20"/>
      <c r="BQ27" s="20"/>
      <c r="BR27" s="23"/>
      <c r="BS27" s="83" t="s">
        <v>306</v>
      </c>
      <c r="BT27" s="80" t="s">
        <v>307</v>
      </c>
      <c r="BU27" s="80"/>
      <c r="BV27" s="41"/>
      <c r="BW27" s="41"/>
      <c r="BX27" s="41"/>
      <c r="BY27" s="81"/>
      <c r="BZ27" s="81"/>
      <c r="CA27" s="81"/>
      <c r="CB27" s="81"/>
    </row>
    <row r="28" spans="1:80" s="18" customFormat="1" ht="15" customHeight="1" x14ac:dyDescent="0.35">
      <c r="A28" s="43"/>
      <c r="B28" s="43"/>
      <c r="C28" s="43"/>
      <c r="D28" s="43"/>
      <c r="E28" s="43"/>
      <c r="F28" s="43"/>
      <c r="G28" s="43"/>
      <c r="H28" s="43"/>
      <c r="I28" s="43"/>
      <c r="J28" s="23"/>
      <c r="K28" s="43"/>
      <c r="L28" s="43"/>
      <c r="M28" s="43"/>
      <c r="N28" s="43"/>
      <c r="O28" s="43"/>
      <c r="P28" s="43"/>
      <c r="Q28" s="43"/>
      <c r="R28" s="43"/>
      <c r="S28" s="43"/>
      <c r="T28" s="23"/>
      <c r="U28" s="43"/>
      <c r="V28" s="43"/>
      <c r="W28" s="43"/>
      <c r="X28" s="43"/>
      <c r="Y28" s="43"/>
      <c r="Z28" s="43"/>
      <c r="AA28" s="43"/>
      <c r="AB28" s="43"/>
      <c r="AC28" s="43"/>
      <c r="AD28" s="23"/>
      <c r="AE28" s="39"/>
      <c r="AF28" s="39"/>
      <c r="AG28" s="39"/>
      <c r="AH28" s="39"/>
      <c r="AI28" s="39"/>
      <c r="AJ28" s="39"/>
      <c r="AK28" s="39"/>
      <c r="AL28" s="39"/>
      <c r="AM28" s="39"/>
      <c r="AN28" s="23"/>
      <c r="AO28" s="39"/>
      <c r="AP28" s="39"/>
      <c r="AQ28" s="39"/>
      <c r="AR28" s="39"/>
      <c r="AS28" s="39"/>
      <c r="AT28" s="39"/>
      <c r="AU28" s="39"/>
      <c r="AV28" s="39"/>
      <c r="AW28" s="39"/>
      <c r="AX28" s="23"/>
      <c r="AY28" s="39"/>
      <c r="AZ28" s="39"/>
      <c r="BA28" s="39"/>
      <c r="BB28" s="39"/>
      <c r="BC28" s="39"/>
      <c r="BD28" s="39"/>
      <c r="BE28" s="39"/>
      <c r="BF28" s="39"/>
      <c r="BG28" s="39"/>
      <c r="BH28" s="23"/>
      <c r="BI28" s="39"/>
      <c r="BJ28" s="39"/>
      <c r="BK28" s="39"/>
      <c r="BL28" s="39"/>
      <c r="BM28" s="39"/>
      <c r="BN28" s="39"/>
      <c r="BO28" s="39"/>
      <c r="BP28" s="39"/>
      <c r="BQ28" s="39"/>
      <c r="BR28" s="23"/>
      <c r="BS28" s="83" t="s">
        <v>309</v>
      </c>
      <c r="BT28" s="80" t="s">
        <v>310</v>
      </c>
      <c r="BU28" s="80"/>
      <c r="BY28" s="81"/>
      <c r="BZ28" s="81"/>
      <c r="CA28" s="81"/>
      <c r="CB28" s="81"/>
    </row>
    <row r="29" spans="1:80" s="18" customFormat="1" ht="15" customHeight="1" x14ac:dyDescent="0.35">
      <c r="A29" s="43"/>
      <c r="B29" s="43"/>
      <c r="C29" s="43"/>
      <c r="D29" s="43"/>
      <c r="E29" s="43"/>
      <c r="F29" s="43"/>
      <c r="G29" s="43"/>
      <c r="H29" s="43"/>
      <c r="I29" s="43"/>
      <c r="J29" s="23"/>
      <c r="K29" s="43"/>
      <c r="L29" s="43"/>
      <c r="M29" s="43"/>
      <c r="N29" s="43"/>
      <c r="O29" s="43"/>
      <c r="P29" s="43"/>
      <c r="Q29" s="43"/>
      <c r="R29" s="43"/>
      <c r="S29" s="43"/>
      <c r="T29" s="23"/>
      <c r="U29" s="43"/>
      <c r="V29" s="43"/>
      <c r="W29" s="43"/>
      <c r="X29" s="43"/>
      <c r="Y29" s="43"/>
      <c r="Z29" s="43"/>
      <c r="AA29" s="43"/>
      <c r="AB29" s="43"/>
      <c r="AC29" s="43"/>
      <c r="AD29" s="23"/>
      <c r="AE29" s="39"/>
      <c r="AF29" s="39"/>
      <c r="AG29" s="39"/>
      <c r="AH29" s="39"/>
      <c r="AI29" s="39"/>
      <c r="AJ29" s="39"/>
      <c r="AK29" s="39"/>
      <c r="AL29" s="39"/>
      <c r="AM29" s="39"/>
      <c r="AN29" s="23"/>
      <c r="AO29" s="39"/>
      <c r="AP29" s="39"/>
      <c r="AQ29" s="39"/>
      <c r="AR29" s="39"/>
      <c r="AS29" s="39"/>
      <c r="AT29" s="39"/>
      <c r="AU29" s="39"/>
      <c r="AV29" s="39"/>
      <c r="AW29" s="39"/>
      <c r="AX29" s="23"/>
      <c r="AY29" s="39"/>
      <c r="AZ29" s="39"/>
      <c r="BA29" s="39"/>
      <c r="BB29" s="39"/>
      <c r="BC29" s="39"/>
      <c r="BD29" s="39"/>
      <c r="BE29" s="39"/>
      <c r="BF29" s="39"/>
      <c r="BG29" s="39"/>
      <c r="BH29" s="23"/>
      <c r="BI29" s="39"/>
      <c r="BJ29" s="39"/>
      <c r="BK29" s="39"/>
      <c r="BL29" s="39"/>
      <c r="BM29" s="39"/>
      <c r="BN29" s="39"/>
      <c r="BO29" s="39"/>
      <c r="BP29" s="39"/>
      <c r="BQ29" s="39"/>
      <c r="BR29" s="23"/>
      <c r="BS29" s="83" t="s">
        <v>311</v>
      </c>
      <c r="BT29" s="80" t="s">
        <v>312</v>
      </c>
      <c r="BU29" s="80"/>
      <c r="BY29" s="81"/>
      <c r="BZ29" s="81"/>
      <c r="CA29" s="81"/>
      <c r="CB29" s="81"/>
    </row>
    <row r="30" spans="1:80" s="18" customFormat="1" ht="15" customHeight="1" x14ac:dyDescent="0.35">
      <c r="A30" s="43"/>
      <c r="B30" s="43"/>
      <c r="C30" s="43"/>
      <c r="D30" s="43"/>
      <c r="E30" s="43"/>
      <c r="F30" s="43"/>
      <c r="G30" s="43"/>
      <c r="H30" s="43"/>
      <c r="I30" s="43"/>
      <c r="J30" s="23"/>
      <c r="K30" s="43"/>
      <c r="L30" s="43"/>
      <c r="M30" s="43"/>
      <c r="N30" s="43"/>
      <c r="O30" s="43"/>
      <c r="P30" s="43"/>
      <c r="Q30" s="43"/>
      <c r="R30" s="43"/>
      <c r="S30" s="43"/>
      <c r="T30" s="23"/>
      <c r="U30" s="43"/>
      <c r="V30" s="43"/>
      <c r="W30" s="43"/>
      <c r="X30" s="43"/>
      <c r="Y30" s="43"/>
      <c r="Z30" s="43"/>
      <c r="AA30" s="43"/>
      <c r="AB30" s="43"/>
      <c r="AC30" s="43"/>
      <c r="AD30" s="23"/>
      <c r="AE30" s="39"/>
      <c r="AF30" s="39"/>
      <c r="AG30" s="39"/>
      <c r="AH30" s="39"/>
      <c r="AI30" s="39"/>
      <c r="AJ30" s="39"/>
      <c r="AK30" s="39"/>
      <c r="AL30" s="39"/>
      <c r="AM30" s="39"/>
      <c r="AN30" s="23"/>
      <c r="AO30" s="39"/>
      <c r="AP30" s="39"/>
      <c r="AQ30" s="39"/>
      <c r="AR30" s="39"/>
      <c r="AS30" s="39"/>
      <c r="AT30" s="39"/>
      <c r="AU30" s="39"/>
      <c r="AV30" s="39"/>
      <c r="AW30" s="39"/>
      <c r="AX30" s="23"/>
      <c r="AY30" s="39"/>
      <c r="AZ30" s="39"/>
      <c r="BA30" s="39"/>
      <c r="BB30" s="39"/>
      <c r="BC30" s="39"/>
      <c r="BD30" s="39"/>
      <c r="BE30" s="39"/>
      <c r="BF30" s="39"/>
      <c r="BG30" s="39"/>
      <c r="BH30" s="23"/>
      <c r="BI30" s="39"/>
      <c r="BJ30" s="39"/>
      <c r="BK30" s="39"/>
      <c r="BL30" s="39"/>
      <c r="BM30" s="39"/>
      <c r="BN30" s="39"/>
      <c r="BO30" s="39"/>
      <c r="BP30" s="39"/>
      <c r="BQ30" s="39"/>
      <c r="BR30" s="23"/>
      <c r="BS30" s="83" t="s">
        <v>234</v>
      </c>
      <c r="BT30" s="80" t="s">
        <v>313</v>
      </c>
      <c r="BU30" s="80"/>
      <c r="BY30" s="81"/>
      <c r="BZ30" s="81"/>
      <c r="CA30" s="81"/>
      <c r="CB30" s="81"/>
    </row>
    <row r="31" spans="1:80" s="18" customFormat="1" ht="15" customHeight="1" x14ac:dyDescent="0.35">
      <c r="A31" s="43"/>
      <c r="B31" s="43"/>
      <c r="C31" s="43"/>
      <c r="D31" s="43"/>
      <c r="E31" s="43"/>
      <c r="F31" s="43"/>
      <c r="G31" s="43"/>
      <c r="H31" s="43"/>
      <c r="I31" s="43"/>
      <c r="J31" s="23"/>
      <c r="K31" s="43"/>
      <c r="L31" s="43"/>
      <c r="M31" s="43"/>
      <c r="N31" s="43"/>
      <c r="O31" s="43"/>
      <c r="P31" s="43"/>
      <c r="Q31" s="43"/>
      <c r="R31" s="43"/>
      <c r="S31" s="43"/>
      <c r="T31" s="23"/>
      <c r="U31" s="43"/>
      <c r="V31" s="43"/>
      <c r="W31" s="43"/>
      <c r="X31" s="43"/>
      <c r="Y31" s="43"/>
      <c r="Z31" s="43"/>
      <c r="AA31" s="43"/>
      <c r="AB31" s="43"/>
      <c r="AC31" s="43"/>
      <c r="AD31" s="23"/>
      <c r="AE31" s="39"/>
      <c r="AF31" s="39"/>
      <c r="AG31" s="39"/>
      <c r="AH31" s="39"/>
      <c r="AI31" s="39"/>
      <c r="AJ31" s="39"/>
      <c r="AK31" s="39"/>
      <c r="AL31" s="39"/>
      <c r="AM31" s="39"/>
      <c r="AN31" s="23"/>
      <c r="AO31" s="39"/>
      <c r="AP31" s="39"/>
      <c r="AQ31" s="39"/>
      <c r="AR31" s="39"/>
      <c r="AS31" s="39"/>
      <c r="AT31" s="39"/>
      <c r="AU31" s="39"/>
      <c r="AV31" s="39"/>
      <c r="AW31" s="39"/>
      <c r="AX31" s="23"/>
      <c r="AY31" s="39"/>
      <c r="AZ31" s="39"/>
      <c r="BA31" s="39"/>
      <c r="BB31" s="39"/>
      <c r="BC31" s="39"/>
      <c r="BD31" s="39"/>
      <c r="BE31" s="39"/>
      <c r="BF31" s="39"/>
      <c r="BG31" s="39"/>
      <c r="BH31" s="23"/>
      <c r="BI31" s="39"/>
      <c r="BJ31" s="39"/>
      <c r="BK31" s="39"/>
      <c r="BL31" s="39"/>
      <c r="BM31" s="39"/>
      <c r="BN31" s="39"/>
      <c r="BO31" s="39"/>
      <c r="BP31" s="39"/>
      <c r="BQ31" s="39"/>
      <c r="BR31" s="23"/>
      <c r="BS31" s="83" t="s">
        <v>314</v>
      </c>
      <c r="BT31" s="80" t="s">
        <v>315</v>
      </c>
      <c r="BU31" s="80"/>
      <c r="BY31" s="81"/>
      <c r="BZ31" s="81"/>
      <c r="CA31" s="81"/>
      <c r="CB31" s="81"/>
    </row>
    <row r="32" spans="1:80" s="18" customFormat="1" ht="15" customHeight="1" x14ac:dyDescent="0.35">
      <c r="A32" s="54"/>
      <c r="B32" s="43"/>
      <c r="C32" s="43"/>
      <c r="D32" s="43"/>
      <c r="E32" s="43"/>
      <c r="F32" s="43"/>
      <c r="G32" s="43"/>
      <c r="H32" s="43"/>
      <c r="I32" s="43"/>
      <c r="J32" s="23"/>
      <c r="K32" s="43"/>
      <c r="L32" s="43"/>
      <c r="M32" s="43"/>
      <c r="N32" s="43"/>
      <c r="O32" s="43"/>
      <c r="P32" s="43"/>
      <c r="Q32" s="43"/>
      <c r="R32" s="43"/>
      <c r="S32" s="43"/>
      <c r="T32" s="23"/>
      <c r="U32" s="43"/>
      <c r="V32" s="43"/>
      <c r="W32" s="43"/>
      <c r="X32" s="43"/>
      <c r="Y32" s="43"/>
      <c r="Z32" s="43"/>
      <c r="AA32" s="43"/>
      <c r="AB32" s="43"/>
      <c r="AC32" s="43"/>
      <c r="AD32" s="23"/>
      <c r="AE32" s="39"/>
      <c r="AF32" s="39"/>
      <c r="AG32" s="39"/>
      <c r="AH32" s="39"/>
      <c r="AI32" s="39"/>
      <c r="AJ32" s="39"/>
      <c r="AK32" s="39"/>
      <c r="AL32" s="39"/>
      <c r="AM32" s="39"/>
      <c r="AN32" s="23"/>
      <c r="AO32" s="39"/>
      <c r="AP32" s="39"/>
      <c r="AQ32" s="39"/>
      <c r="AR32" s="39"/>
      <c r="AS32" s="39"/>
      <c r="AT32" s="39"/>
      <c r="AU32" s="39"/>
      <c r="AV32" s="39"/>
      <c r="AW32" s="39"/>
      <c r="AX32" s="23"/>
      <c r="AY32" s="39"/>
      <c r="AZ32" s="39"/>
      <c r="BA32" s="39"/>
      <c r="BB32" s="39"/>
      <c r="BC32" s="39"/>
      <c r="BD32" s="39"/>
      <c r="BE32" s="39"/>
      <c r="BF32" s="39"/>
      <c r="BG32" s="39"/>
      <c r="BH32" s="23"/>
      <c r="BI32" s="39"/>
      <c r="BJ32" s="39"/>
      <c r="BK32" s="39"/>
      <c r="BL32" s="39"/>
      <c r="BM32" s="39"/>
      <c r="BN32" s="39"/>
      <c r="BO32" s="39"/>
      <c r="BP32" s="39"/>
      <c r="BQ32" s="39"/>
      <c r="BR32" s="23"/>
      <c r="BS32" s="83" t="s">
        <v>316</v>
      </c>
      <c r="BT32" s="80" t="s">
        <v>317</v>
      </c>
      <c r="BU32" s="80"/>
      <c r="BY32" s="81"/>
      <c r="BZ32" s="81"/>
      <c r="CA32" s="81"/>
      <c r="CB32" s="81"/>
    </row>
    <row r="33" spans="1:80" s="18" customFormat="1" ht="15" customHeight="1" x14ac:dyDescent="0.35">
      <c r="A33" s="173"/>
      <c r="B33" s="173"/>
      <c r="C33" s="173"/>
      <c r="D33" s="56"/>
      <c r="E33" s="43"/>
      <c r="F33" s="43"/>
      <c r="G33" s="43"/>
      <c r="H33" s="43"/>
      <c r="I33" s="43"/>
      <c r="J33" s="23"/>
      <c r="K33" s="43"/>
      <c r="L33" s="43"/>
      <c r="M33" s="43"/>
      <c r="N33" s="43"/>
      <c r="O33" s="43"/>
      <c r="P33" s="43"/>
      <c r="Q33" s="43"/>
      <c r="R33" s="43"/>
      <c r="S33" s="43"/>
      <c r="T33" s="23"/>
      <c r="U33" s="43"/>
      <c r="V33" s="43"/>
      <c r="W33" s="43"/>
      <c r="X33" s="43"/>
      <c r="Y33" s="43"/>
      <c r="Z33" s="43"/>
      <c r="AA33" s="43"/>
      <c r="AB33" s="43"/>
      <c r="AC33" s="43"/>
      <c r="AD33" s="23"/>
      <c r="AE33" s="39"/>
      <c r="AF33" s="39"/>
      <c r="AG33" s="39"/>
      <c r="AH33" s="39"/>
      <c r="AI33" s="39"/>
      <c r="AJ33" s="39"/>
      <c r="AK33" s="39"/>
      <c r="AL33" s="39"/>
      <c r="AM33" s="39"/>
      <c r="AN33" s="23"/>
      <c r="AO33" s="39"/>
      <c r="AP33" s="39"/>
      <c r="AQ33" s="39"/>
      <c r="AR33" s="39"/>
      <c r="AS33" s="39"/>
      <c r="AT33" s="39"/>
      <c r="AU33" s="39"/>
      <c r="AV33" s="39"/>
      <c r="AW33" s="39"/>
      <c r="AX33" s="23"/>
      <c r="AY33" s="39"/>
      <c r="AZ33" s="39"/>
      <c r="BA33" s="39"/>
      <c r="BB33" s="39"/>
      <c r="BC33" s="39"/>
      <c r="BD33" s="39"/>
      <c r="BE33" s="39"/>
      <c r="BF33" s="39"/>
      <c r="BG33" s="39"/>
      <c r="BH33" s="23"/>
      <c r="BI33" s="39"/>
      <c r="BJ33" s="39"/>
      <c r="BK33" s="39"/>
      <c r="BL33" s="39"/>
      <c r="BM33" s="39"/>
      <c r="BN33" s="39"/>
      <c r="BO33" s="39"/>
      <c r="BP33" s="39"/>
      <c r="BQ33" s="39"/>
      <c r="BR33" s="23"/>
      <c r="BS33" s="83" t="s">
        <v>318</v>
      </c>
      <c r="BT33" s="80" t="s">
        <v>319</v>
      </c>
      <c r="BU33" s="80"/>
      <c r="BY33" s="81"/>
      <c r="BZ33" s="81"/>
      <c r="CA33" s="81"/>
      <c r="CB33" s="81"/>
    </row>
    <row r="34" spans="1:80" s="18" customFormat="1" ht="15" customHeight="1" x14ac:dyDescent="0.35">
      <c r="A34" s="43"/>
      <c r="B34" s="43"/>
      <c r="C34" s="43"/>
      <c r="D34" s="43"/>
      <c r="E34" s="43"/>
      <c r="F34" s="43"/>
      <c r="G34" s="43"/>
      <c r="H34" s="43"/>
      <c r="I34" s="43"/>
      <c r="J34" s="23"/>
      <c r="K34" s="43"/>
      <c r="L34" s="43"/>
      <c r="M34" s="43"/>
      <c r="N34" s="43"/>
      <c r="O34" s="43"/>
      <c r="P34" s="43"/>
      <c r="Q34" s="43"/>
      <c r="R34" s="43"/>
      <c r="S34" s="43"/>
      <c r="T34" s="23"/>
      <c r="U34" s="43"/>
      <c r="V34" s="43"/>
      <c r="W34" s="43"/>
      <c r="X34" s="43"/>
      <c r="Y34" s="43"/>
      <c r="Z34" s="43"/>
      <c r="AA34" s="43"/>
      <c r="AB34" s="43"/>
      <c r="AC34" s="43"/>
      <c r="AD34" s="23"/>
      <c r="AE34" s="39"/>
      <c r="AF34" s="39"/>
      <c r="AG34" s="39"/>
      <c r="AH34" s="39"/>
      <c r="AI34" s="39"/>
      <c r="AJ34" s="39"/>
      <c r="AK34" s="39"/>
      <c r="AL34" s="39"/>
      <c r="AM34" s="39"/>
      <c r="AN34" s="23"/>
      <c r="AO34" s="39"/>
      <c r="AP34" s="39"/>
      <c r="AQ34" s="39"/>
      <c r="AR34" s="39"/>
      <c r="AS34" s="39"/>
      <c r="AT34" s="39"/>
      <c r="AU34" s="39"/>
      <c r="AV34" s="39"/>
      <c r="AW34" s="39"/>
      <c r="AX34" s="23"/>
      <c r="AY34" s="39"/>
      <c r="AZ34" s="39"/>
      <c r="BA34" s="39"/>
      <c r="BB34" s="39"/>
      <c r="BC34" s="39"/>
      <c r="BD34" s="39"/>
      <c r="BE34" s="39"/>
      <c r="BF34" s="39"/>
      <c r="BG34" s="39"/>
      <c r="BH34" s="23"/>
      <c r="BI34" s="39"/>
      <c r="BJ34" s="39"/>
      <c r="BK34" s="39"/>
      <c r="BL34" s="39"/>
      <c r="BM34" s="39"/>
      <c r="BN34" s="39"/>
      <c r="BO34" s="39"/>
      <c r="BP34" s="39"/>
      <c r="BQ34" s="39"/>
      <c r="BR34" s="23"/>
      <c r="BS34" s="83" t="s">
        <v>236</v>
      </c>
      <c r="BT34" s="80" t="s">
        <v>320</v>
      </c>
      <c r="BU34" s="80"/>
      <c r="BY34" s="81"/>
      <c r="BZ34" s="81"/>
      <c r="CA34" s="81"/>
      <c r="CB34" s="81"/>
    </row>
    <row r="35" spans="1:80" s="18" customFormat="1" ht="15" customHeight="1" x14ac:dyDescent="0.35">
      <c r="A35" s="43"/>
      <c r="B35" s="43"/>
      <c r="C35" s="43"/>
      <c r="D35" s="43"/>
      <c r="E35" s="43"/>
      <c r="F35" s="43"/>
      <c r="G35" s="43"/>
      <c r="H35" s="43"/>
      <c r="I35" s="43"/>
      <c r="J35" s="23"/>
      <c r="K35" s="43"/>
      <c r="L35" s="43"/>
      <c r="M35" s="43"/>
      <c r="N35" s="43"/>
      <c r="O35" s="43"/>
      <c r="P35" s="43"/>
      <c r="Q35" s="43"/>
      <c r="R35" s="43"/>
      <c r="S35" s="43"/>
      <c r="T35" s="23"/>
      <c r="U35" s="43"/>
      <c r="V35" s="43"/>
      <c r="W35" s="43"/>
      <c r="X35" s="43"/>
      <c r="Y35" s="43"/>
      <c r="Z35" s="43"/>
      <c r="AA35" s="43"/>
      <c r="AB35" s="43"/>
      <c r="AC35" s="43"/>
      <c r="AD35" s="23"/>
      <c r="AE35" s="39"/>
      <c r="AF35" s="39"/>
      <c r="AG35" s="39"/>
      <c r="AH35" s="39"/>
      <c r="AI35" s="39"/>
      <c r="AJ35" s="39"/>
      <c r="AK35" s="39"/>
      <c r="AL35" s="39"/>
      <c r="AM35" s="39"/>
      <c r="AN35" s="23"/>
      <c r="AO35" s="39"/>
      <c r="AP35" s="39"/>
      <c r="AQ35" s="39"/>
      <c r="AR35" s="39"/>
      <c r="AS35" s="39"/>
      <c r="AT35" s="39"/>
      <c r="AU35" s="39"/>
      <c r="AV35" s="39"/>
      <c r="AW35" s="39"/>
      <c r="AX35" s="23"/>
      <c r="AY35" s="39"/>
      <c r="AZ35" s="39"/>
      <c r="BA35" s="39"/>
      <c r="BB35" s="39"/>
      <c r="BC35" s="39"/>
      <c r="BD35" s="39"/>
      <c r="BE35" s="39"/>
      <c r="BF35" s="39"/>
      <c r="BG35" s="39"/>
      <c r="BH35" s="23"/>
      <c r="BI35" s="39"/>
      <c r="BJ35" s="39"/>
      <c r="BK35" s="39"/>
      <c r="BL35" s="39"/>
      <c r="BM35" s="39"/>
      <c r="BN35" s="39"/>
      <c r="BO35" s="39"/>
      <c r="BP35" s="39"/>
      <c r="BQ35" s="39"/>
      <c r="BR35" s="23"/>
      <c r="BS35" s="83"/>
      <c r="BT35" s="95"/>
      <c r="BU35" s="95"/>
      <c r="BV35" s="97"/>
      <c r="BW35" s="97"/>
      <c r="BX35" s="97"/>
      <c r="BY35" s="98"/>
      <c r="BZ35" s="98"/>
      <c r="CA35" s="98"/>
      <c r="CB35" s="98"/>
    </row>
    <row r="36" spans="1:80" s="18" customFormat="1" ht="15" customHeight="1" x14ac:dyDescent="0.35">
      <c r="A36" s="43"/>
      <c r="B36" s="43"/>
      <c r="C36" s="43"/>
      <c r="D36" s="43"/>
      <c r="E36" s="43"/>
      <c r="F36" s="43"/>
      <c r="G36" s="43"/>
      <c r="H36" s="43"/>
      <c r="I36" s="43"/>
      <c r="J36" s="23"/>
      <c r="K36" s="43"/>
      <c r="L36" s="43"/>
      <c r="M36" s="43"/>
      <c r="N36" s="43"/>
      <c r="O36" s="43"/>
      <c r="P36" s="43"/>
      <c r="Q36" s="43"/>
      <c r="R36" s="43"/>
      <c r="S36" s="43"/>
      <c r="T36" s="23"/>
      <c r="U36" s="43"/>
      <c r="V36" s="43"/>
      <c r="W36" s="43"/>
      <c r="X36" s="43"/>
      <c r="Y36" s="43"/>
      <c r="Z36" s="43"/>
      <c r="AA36" s="43"/>
      <c r="AB36" s="43"/>
      <c r="AC36" s="43"/>
      <c r="AD36" s="23"/>
      <c r="AE36" s="39"/>
      <c r="AF36" s="39"/>
      <c r="AG36" s="39"/>
      <c r="AH36" s="39"/>
      <c r="AI36" s="39"/>
      <c r="AJ36" s="39"/>
      <c r="AK36" s="39"/>
      <c r="AL36" s="39"/>
      <c r="AM36" s="39"/>
      <c r="AN36" s="23"/>
      <c r="AO36" s="39"/>
      <c r="AP36" s="39"/>
      <c r="AQ36" s="39"/>
      <c r="AR36" s="39"/>
      <c r="AS36" s="39"/>
      <c r="AT36" s="39"/>
      <c r="AU36" s="39"/>
      <c r="AV36" s="39"/>
      <c r="AW36" s="39"/>
      <c r="AX36" s="23"/>
      <c r="AY36" s="39"/>
      <c r="AZ36" s="39"/>
      <c r="BA36" s="39"/>
      <c r="BB36" s="39"/>
      <c r="BC36" s="39"/>
      <c r="BD36" s="39"/>
      <c r="BE36" s="39"/>
      <c r="BF36" s="39"/>
      <c r="BG36" s="39"/>
      <c r="BH36" s="23"/>
      <c r="BI36" s="39"/>
      <c r="BJ36" s="39"/>
      <c r="BK36" s="39"/>
      <c r="BL36" s="39"/>
      <c r="BM36" s="39"/>
      <c r="BN36" s="39"/>
      <c r="BO36" s="39"/>
      <c r="BP36" s="39"/>
      <c r="BQ36" s="39"/>
      <c r="BR36" s="23"/>
      <c r="BS36" s="164" t="s">
        <v>364</v>
      </c>
      <c r="BT36" s="164"/>
      <c r="BU36" s="164"/>
      <c r="BV36" s="164"/>
      <c r="BW36" s="164"/>
      <c r="BX36" s="164"/>
      <c r="BY36" s="164"/>
      <c r="BZ36" s="164"/>
      <c r="CA36" s="164"/>
      <c r="CB36" s="164"/>
    </row>
    <row r="37" spans="1:80" s="18" customFormat="1" ht="15" customHeight="1" x14ac:dyDescent="0.35">
      <c r="A37" s="43"/>
      <c r="B37" s="43"/>
      <c r="C37" s="43"/>
      <c r="D37" s="43"/>
      <c r="E37" s="43"/>
      <c r="F37" s="43"/>
      <c r="G37" s="43"/>
      <c r="H37" s="43"/>
      <c r="I37" s="43"/>
      <c r="J37" s="23"/>
      <c r="K37" s="43"/>
      <c r="L37" s="43"/>
      <c r="M37" s="43"/>
      <c r="N37" s="43"/>
      <c r="O37" s="43"/>
      <c r="P37" s="43"/>
      <c r="Q37" s="43"/>
      <c r="R37" s="43"/>
      <c r="S37" s="43"/>
      <c r="T37" s="23"/>
      <c r="U37" s="43"/>
      <c r="V37" s="43"/>
      <c r="W37" s="43"/>
      <c r="X37" s="43"/>
      <c r="Y37" s="43"/>
      <c r="Z37" s="43"/>
      <c r="AA37" s="43"/>
      <c r="AB37" s="43"/>
      <c r="AC37" s="43"/>
      <c r="AD37" s="23"/>
      <c r="AE37" s="39"/>
      <c r="AF37" s="39"/>
      <c r="AG37" s="39"/>
      <c r="AH37" s="39"/>
      <c r="AI37" s="39"/>
      <c r="AJ37" s="39"/>
      <c r="AK37" s="39"/>
      <c r="AL37" s="39"/>
      <c r="AM37" s="39"/>
      <c r="AN37" s="23"/>
      <c r="AO37" s="39"/>
      <c r="AP37" s="39"/>
      <c r="AQ37" s="39"/>
      <c r="AR37" s="39"/>
      <c r="AS37" s="39"/>
      <c r="AT37" s="39"/>
      <c r="AU37" s="39"/>
      <c r="AV37" s="39"/>
      <c r="AW37" s="39"/>
      <c r="AX37" s="23"/>
      <c r="AY37" s="39"/>
      <c r="AZ37" s="39"/>
      <c r="BA37" s="39"/>
      <c r="BB37" s="39"/>
      <c r="BC37" s="39"/>
      <c r="BD37" s="39"/>
      <c r="BE37" s="39"/>
      <c r="BF37" s="39"/>
      <c r="BG37" s="39"/>
      <c r="BH37" s="23"/>
      <c r="BI37" s="39"/>
      <c r="BJ37" s="39"/>
      <c r="BK37" s="39"/>
      <c r="BL37" s="39"/>
      <c r="BM37" s="39"/>
      <c r="BN37" s="39"/>
      <c r="BO37" s="39"/>
      <c r="BP37" s="39"/>
      <c r="BQ37" s="39"/>
      <c r="BR37" s="23"/>
      <c r="BS37" s="159" t="s">
        <v>365</v>
      </c>
      <c r="BT37" s="159"/>
      <c r="BU37" s="159"/>
      <c r="BV37" s="159"/>
      <c r="BW37" s="159"/>
      <c r="BX37" s="159"/>
      <c r="BY37" s="159"/>
      <c r="BZ37" s="159"/>
      <c r="CA37" s="159"/>
      <c r="CB37" s="159"/>
    </row>
    <row r="38" spans="1:80" s="18" customFormat="1" ht="15" customHeight="1" x14ac:dyDescent="0.35">
      <c r="A38" s="146" t="s">
        <v>260</v>
      </c>
      <c r="B38" s="146"/>
      <c r="C38" s="146"/>
      <c r="D38" s="146"/>
      <c r="E38" s="146"/>
      <c r="F38" s="146"/>
      <c r="G38" s="146"/>
      <c r="H38" s="146"/>
      <c r="I38" s="146"/>
      <c r="J38" s="23"/>
      <c r="K38" s="43"/>
      <c r="L38" s="43"/>
      <c r="M38" s="43"/>
      <c r="N38" s="43"/>
      <c r="O38" s="43"/>
      <c r="P38" s="43"/>
      <c r="Q38" s="43"/>
      <c r="R38" s="43"/>
      <c r="S38" s="43"/>
      <c r="T38" s="23"/>
      <c r="U38" s="43"/>
      <c r="V38" s="43"/>
      <c r="W38" s="43"/>
      <c r="X38" s="43"/>
      <c r="Y38" s="43"/>
      <c r="Z38" s="43"/>
      <c r="AA38" s="43"/>
      <c r="AB38" s="43"/>
      <c r="AC38" s="43"/>
      <c r="AD38" s="23"/>
      <c r="AE38" s="39"/>
      <c r="AF38" s="39"/>
      <c r="AG38" s="39"/>
      <c r="AH38" s="39"/>
      <c r="AI38" s="39"/>
      <c r="AJ38" s="39"/>
      <c r="AK38" s="39"/>
      <c r="AL38" s="39"/>
      <c r="AM38" s="39"/>
      <c r="AN38" s="23"/>
      <c r="AO38" s="39"/>
      <c r="AP38" s="39"/>
      <c r="AQ38" s="39"/>
      <c r="AR38" s="39"/>
      <c r="AS38" s="39"/>
      <c r="AT38" s="39"/>
      <c r="AU38" s="39"/>
      <c r="AV38" s="39"/>
      <c r="AW38" s="39"/>
      <c r="AX38" s="23"/>
      <c r="AY38" s="39"/>
      <c r="AZ38" s="39"/>
      <c r="BA38" s="39"/>
      <c r="BB38" s="39"/>
      <c r="BC38" s="39"/>
      <c r="BD38" s="39"/>
      <c r="BE38" s="39"/>
      <c r="BF38" s="39"/>
      <c r="BG38" s="39"/>
      <c r="BH38" s="23"/>
      <c r="BI38" s="39"/>
      <c r="BJ38" s="39"/>
      <c r="BK38" s="39"/>
      <c r="BL38" s="39"/>
      <c r="BM38" s="39"/>
      <c r="BN38" s="39"/>
      <c r="BO38" s="39"/>
      <c r="BP38" s="39"/>
      <c r="BQ38" s="39"/>
      <c r="BR38" s="23"/>
      <c r="BS38" s="159" t="s">
        <v>366</v>
      </c>
      <c r="BT38" s="159"/>
      <c r="BU38" s="159"/>
      <c r="BV38" s="159"/>
      <c r="BW38" s="159"/>
      <c r="BX38" s="159"/>
      <c r="BY38" s="159"/>
      <c r="BZ38" s="159"/>
      <c r="CA38" s="159"/>
      <c r="CB38" s="159"/>
    </row>
    <row r="39" spans="1:80" s="18" customFormat="1" ht="15" customHeight="1" x14ac:dyDescent="0.35">
      <c r="A39" s="146"/>
      <c r="B39" s="146"/>
      <c r="C39" s="146"/>
      <c r="D39" s="146"/>
      <c r="E39" s="146"/>
      <c r="F39" s="146"/>
      <c r="G39" s="146"/>
      <c r="H39" s="146"/>
      <c r="I39" s="146"/>
      <c r="J39" s="23"/>
      <c r="K39" s="118" t="s">
        <v>162</v>
      </c>
      <c r="L39" s="118"/>
      <c r="M39" s="118"/>
      <c r="N39" s="118"/>
      <c r="O39" s="118"/>
      <c r="P39" s="118"/>
      <c r="Q39" s="118"/>
      <c r="R39" s="118"/>
      <c r="S39" s="118"/>
      <c r="T39" s="23"/>
      <c r="U39" s="118" t="s">
        <v>163</v>
      </c>
      <c r="V39" s="118"/>
      <c r="W39" s="118"/>
      <c r="X39" s="118"/>
      <c r="Y39" s="118"/>
      <c r="Z39" s="118"/>
      <c r="AA39" s="118"/>
      <c r="AB39" s="118"/>
      <c r="AC39" s="118"/>
      <c r="AD39" s="23"/>
      <c r="AE39" s="118" t="s">
        <v>164</v>
      </c>
      <c r="AF39" s="118"/>
      <c r="AG39" s="118"/>
      <c r="AH39" s="118"/>
      <c r="AI39" s="118"/>
      <c r="AJ39" s="118"/>
      <c r="AK39" s="118"/>
      <c r="AL39" s="118"/>
      <c r="AM39" s="118"/>
      <c r="AN39" s="23"/>
      <c r="AO39" s="118" t="s">
        <v>165</v>
      </c>
      <c r="AP39" s="118"/>
      <c r="AQ39" s="118"/>
      <c r="AR39" s="118"/>
      <c r="AS39" s="118"/>
      <c r="AT39" s="118"/>
      <c r="AU39" s="118"/>
      <c r="AV39" s="118"/>
      <c r="AW39" s="118"/>
      <c r="AX39" s="23"/>
      <c r="AY39" s="118" t="s">
        <v>166</v>
      </c>
      <c r="AZ39" s="118"/>
      <c r="BA39" s="118"/>
      <c r="BB39" s="118"/>
      <c r="BC39" s="118"/>
      <c r="BD39" s="118"/>
      <c r="BE39" s="118"/>
      <c r="BF39" s="118"/>
      <c r="BG39" s="118"/>
      <c r="BH39" s="23"/>
      <c r="BI39" s="118" t="s">
        <v>167</v>
      </c>
      <c r="BJ39" s="118"/>
      <c r="BK39" s="118"/>
      <c r="BL39" s="118"/>
      <c r="BM39" s="118"/>
      <c r="BN39" s="118"/>
      <c r="BO39" s="118"/>
      <c r="BP39" s="118"/>
      <c r="BQ39" s="118"/>
      <c r="BR39" s="23"/>
      <c r="BS39" s="83"/>
      <c r="BT39" s="83"/>
      <c r="BU39" s="83"/>
      <c r="BV39" s="83"/>
      <c r="BW39" s="83"/>
      <c r="BX39" s="83"/>
      <c r="BY39" s="83"/>
      <c r="BZ39" s="83"/>
      <c r="CA39" s="83"/>
      <c r="CB39" s="83"/>
    </row>
    <row r="40" spans="1:80" s="18" customFormat="1" ht="15" customHeight="1" x14ac:dyDescent="0.35">
      <c r="A40" s="51"/>
      <c r="B40" s="51"/>
      <c r="C40" s="51"/>
      <c r="D40" s="51"/>
      <c r="E40" s="51"/>
      <c r="F40" s="51"/>
      <c r="G40" s="51"/>
      <c r="H40" s="51"/>
      <c r="I40" s="51"/>
      <c r="J40" s="23"/>
      <c r="K40" s="118"/>
      <c r="L40" s="118"/>
      <c r="M40" s="118"/>
      <c r="N40" s="118"/>
      <c r="O40" s="118"/>
      <c r="P40" s="118"/>
      <c r="Q40" s="118"/>
      <c r="R40" s="118"/>
      <c r="S40" s="118"/>
      <c r="T40" s="23"/>
      <c r="U40" s="118"/>
      <c r="V40" s="118"/>
      <c r="W40" s="118"/>
      <c r="X40" s="118"/>
      <c r="Y40" s="118"/>
      <c r="Z40" s="118"/>
      <c r="AA40" s="118"/>
      <c r="AB40" s="118"/>
      <c r="AC40" s="118"/>
      <c r="AD40" s="23"/>
      <c r="AE40" s="118"/>
      <c r="AF40" s="118"/>
      <c r="AG40" s="118"/>
      <c r="AH40" s="118"/>
      <c r="AI40" s="118"/>
      <c r="AJ40" s="118"/>
      <c r="AK40" s="118"/>
      <c r="AL40" s="118"/>
      <c r="AM40" s="118"/>
      <c r="AN40" s="23"/>
      <c r="AO40" s="118"/>
      <c r="AP40" s="118"/>
      <c r="AQ40" s="118"/>
      <c r="AR40" s="118"/>
      <c r="AS40" s="118"/>
      <c r="AT40" s="118"/>
      <c r="AU40" s="118"/>
      <c r="AV40" s="118"/>
      <c r="AW40" s="118"/>
      <c r="AX40" s="23"/>
      <c r="AY40" s="118"/>
      <c r="AZ40" s="118"/>
      <c r="BA40" s="118"/>
      <c r="BB40" s="118"/>
      <c r="BC40" s="118"/>
      <c r="BD40" s="118"/>
      <c r="BE40" s="118"/>
      <c r="BF40" s="118"/>
      <c r="BG40" s="118"/>
      <c r="BH40" s="23"/>
      <c r="BI40" s="118"/>
      <c r="BJ40" s="118"/>
      <c r="BK40" s="118"/>
      <c r="BL40" s="118"/>
      <c r="BM40" s="118"/>
      <c r="BN40" s="118"/>
      <c r="BO40" s="118"/>
      <c r="BP40" s="118"/>
      <c r="BQ40" s="118"/>
      <c r="BR40" s="23"/>
      <c r="BS40" s="114" t="s">
        <v>203</v>
      </c>
      <c r="BT40" s="77" t="s">
        <v>204</v>
      </c>
      <c r="BU40" s="77"/>
      <c r="BV40" s="77"/>
      <c r="BW40" s="77"/>
      <c r="BX40" s="77"/>
      <c r="BY40" s="77"/>
      <c r="BZ40" s="77"/>
      <c r="CA40" s="77"/>
      <c r="CB40" s="77"/>
    </row>
    <row r="41" spans="1:80" s="18" customFormat="1" ht="15" customHeight="1" x14ac:dyDescent="0.35">
      <c r="A41" s="43"/>
      <c r="B41" s="43"/>
      <c r="C41" s="43"/>
      <c r="D41" s="43"/>
      <c r="E41" s="43"/>
      <c r="F41" s="43"/>
      <c r="G41" s="43"/>
      <c r="H41" s="43"/>
      <c r="I41" s="43"/>
      <c r="J41" s="23"/>
      <c r="K41" s="43"/>
      <c r="L41" s="43"/>
      <c r="M41" s="43"/>
      <c r="N41" s="43"/>
      <c r="O41" s="43"/>
      <c r="P41" s="43"/>
      <c r="Q41" s="43"/>
      <c r="R41" s="43"/>
      <c r="S41" s="43"/>
      <c r="T41" s="23"/>
      <c r="U41" s="118" t="s">
        <v>158</v>
      </c>
      <c r="V41" s="118"/>
      <c r="W41" s="118"/>
      <c r="X41" s="118"/>
      <c r="Y41" s="118"/>
      <c r="Z41" s="118"/>
      <c r="AA41" s="118"/>
      <c r="AB41" s="118"/>
      <c r="AC41" s="118"/>
      <c r="AD41" s="23"/>
      <c r="AE41" s="118" t="s">
        <v>158</v>
      </c>
      <c r="AF41" s="118"/>
      <c r="AG41" s="118"/>
      <c r="AH41" s="118"/>
      <c r="AI41" s="118"/>
      <c r="AJ41" s="118"/>
      <c r="AK41" s="118"/>
      <c r="AL41" s="118"/>
      <c r="AM41" s="118"/>
      <c r="AN41" s="23"/>
      <c r="AO41" s="39"/>
      <c r="AP41" s="39"/>
      <c r="AQ41" s="39"/>
      <c r="AR41" s="39"/>
      <c r="AS41" s="39"/>
      <c r="AT41" s="39"/>
      <c r="AU41" s="39"/>
      <c r="AV41" s="39"/>
      <c r="AW41" s="39"/>
      <c r="AX41" s="23"/>
      <c r="AY41" s="118" t="s">
        <v>158</v>
      </c>
      <c r="AZ41" s="118"/>
      <c r="BA41" s="118"/>
      <c r="BB41" s="118"/>
      <c r="BC41" s="118"/>
      <c r="BD41" s="118"/>
      <c r="BE41" s="118"/>
      <c r="BF41" s="118"/>
      <c r="BG41" s="118"/>
      <c r="BH41" s="23"/>
      <c r="BI41" s="39"/>
      <c r="BJ41" s="39"/>
      <c r="BK41" s="39"/>
      <c r="BL41" s="39"/>
      <c r="BM41" s="39"/>
      <c r="BN41" s="39"/>
      <c r="BO41" s="39"/>
      <c r="BP41" s="39"/>
      <c r="BQ41" s="39"/>
      <c r="BR41" s="23"/>
      <c r="BS41" s="114"/>
      <c r="BT41" s="77" t="s">
        <v>205</v>
      </c>
      <c r="BU41" s="77"/>
      <c r="BV41" s="77"/>
      <c r="BW41" s="77"/>
      <c r="BX41" s="77"/>
      <c r="BY41" s="77"/>
      <c r="BZ41" s="77"/>
      <c r="CA41" s="77"/>
      <c r="CB41" s="77"/>
    </row>
    <row r="42" spans="1:80" s="18" customFormat="1" ht="15" customHeight="1" x14ac:dyDescent="0.35">
      <c r="A42" s="43"/>
      <c r="B42" s="43"/>
      <c r="C42" s="43"/>
      <c r="D42" s="43"/>
      <c r="E42" s="43"/>
      <c r="F42" s="43"/>
      <c r="G42" s="43"/>
      <c r="H42" s="43"/>
      <c r="I42" s="43"/>
      <c r="J42" s="23"/>
      <c r="K42" s="43"/>
      <c r="L42" s="43"/>
      <c r="M42" s="43"/>
      <c r="N42" s="43"/>
      <c r="O42" s="43"/>
      <c r="P42" s="43"/>
      <c r="Q42" s="43"/>
      <c r="R42" s="43"/>
      <c r="S42" s="43"/>
      <c r="T42" s="23"/>
      <c r="U42" s="118"/>
      <c r="V42" s="118"/>
      <c r="W42" s="118"/>
      <c r="X42" s="118"/>
      <c r="Y42" s="118"/>
      <c r="Z42" s="118"/>
      <c r="AA42" s="118"/>
      <c r="AB42" s="118"/>
      <c r="AC42" s="118"/>
      <c r="AD42" s="23"/>
      <c r="AE42" s="118"/>
      <c r="AF42" s="118"/>
      <c r="AG42" s="118"/>
      <c r="AH42" s="118"/>
      <c r="AI42" s="118"/>
      <c r="AJ42" s="118"/>
      <c r="AK42" s="118"/>
      <c r="AL42" s="118"/>
      <c r="AM42" s="118"/>
      <c r="AN42" s="23"/>
      <c r="AO42" s="39"/>
      <c r="AP42" s="39"/>
      <c r="AQ42" s="39"/>
      <c r="AR42" s="39"/>
      <c r="AS42" s="39"/>
      <c r="AT42" s="39"/>
      <c r="AU42" s="39"/>
      <c r="AV42" s="39"/>
      <c r="AW42" s="39"/>
      <c r="AX42" s="23"/>
      <c r="AY42" s="118"/>
      <c r="AZ42" s="118"/>
      <c r="BA42" s="118"/>
      <c r="BB42" s="118"/>
      <c r="BC42" s="118"/>
      <c r="BD42" s="118"/>
      <c r="BE42" s="118"/>
      <c r="BF42" s="118"/>
      <c r="BG42" s="118"/>
      <c r="BH42" s="23"/>
      <c r="BI42" s="39"/>
      <c r="BJ42" s="39"/>
      <c r="BK42" s="39"/>
      <c r="BL42" s="39"/>
      <c r="BM42" s="39"/>
      <c r="BN42" s="39"/>
      <c r="BO42" s="39"/>
      <c r="BP42" s="39"/>
      <c r="BQ42" s="39"/>
      <c r="BR42" s="23"/>
      <c r="BS42" s="76"/>
      <c r="BT42" s="77" t="s">
        <v>206</v>
      </c>
      <c r="BU42" s="77"/>
      <c r="BV42" s="77"/>
      <c r="BW42" s="77"/>
      <c r="BX42" s="77"/>
      <c r="BY42" s="77"/>
      <c r="BZ42" s="77"/>
      <c r="CA42" s="77"/>
      <c r="CB42" s="77"/>
    </row>
    <row r="43" spans="1:80" s="18" customFormat="1" ht="15" customHeight="1" x14ac:dyDescent="0.35">
      <c r="A43" s="43"/>
      <c r="B43" s="43"/>
      <c r="C43" s="43"/>
      <c r="D43" s="43"/>
      <c r="E43" s="43"/>
      <c r="F43" s="43"/>
      <c r="G43" s="43"/>
      <c r="H43" s="43"/>
      <c r="I43" s="43"/>
      <c r="J43" s="23"/>
      <c r="K43" s="43"/>
      <c r="L43" s="43"/>
      <c r="M43" s="43"/>
      <c r="N43" s="43"/>
      <c r="O43" s="43"/>
      <c r="P43" s="43"/>
      <c r="Q43" s="43"/>
      <c r="R43" s="43"/>
      <c r="S43" s="43"/>
      <c r="T43" s="23"/>
      <c r="U43" s="43"/>
      <c r="V43" s="43"/>
      <c r="W43" s="43"/>
      <c r="X43" s="43"/>
      <c r="Y43" s="43"/>
      <c r="Z43" s="43"/>
      <c r="AA43" s="43"/>
      <c r="AB43" s="43"/>
      <c r="AC43" s="43"/>
      <c r="AD43" s="23"/>
      <c r="AE43" s="39"/>
      <c r="AF43" s="39"/>
      <c r="AG43" s="39"/>
      <c r="AH43" s="39"/>
      <c r="AI43" s="39"/>
      <c r="AJ43" s="39"/>
      <c r="AK43" s="39"/>
      <c r="AL43" s="39"/>
      <c r="AM43" s="39"/>
      <c r="AN43" s="23"/>
      <c r="AO43" s="39"/>
      <c r="AP43" s="39"/>
      <c r="AQ43" s="39"/>
      <c r="AR43" s="39"/>
      <c r="AS43" s="39"/>
      <c r="AT43" s="39"/>
      <c r="AU43" s="39"/>
      <c r="AV43" s="39"/>
      <c r="AW43" s="39"/>
      <c r="AX43" s="23"/>
      <c r="AY43" s="39"/>
      <c r="AZ43" s="39"/>
      <c r="BA43" s="39"/>
      <c r="BB43" s="39"/>
      <c r="BC43" s="39"/>
      <c r="BD43" s="39"/>
      <c r="BE43" s="39"/>
      <c r="BF43" s="39"/>
      <c r="BG43" s="39"/>
      <c r="BH43" s="23"/>
      <c r="BI43" s="39"/>
      <c r="BJ43" s="39"/>
      <c r="BK43" s="39"/>
      <c r="BL43" s="39"/>
      <c r="BM43" s="39"/>
      <c r="BN43" s="39"/>
      <c r="BO43" s="39"/>
      <c r="BP43" s="39"/>
      <c r="BQ43" s="39"/>
      <c r="BR43" s="23"/>
      <c r="BS43" s="75"/>
      <c r="BT43" s="72" t="s">
        <v>208</v>
      </c>
      <c r="BU43" s="72"/>
      <c r="BV43" s="72"/>
      <c r="BW43" s="72"/>
      <c r="BX43" s="72"/>
      <c r="BY43" s="72"/>
      <c r="BZ43" s="72"/>
      <c r="CA43" s="72"/>
      <c r="CB43" s="72"/>
    </row>
    <row r="44" spans="1:80" s="18" customFormat="1" ht="15" customHeight="1" x14ac:dyDescent="0.35">
      <c r="A44" s="43"/>
      <c r="B44" s="43"/>
      <c r="C44" s="43"/>
      <c r="D44" s="43"/>
      <c r="E44" s="43"/>
      <c r="F44" s="43"/>
      <c r="G44" s="43"/>
      <c r="H44" s="43"/>
      <c r="I44" s="43"/>
      <c r="J44" s="23"/>
      <c r="K44" s="43"/>
      <c r="L44" s="43"/>
      <c r="M44" s="43"/>
      <c r="N44" s="43"/>
      <c r="O44" s="43"/>
      <c r="P44" s="43"/>
      <c r="Q44" s="43"/>
      <c r="R44" s="43"/>
      <c r="S44" s="43"/>
      <c r="T44" s="23"/>
      <c r="U44" s="43"/>
      <c r="V44" s="43"/>
      <c r="W44" s="43"/>
      <c r="X44" s="43"/>
      <c r="Y44" s="43"/>
      <c r="Z44" s="43"/>
      <c r="AA44" s="43"/>
      <c r="AB44" s="43"/>
      <c r="AC44" s="43"/>
      <c r="AD44" s="23"/>
      <c r="AE44" s="39"/>
      <c r="AF44" s="39"/>
      <c r="AG44" s="39"/>
      <c r="AH44" s="39"/>
      <c r="AI44" s="39"/>
      <c r="AJ44" s="39"/>
      <c r="AK44" s="39"/>
      <c r="AL44" s="39"/>
      <c r="AM44" s="39"/>
      <c r="AN44" s="23"/>
      <c r="AO44" s="39"/>
      <c r="AP44" s="39"/>
      <c r="AQ44" s="39"/>
      <c r="AR44" s="39"/>
      <c r="AS44" s="39"/>
      <c r="AT44" s="39"/>
      <c r="AU44" s="39"/>
      <c r="AV44" s="39"/>
      <c r="AW44" s="39"/>
      <c r="AX44" s="23"/>
      <c r="AY44" s="39"/>
      <c r="AZ44" s="39"/>
      <c r="BA44" s="39"/>
      <c r="BB44" s="39"/>
      <c r="BC44" s="39"/>
      <c r="BD44" s="39"/>
      <c r="BE44" s="39"/>
      <c r="BF44" s="39"/>
      <c r="BG44" s="39"/>
      <c r="BH44" s="23"/>
      <c r="BI44" s="39"/>
      <c r="BJ44" s="39"/>
      <c r="BK44" s="39"/>
      <c r="BL44" s="39"/>
      <c r="BM44" s="39"/>
      <c r="BN44" s="39"/>
      <c r="BO44" s="39"/>
      <c r="BP44" s="39"/>
      <c r="BQ44" s="39"/>
      <c r="BR44" s="23"/>
      <c r="BS44" s="2"/>
      <c r="BT44" s="41"/>
      <c r="BU44" s="41"/>
      <c r="BV44" s="41"/>
      <c r="BW44" s="41"/>
      <c r="BX44" s="41"/>
      <c r="BY44" s="41"/>
      <c r="BZ44" s="41"/>
      <c r="CA44" s="41"/>
      <c r="CB44" s="41"/>
    </row>
    <row r="45" spans="1:80" s="18" customFormat="1" ht="15" customHeight="1" x14ac:dyDescent="0.35">
      <c r="A45" s="43"/>
      <c r="B45" s="43"/>
      <c r="C45" s="43"/>
      <c r="D45" s="43"/>
      <c r="E45" s="43"/>
      <c r="F45" s="43"/>
      <c r="G45" s="43"/>
      <c r="H45" s="43"/>
      <c r="I45" s="43"/>
      <c r="J45" s="23"/>
      <c r="K45" s="43"/>
      <c r="L45" s="43"/>
      <c r="M45" s="43"/>
      <c r="N45" s="43"/>
      <c r="O45" s="43"/>
      <c r="P45" s="43"/>
      <c r="Q45" s="43"/>
      <c r="R45" s="43"/>
      <c r="S45" s="43"/>
      <c r="T45" s="23"/>
      <c r="U45" s="43"/>
      <c r="V45" s="43"/>
      <c r="W45" s="43"/>
      <c r="X45" s="43"/>
      <c r="Y45" s="43"/>
      <c r="Z45" s="43"/>
      <c r="AA45" s="43"/>
      <c r="AB45" s="43"/>
      <c r="AC45" s="43"/>
      <c r="AD45" s="23"/>
      <c r="AE45" s="39"/>
      <c r="AF45" s="39"/>
      <c r="AG45" s="39"/>
      <c r="AH45" s="39"/>
      <c r="AI45" s="39"/>
      <c r="AJ45" s="39"/>
      <c r="AK45" s="39"/>
      <c r="AL45" s="39"/>
      <c r="AM45" s="39"/>
      <c r="AN45" s="23"/>
      <c r="AO45" s="39"/>
      <c r="AP45" s="39"/>
      <c r="AQ45" s="39"/>
      <c r="AR45" s="39"/>
      <c r="AS45" s="39"/>
      <c r="AT45" s="39"/>
      <c r="AU45" s="39"/>
      <c r="AV45" s="39"/>
      <c r="AW45" s="39"/>
      <c r="AX45" s="23"/>
      <c r="AY45" s="39"/>
      <c r="AZ45" s="39"/>
      <c r="BA45" s="39"/>
      <c r="BB45" s="39"/>
      <c r="BC45" s="39"/>
      <c r="BD45" s="39"/>
      <c r="BE45" s="39"/>
      <c r="BF45" s="39"/>
      <c r="BG45" s="39"/>
      <c r="BH45" s="23"/>
      <c r="BI45" s="39"/>
      <c r="BJ45" s="39"/>
      <c r="BK45" s="39"/>
      <c r="BL45" s="39"/>
      <c r="BM45" s="39"/>
      <c r="BN45" s="39"/>
      <c r="BO45" s="39"/>
      <c r="BP45" s="39"/>
      <c r="BQ45" s="39"/>
      <c r="BR45" s="23"/>
      <c r="BS45" s="116" t="s">
        <v>234</v>
      </c>
      <c r="BT45" s="77" t="s">
        <v>284</v>
      </c>
      <c r="BU45" s="77"/>
      <c r="BV45" s="77"/>
      <c r="BW45" s="77"/>
      <c r="BX45" s="77"/>
      <c r="BY45" s="77"/>
      <c r="BZ45" s="77"/>
      <c r="CA45" s="77"/>
      <c r="CB45" s="77"/>
    </row>
    <row r="46" spans="1:80" s="18" customFormat="1" ht="15" customHeight="1" x14ac:dyDescent="0.35">
      <c r="A46" s="43"/>
      <c r="B46" s="43"/>
      <c r="C46" s="43"/>
      <c r="D46" s="43"/>
      <c r="E46" s="43"/>
      <c r="F46" s="43"/>
      <c r="G46" s="43"/>
      <c r="H46" s="43"/>
      <c r="I46" s="43"/>
      <c r="J46" s="23"/>
      <c r="K46" s="43"/>
      <c r="L46" s="43"/>
      <c r="M46" s="43"/>
      <c r="N46" s="43"/>
      <c r="O46" s="43"/>
      <c r="P46" s="43"/>
      <c r="Q46" s="43"/>
      <c r="R46" s="43"/>
      <c r="S46" s="43"/>
      <c r="T46" s="23"/>
      <c r="U46" s="43"/>
      <c r="V46" s="43"/>
      <c r="W46" s="43"/>
      <c r="X46" s="43"/>
      <c r="Y46" s="43"/>
      <c r="Z46" s="43"/>
      <c r="AA46" s="43"/>
      <c r="AB46" s="43"/>
      <c r="AC46" s="43"/>
      <c r="AD46" s="23"/>
      <c r="AE46" s="39"/>
      <c r="AF46" s="39"/>
      <c r="AG46" s="39"/>
      <c r="AH46" s="39"/>
      <c r="AI46" s="39"/>
      <c r="AJ46" s="39"/>
      <c r="AK46" s="39"/>
      <c r="AL46" s="39"/>
      <c r="AM46" s="39"/>
      <c r="AN46" s="23"/>
      <c r="AO46" s="39"/>
      <c r="AP46" s="39"/>
      <c r="AQ46" s="39"/>
      <c r="AR46" s="39"/>
      <c r="AS46" s="39"/>
      <c r="AT46" s="39"/>
      <c r="AU46" s="39"/>
      <c r="AV46" s="39"/>
      <c r="AW46" s="39"/>
      <c r="AX46" s="23"/>
      <c r="AY46" s="39"/>
      <c r="AZ46" s="39"/>
      <c r="BA46" s="39"/>
      <c r="BB46" s="39"/>
      <c r="BC46" s="39"/>
      <c r="BD46" s="39"/>
      <c r="BE46" s="39"/>
      <c r="BF46" s="39"/>
      <c r="BG46" s="39"/>
      <c r="BH46" s="23"/>
      <c r="BI46" s="39"/>
      <c r="BJ46" s="39"/>
      <c r="BK46" s="39"/>
      <c r="BL46" s="39"/>
      <c r="BM46" s="39"/>
      <c r="BN46" s="39"/>
      <c r="BO46" s="39"/>
      <c r="BP46" s="39"/>
      <c r="BQ46" s="39"/>
      <c r="BR46" s="23"/>
      <c r="BS46" s="116"/>
      <c r="BT46" s="77" t="s">
        <v>233</v>
      </c>
      <c r="BU46" s="77"/>
      <c r="BV46" s="77"/>
      <c r="BW46" s="77"/>
      <c r="BX46" s="77"/>
      <c r="BY46" s="77"/>
      <c r="BZ46" s="77"/>
      <c r="CA46" s="77"/>
      <c r="CB46" s="77"/>
    </row>
    <row r="47" spans="1:80" s="18" customFormat="1" ht="15" customHeight="1" x14ac:dyDescent="0.35">
      <c r="A47" s="43"/>
      <c r="B47" s="43"/>
      <c r="C47" s="43"/>
      <c r="D47" s="43"/>
      <c r="E47" s="43"/>
      <c r="F47" s="43"/>
      <c r="G47" s="43"/>
      <c r="H47" s="43"/>
      <c r="I47" s="43"/>
      <c r="J47" s="23"/>
      <c r="K47" s="43"/>
      <c r="L47" s="43"/>
      <c r="M47" s="43"/>
      <c r="N47" s="43"/>
      <c r="O47" s="43"/>
      <c r="P47" s="43"/>
      <c r="Q47" s="43"/>
      <c r="R47" s="43"/>
      <c r="S47" s="43"/>
      <c r="T47" s="23"/>
      <c r="U47" s="43"/>
      <c r="V47" s="43"/>
      <c r="W47" s="43"/>
      <c r="X47" s="43"/>
      <c r="Y47" s="43"/>
      <c r="Z47" s="43"/>
      <c r="AA47" s="43"/>
      <c r="AB47" s="43"/>
      <c r="AC47" s="43"/>
      <c r="AD47" s="23"/>
      <c r="AE47" s="39"/>
      <c r="AF47" s="39"/>
      <c r="AG47" s="39"/>
      <c r="AH47" s="39"/>
      <c r="AI47" s="39"/>
      <c r="AJ47" s="39"/>
      <c r="AK47" s="39"/>
      <c r="AL47" s="39"/>
      <c r="AM47" s="39"/>
      <c r="AN47" s="23"/>
      <c r="AO47" s="39"/>
      <c r="AP47" s="39"/>
      <c r="AQ47" s="39"/>
      <c r="AR47" s="39"/>
      <c r="AS47" s="39"/>
      <c r="AT47" s="39"/>
      <c r="AU47" s="39"/>
      <c r="AV47" s="39"/>
      <c r="AW47" s="39"/>
      <c r="AX47" s="23"/>
      <c r="AY47" s="39"/>
      <c r="AZ47" s="39"/>
      <c r="BA47" s="39"/>
      <c r="BB47" s="39"/>
      <c r="BC47" s="39"/>
      <c r="BD47" s="39"/>
      <c r="BE47" s="39"/>
      <c r="BF47" s="39"/>
      <c r="BG47" s="39"/>
      <c r="BH47" s="23"/>
      <c r="BI47" s="39"/>
      <c r="BJ47" s="39"/>
      <c r="BK47" s="39"/>
      <c r="BL47" s="39"/>
      <c r="BM47" s="39"/>
      <c r="BN47" s="39"/>
      <c r="BO47" s="39"/>
      <c r="BP47" s="39"/>
      <c r="BQ47" s="39"/>
      <c r="BR47" s="23"/>
      <c r="BS47" s="73"/>
      <c r="BT47" s="77" t="s">
        <v>232</v>
      </c>
      <c r="BU47" s="77"/>
      <c r="BV47" s="77"/>
      <c r="BW47" s="77"/>
      <c r="BX47" s="77"/>
      <c r="BY47" s="77"/>
      <c r="BZ47" s="77"/>
      <c r="CA47" s="77"/>
      <c r="CB47" s="77"/>
    </row>
    <row r="48" spans="1:80" ht="15" customHeight="1" x14ac:dyDescent="0.35">
      <c r="A48" s="39"/>
      <c r="B48" s="39"/>
      <c r="C48" s="39"/>
      <c r="D48" s="39"/>
      <c r="E48" s="39"/>
      <c r="F48" s="39"/>
      <c r="G48" s="39"/>
      <c r="H48" s="39"/>
      <c r="I48" s="39"/>
      <c r="J48" s="20"/>
      <c r="K48" s="39"/>
      <c r="L48" s="39"/>
      <c r="M48" s="39"/>
      <c r="N48" s="39"/>
      <c r="O48" s="39"/>
      <c r="P48" s="39"/>
      <c r="Q48" s="39"/>
      <c r="R48" s="39"/>
      <c r="S48" s="39"/>
      <c r="T48" s="20"/>
      <c r="U48" s="39"/>
      <c r="V48" s="39"/>
      <c r="W48" s="39"/>
      <c r="X48" s="39"/>
      <c r="Y48" s="39"/>
      <c r="Z48" s="39"/>
      <c r="AA48" s="39"/>
      <c r="AB48" s="39"/>
      <c r="AC48" s="39"/>
      <c r="AD48" s="20"/>
      <c r="AE48" s="39"/>
      <c r="AF48" s="39"/>
      <c r="AG48" s="39"/>
      <c r="AH48" s="39"/>
      <c r="AI48" s="39"/>
      <c r="AJ48" s="39"/>
      <c r="AK48" s="39"/>
      <c r="AL48" s="39"/>
      <c r="AM48" s="39"/>
      <c r="AN48" s="20"/>
      <c r="AO48" s="39"/>
      <c r="AP48" s="39"/>
      <c r="AQ48" s="39"/>
      <c r="AR48" s="39"/>
      <c r="AS48" s="39"/>
      <c r="AT48" s="39"/>
      <c r="AU48" s="39"/>
      <c r="AV48" s="39"/>
      <c r="AW48" s="39"/>
      <c r="AX48" s="20"/>
      <c r="AY48" s="39"/>
      <c r="AZ48" s="39"/>
      <c r="BA48" s="39"/>
      <c r="BB48" s="39"/>
      <c r="BC48" s="39"/>
      <c r="BD48" s="39"/>
      <c r="BE48" s="39"/>
      <c r="BF48" s="39"/>
      <c r="BG48" s="39"/>
      <c r="BH48" s="20"/>
      <c r="BI48" s="39"/>
      <c r="BJ48" s="39"/>
      <c r="BK48" s="39"/>
      <c r="BL48" s="39"/>
      <c r="BM48" s="39"/>
      <c r="BN48" s="39"/>
      <c r="BO48" s="39"/>
      <c r="BP48" s="39"/>
      <c r="BQ48" s="39"/>
      <c r="BR48" s="20"/>
      <c r="BS48" s="73"/>
      <c r="BT48" s="77" t="s">
        <v>285</v>
      </c>
      <c r="BU48" s="77"/>
      <c r="BV48" s="77"/>
      <c r="BW48" s="77"/>
      <c r="BX48" s="77"/>
      <c r="BY48" s="77"/>
      <c r="BZ48" s="77"/>
      <c r="CA48" s="77"/>
      <c r="CB48" s="77"/>
    </row>
    <row r="49" spans="1:80" ht="15" customHeight="1" x14ac:dyDescent="0.35">
      <c r="A49" s="39"/>
      <c r="B49" s="39"/>
      <c r="C49" s="39"/>
      <c r="D49" s="39"/>
      <c r="E49" s="39"/>
      <c r="F49" s="39"/>
      <c r="G49" s="39"/>
      <c r="H49" s="39"/>
      <c r="I49" s="39"/>
      <c r="J49" s="20"/>
      <c r="K49" s="39"/>
      <c r="L49" s="39"/>
      <c r="M49" s="39"/>
      <c r="N49" s="39"/>
      <c r="O49" s="39"/>
      <c r="P49" s="39"/>
      <c r="Q49" s="39"/>
      <c r="R49" s="39"/>
      <c r="S49" s="39"/>
      <c r="T49" s="20"/>
      <c r="U49" s="39"/>
      <c r="V49" s="39"/>
      <c r="W49" s="39"/>
      <c r="X49" s="39"/>
      <c r="Y49" s="39"/>
      <c r="Z49" s="39"/>
      <c r="AA49" s="39"/>
      <c r="AB49" s="39"/>
      <c r="AC49" s="39"/>
      <c r="AD49" s="20"/>
      <c r="AE49" s="39"/>
      <c r="AF49" s="39"/>
      <c r="AG49" s="39"/>
      <c r="AH49" s="39"/>
      <c r="AI49" s="39"/>
      <c r="AJ49" s="39"/>
      <c r="AK49" s="39"/>
      <c r="AL49" s="39"/>
      <c r="AM49" s="39"/>
      <c r="AN49" s="20"/>
      <c r="AO49" s="39"/>
      <c r="AP49" s="39"/>
      <c r="AQ49" s="39"/>
      <c r="AR49" s="39"/>
      <c r="AS49" s="39"/>
      <c r="AT49" s="39"/>
      <c r="AU49" s="39"/>
      <c r="AV49" s="39"/>
      <c r="AW49" s="39"/>
      <c r="AX49" s="20"/>
      <c r="AY49" s="39"/>
      <c r="AZ49" s="39"/>
      <c r="BA49" s="39"/>
      <c r="BB49" s="39"/>
      <c r="BC49" s="39"/>
      <c r="BD49" s="39"/>
      <c r="BE49" s="39"/>
      <c r="BF49" s="39"/>
      <c r="BG49" s="39"/>
      <c r="BH49" s="20"/>
      <c r="BI49" s="39"/>
      <c r="BJ49" s="39"/>
      <c r="BK49" s="39"/>
      <c r="BL49" s="39"/>
      <c r="BM49" s="39"/>
      <c r="BN49" s="39"/>
      <c r="BO49" s="39"/>
      <c r="BP49" s="39"/>
      <c r="BQ49" s="39"/>
      <c r="BR49" s="20"/>
      <c r="BS49" s="38"/>
      <c r="BT49" s="77" t="s">
        <v>237</v>
      </c>
      <c r="BU49" s="77"/>
      <c r="BV49" s="77"/>
      <c r="BW49" s="77"/>
      <c r="BX49" s="77"/>
      <c r="BY49" s="77"/>
      <c r="BZ49" s="77"/>
      <c r="CA49" s="77"/>
      <c r="CB49" s="77"/>
    </row>
    <row r="50" spans="1:80" ht="15" customHeight="1" x14ac:dyDescent="0.35">
      <c r="A50" s="39"/>
      <c r="B50" s="39"/>
      <c r="C50" s="39"/>
      <c r="D50" s="39"/>
      <c r="E50" s="39"/>
      <c r="F50" s="39"/>
      <c r="G50" s="39"/>
      <c r="H50" s="39"/>
      <c r="I50" s="39"/>
      <c r="J50" s="24"/>
      <c r="K50" s="39"/>
      <c r="L50" s="39"/>
      <c r="M50" s="39"/>
      <c r="N50" s="39"/>
      <c r="O50" s="39"/>
      <c r="P50" s="39"/>
      <c r="Q50" s="39"/>
      <c r="R50" s="39"/>
      <c r="S50" s="39"/>
      <c r="T50" s="24"/>
      <c r="U50" s="39"/>
      <c r="V50" s="39"/>
      <c r="W50" s="39"/>
      <c r="X50" s="39"/>
      <c r="Y50" s="39"/>
      <c r="Z50" s="39"/>
      <c r="AA50" s="39"/>
      <c r="AB50" s="39"/>
      <c r="AC50" s="39"/>
      <c r="AD50" s="24"/>
      <c r="AE50" s="39"/>
      <c r="AF50" s="39"/>
      <c r="AG50" s="39"/>
      <c r="AH50" s="39"/>
      <c r="AI50" s="39"/>
      <c r="AJ50" s="39"/>
      <c r="AK50" s="39"/>
      <c r="AL50" s="39"/>
      <c r="AM50" s="39"/>
      <c r="AN50" s="24"/>
      <c r="AO50" s="39"/>
      <c r="AP50" s="39"/>
      <c r="AQ50" s="39"/>
      <c r="AR50" s="39"/>
      <c r="AS50" s="39"/>
      <c r="AT50" s="39"/>
      <c r="AU50" s="39"/>
      <c r="AV50" s="39"/>
      <c r="AW50" s="39"/>
      <c r="AX50" s="24"/>
      <c r="AY50" s="39"/>
      <c r="AZ50" s="39"/>
      <c r="BA50" s="39"/>
      <c r="BB50" s="39"/>
      <c r="BC50" s="39"/>
      <c r="BD50" s="39"/>
      <c r="BE50" s="39"/>
      <c r="BF50" s="39"/>
      <c r="BG50" s="39"/>
      <c r="BH50" s="24"/>
      <c r="BI50" s="39"/>
      <c r="BJ50" s="39"/>
      <c r="BK50" s="39"/>
      <c r="BL50" s="39"/>
      <c r="BM50" s="39"/>
      <c r="BN50" s="39"/>
      <c r="BO50" s="39"/>
      <c r="BP50" s="39"/>
      <c r="BQ50" s="39"/>
      <c r="BR50" s="24"/>
      <c r="BS50" s="76"/>
      <c r="BT50" s="117" t="s">
        <v>287</v>
      </c>
      <c r="BU50" s="117"/>
      <c r="BV50" s="117"/>
      <c r="BW50" s="117"/>
      <c r="BX50" s="117"/>
      <c r="BY50" s="117"/>
      <c r="BZ50" s="117"/>
      <c r="CA50" s="117"/>
      <c r="CB50" s="117"/>
    </row>
    <row r="51" spans="1:80" ht="15" customHeight="1" x14ac:dyDescent="0.35">
      <c r="A51" s="39"/>
      <c r="B51" s="39"/>
      <c r="C51" s="39"/>
      <c r="D51" s="39"/>
      <c r="E51" s="39"/>
      <c r="F51" s="39"/>
      <c r="G51" s="39"/>
      <c r="H51" s="39"/>
      <c r="I51" s="39"/>
      <c r="J51" s="24"/>
      <c r="K51" s="39"/>
      <c r="L51" s="39"/>
      <c r="M51" s="39"/>
      <c r="N51" s="39"/>
      <c r="O51" s="39"/>
      <c r="P51" s="39"/>
      <c r="Q51" s="39"/>
      <c r="R51" s="39"/>
      <c r="S51" s="39"/>
      <c r="T51" s="24"/>
      <c r="U51" s="39"/>
      <c r="V51" s="39"/>
      <c r="W51" s="39"/>
      <c r="X51" s="39"/>
      <c r="Y51" s="39"/>
      <c r="Z51" s="39"/>
      <c r="AA51" s="39"/>
      <c r="AB51" s="39"/>
      <c r="AC51" s="39"/>
      <c r="AD51" s="24"/>
      <c r="AE51" s="39"/>
      <c r="AF51" s="39"/>
      <c r="AG51" s="39"/>
      <c r="AH51" s="39"/>
      <c r="AI51" s="39"/>
      <c r="AJ51" s="39"/>
      <c r="AK51" s="39"/>
      <c r="AL51" s="39"/>
      <c r="AM51" s="39"/>
      <c r="AN51" s="24"/>
      <c r="AO51" s="39"/>
      <c r="AP51" s="39"/>
      <c r="AQ51" s="39"/>
      <c r="AR51" s="39"/>
      <c r="AS51" s="39"/>
      <c r="AT51" s="39"/>
      <c r="AU51" s="39"/>
      <c r="AV51" s="39"/>
      <c r="AW51" s="39"/>
      <c r="AX51" s="24"/>
      <c r="AY51" s="39"/>
      <c r="AZ51" s="39"/>
      <c r="BA51" s="39"/>
      <c r="BB51" s="39"/>
      <c r="BC51" s="39"/>
      <c r="BD51" s="39"/>
      <c r="BE51" s="39"/>
      <c r="BF51" s="39"/>
      <c r="BG51" s="39"/>
      <c r="BH51" s="24"/>
      <c r="BI51" s="39"/>
      <c r="BJ51" s="39"/>
      <c r="BK51" s="39"/>
      <c r="BL51" s="39"/>
      <c r="BM51" s="39"/>
      <c r="BN51" s="39"/>
      <c r="BO51" s="39"/>
      <c r="BP51" s="39"/>
      <c r="BQ51" s="39"/>
      <c r="BR51" s="24"/>
      <c r="BT51" s="117"/>
      <c r="BU51" s="117"/>
      <c r="BV51" s="117"/>
      <c r="BW51" s="117"/>
      <c r="BX51" s="117"/>
      <c r="BY51" s="117"/>
      <c r="BZ51" s="117"/>
      <c r="CA51" s="117"/>
      <c r="CB51" s="117"/>
    </row>
    <row r="52" spans="1:80" ht="15" customHeight="1" x14ac:dyDescent="0.35">
      <c r="A52" s="39"/>
      <c r="B52" s="39"/>
      <c r="C52" s="39"/>
      <c r="D52" s="39"/>
      <c r="E52" s="39"/>
      <c r="F52" s="39"/>
      <c r="G52" s="39"/>
      <c r="H52" s="39"/>
      <c r="I52" s="39"/>
      <c r="J52" s="24"/>
      <c r="K52" s="39"/>
      <c r="L52" s="39"/>
      <c r="M52" s="39"/>
      <c r="N52" s="39"/>
      <c r="O52" s="39"/>
      <c r="P52" s="39"/>
      <c r="Q52" s="39"/>
      <c r="R52" s="39"/>
      <c r="S52" s="39"/>
      <c r="T52" s="24"/>
      <c r="U52" s="39"/>
      <c r="V52" s="39"/>
      <c r="W52" s="39"/>
      <c r="X52" s="39"/>
      <c r="Y52" s="39"/>
      <c r="Z52" s="39"/>
      <c r="AA52" s="39"/>
      <c r="AB52" s="39"/>
      <c r="AC52" s="39"/>
      <c r="AD52" s="24"/>
      <c r="AE52" s="39"/>
      <c r="AF52" s="39"/>
      <c r="AG52" s="39"/>
      <c r="AH52" s="39"/>
      <c r="AI52" s="39"/>
      <c r="AJ52" s="39"/>
      <c r="AK52" s="39"/>
      <c r="AL52" s="39"/>
      <c r="AM52" s="39"/>
      <c r="AN52" s="24"/>
      <c r="AO52" s="39"/>
      <c r="AP52" s="39"/>
      <c r="AQ52" s="39"/>
      <c r="AR52" s="39"/>
      <c r="AS52" s="39"/>
      <c r="AT52" s="39"/>
      <c r="AU52" s="39"/>
      <c r="AV52" s="39"/>
      <c r="AW52" s="39"/>
      <c r="AX52" s="24"/>
      <c r="AY52" s="39"/>
      <c r="AZ52" s="39"/>
      <c r="BA52" s="39"/>
      <c r="BB52" s="39"/>
      <c r="BC52" s="39"/>
      <c r="BD52" s="39"/>
      <c r="BE52" s="39"/>
      <c r="BF52" s="39"/>
      <c r="BG52" s="39"/>
      <c r="BH52" s="24"/>
      <c r="BI52" s="39"/>
      <c r="BJ52" s="39"/>
      <c r="BK52" s="39"/>
      <c r="BL52" s="39"/>
      <c r="BM52" s="39"/>
      <c r="BN52" s="39"/>
      <c r="BO52" s="39"/>
      <c r="BP52" s="39"/>
      <c r="BQ52" s="39"/>
      <c r="BR52" s="24"/>
      <c r="BS52" s="76"/>
      <c r="BT52" s="78"/>
      <c r="BU52" s="78"/>
      <c r="BV52" s="78"/>
      <c r="BW52" s="78"/>
      <c r="BX52" s="78"/>
      <c r="BY52" s="78"/>
      <c r="BZ52" s="78"/>
      <c r="CA52" s="78"/>
      <c r="CB52" s="78"/>
    </row>
    <row r="53" spans="1:80" ht="15" customHeight="1" x14ac:dyDescent="0.35">
      <c r="A53" s="39"/>
      <c r="B53" s="39"/>
      <c r="C53" s="39"/>
      <c r="D53" s="39"/>
      <c r="E53" s="39"/>
      <c r="F53" s="39"/>
      <c r="G53" s="39"/>
      <c r="H53" s="39"/>
      <c r="I53" s="39"/>
      <c r="J53" s="20"/>
      <c r="K53" s="39"/>
      <c r="L53" s="39"/>
      <c r="M53" s="39"/>
      <c r="N53" s="39"/>
      <c r="O53" s="39"/>
      <c r="P53" s="39"/>
      <c r="Q53" s="39"/>
      <c r="R53" s="39"/>
      <c r="S53" s="39"/>
      <c r="T53" s="20"/>
      <c r="U53" s="39"/>
      <c r="V53" s="39"/>
      <c r="W53" s="39"/>
      <c r="X53" s="39"/>
      <c r="Y53" s="39"/>
      <c r="Z53" s="39"/>
      <c r="AA53" s="39"/>
      <c r="AB53" s="39"/>
      <c r="AC53" s="39"/>
      <c r="AD53" s="20"/>
      <c r="AE53" s="39"/>
      <c r="AF53" s="39"/>
      <c r="AG53" s="39"/>
      <c r="AH53" s="39"/>
      <c r="AI53" s="39"/>
      <c r="AJ53" s="39"/>
      <c r="AK53" s="39"/>
      <c r="AL53" s="39"/>
      <c r="AM53" s="39"/>
      <c r="AN53" s="20"/>
      <c r="AO53" s="39"/>
      <c r="AP53" s="39"/>
      <c r="AQ53" s="39"/>
      <c r="AR53" s="39"/>
      <c r="AS53" s="39"/>
      <c r="AT53" s="39"/>
      <c r="AU53" s="39"/>
      <c r="AV53" s="39"/>
      <c r="AW53" s="39"/>
      <c r="AX53" s="20"/>
      <c r="AY53" s="39"/>
      <c r="AZ53" s="39"/>
      <c r="BA53" s="39"/>
      <c r="BB53" s="39"/>
      <c r="BC53" s="39"/>
      <c r="BD53" s="39"/>
      <c r="BE53" s="39"/>
      <c r="BF53" s="39"/>
      <c r="BG53" s="39"/>
      <c r="BH53" s="20"/>
      <c r="BI53" s="39"/>
      <c r="BJ53" s="39"/>
      <c r="BK53" s="39"/>
      <c r="BL53" s="39"/>
      <c r="BM53" s="39"/>
      <c r="BN53" s="39"/>
      <c r="BO53" s="39"/>
      <c r="BP53" s="39"/>
      <c r="BQ53" s="39"/>
      <c r="BR53" s="20"/>
      <c r="BS53" s="114" t="s">
        <v>207</v>
      </c>
      <c r="BT53" s="117" t="s">
        <v>286</v>
      </c>
      <c r="BU53" s="117"/>
      <c r="BV53" s="117"/>
      <c r="BW53" s="117"/>
      <c r="BX53" s="117"/>
      <c r="BY53" s="117"/>
      <c r="BZ53" s="117"/>
      <c r="CA53" s="117"/>
      <c r="CB53" s="117"/>
    </row>
    <row r="54" spans="1:80" ht="15" customHeight="1" x14ac:dyDescent="0.35">
      <c r="A54" s="20"/>
      <c r="B54" s="20"/>
      <c r="C54" s="20"/>
      <c r="D54" s="20"/>
      <c r="E54" s="20"/>
      <c r="F54" s="20"/>
      <c r="G54" s="20"/>
      <c r="H54" s="20"/>
      <c r="I54" s="20"/>
      <c r="J54" s="20"/>
      <c r="K54" s="21"/>
      <c r="L54" s="22"/>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114"/>
      <c r="BT54" s="117"/>
      <c r="BU54" s="117"/>
      <c r="BV54" s="117"/>
      <c r="BW54" s="117"/>
      <c r="BX54" s="117"/>
      <c r="BY54" s="117"/>
      <c r="BZ54" s="117"/>
      <c r="CA54" s="117"/>
      <c r="CB54" s="117"/>
    </row>
    <row r="55" spans="1:80" s="97" customFormat="1" ht="15" customHeight="1" x14ac:dyDescent="0.35">
      <c r="A55" s="121" t="s">
        <v>361</v>
      </c>
      <c r="B55" s="121"/>
      <c r="C55" s="121"/>
      <c r="D55" s="121"/>
      <c r="E55" s="121"/>
      <c r="F55" s="121"/>
      <c r="G55" s="121"/>
      <c r="H55" s="121"/>
      <c r="I55" s="121"/>
      <c r="J55" s="20"/>
      <c r="K55" s="121" t="s">
        <v>361</v>
      </c>
      <c r="L55" s="121"/>
      <c r="M55" s="121"/>
      <c r="N55" s="121"/>
      <c r="O55" s="121"/>
      <c r="P55" s="121"/>
      <c r="Q55" s="121"/>
      <c r="R55" s="121"/>
      <c r="S55" s="121"/>
      <c r="T55" s="20"/>
      <c r="U55" s="121" t="s">
        <v>361</v>
      </c>
      <c r="V55" s="121"/>
      <c r="W55" s="121"/>
      <c r="X55" s="121"/>
      <c r="Y55" s="121"/>
      <c r="Z55" s="121"/>
      <c r="AA55" s="121"/>
      <c r="AB55" s="121"/>
      <c r="AC55" s="121"/>
      <c r="AD55" s="20"/>
      <c r="AE55" s="121" t="s">
        <v>361</v>
      </c>
      <c r="AF55" s="121"/>
      <c r="AG55" s="121"/>
      <c r="AH55" s="121"/>
      <c r="AI55" s="121"/>
      <c r="AJ55" s="121"/>
      <c r="AK55" s="121"/>
      <c r="AL55" s="121"/>
      <c r="AM55" s="121"/>
      <c r="AN55" s="20"/>
      <c r="AO55" s="121" t="s">
        <v>361</v>
      </c>
      <c r="AP55" s="121"/>
      <c r="AQ55" s="121"/>
      <c r="AR55" s="121"/>
      <c r="AS55" s="121"/>
      <c r="AT55" s="121"/>
      <c r="AU55" s="121"/>
      <c r="AV55" s="121"/>
      <c r="AW55" s="121"/>
      <c r="AX55" s="20"/>
      <c r="AY55" s="121" t="s">
        <v>361</v>
      </c>
      <c r="AZ55" s="121"/>
      <c r="BA55" s="121"/>
      <c r="BB55" s="121"/>
      <c r="BC55" s="121"/>
      <c r="BD55" s="121"/>
      <c r="BE55" s="121"/>
      <c r="BF55" s="121"/>
      <c r="BG55" s="121"/>
      <c r="BH55" s="20"/>
      <c r="BI55" s="121" t="s">
        <v>361</v>
      </c>
      <c r="BJ55" s="121"/>
      <c r="BK55" s="121"/>
      <c r="BL55" s="121"/>
      <c r="BM55" s="121"/>
      <c r="BN55" s="121"/>
      <c r="BO55" s="121"/>
      <c r="BP55" s="121"/>
      <c r="BQ55" s="121"/>
      <c r="BR55" s="20"/>
      <c r="BS55" s="18"/>
      <c r="BT55" s="72"/>
      <c r="BU55" s="72"/>
      <c r="BV55" s="72"/>
      <c r="BW55" s="72"/>
      <c r="BX55" s="72"/>
      <c r="BY55" s="72"/>
      <c r="BZ55" s="72"/>
      <c r="CA55" s="72"/>
      <c r="CB55" s="72"/>
    </row>
    <row r="56" spans="1:80" ht="15" customHeight="1" x14ac:dyDescent="0.35">
      <c r="A56" s="125" t="str">
        <f>IF(COUNTIF(A58:I90,"BLANK"),"BLANK",IF(COUNTIF(A58:I90,"REJECT"),"REJECT",IF(COUNTIF(A58:I90,"CHECK"),"CHECK","EQ")))</f>
        <v>BLANK</v>
      </c>
      <c r="B56" s="125"/>
      <c r="C56" s="125" t="s">
        <v>29</v>
      </c>
      <c r="D56" s="125"/>
      <c r="E56" s="125"/>
      <c r="F56" s="125"/>
      <c r="G56" s="125"/>
      <c r="H56" s="125"/>
      <c r="I56" s="125"/>
      <c r="K56" s="125" t="str">
        <f>IF(COUNTIF(K61:S82,"BLANK"),"BLANK",IF(COUNTIF(K61:S82,"REJECT"),"REJECT",IF(COUNTIF(K61:S82,"CHECK"),"CHECK","EQ")))</f>
        <v>BLANK</v>
      </c>
      <c r="L56" s="125"/>
      <c r="M56" s="125" t="s">
        <v>50</v>
      </c>
      <c r="N56" s="125"/>
      <c r="O56" s="125"/>
      <c r="P56" s="125"/>
      <c r="Q56" s="125"/>
      <c r="R56" s="125"/>
      <c r="S56" s="125"/>
      <c r="U56" s="125" t="str">
        <f>IF(COUNTIF(U82:AC112,"BLANK"),"BLANK",IF(COUNTIF(U82:AC112,"REJECT"),"REJECT",IF(COUNTIF(U82:AC112,"CHECK"),"CHECK","EQ")))</f>
        <v>BLANK</v>
      </c>
      <c r="V56" s="125"/>
      <c r="W56" s="125" t="s">
        <v>40</v>
      </c>
      <c r="X56" s="125"/>
      <c r="Y56" s="125"/>
      <c r="Z56" s="125"/>
      <c r="AA56" s="125"/>
      <c r="AB56" s="125"/>
      <c r="AC56" s="125"/>
      <c r="AE56" s="125" t="str">
        <f>IF(COUNTIF(AE64:AM77,"BLANK"),"BLANK",IF(COUNTIF(AE64:AM77,"REJECT"),"REJECT",IF(COUNTIF(AE64:AM77,"CHECK"),"CHECK","EQ")))</f>
        <v>BLANK</v>
      </c>
      <c r="AF56" s="125"/>
      <c r="AG56" s="125" t="s">
        <v>76</v>
      </c>
      <c r="AH56" s="125"/>
      <c r="AI56" s="125"/>
      <c r="AJ56" s="125"/>
      <c r="AK56" s="125"/>
      <c r="AL56" s="125"/>
      <c r="AM56" s="125"/>
      <c r="AO56" s="125" t="str">
        <f>IF(COUNTIF(AO69:AW118,"BLANK"),"BLANK",IF(COUNTIF(AO69:AW118,"REJECT"),"REJECT",IF(COUNTIF(AO69:AW118,"CHECK"),"CHECK","EQ")))</f>
        <v>BLANK</v>
      </c>
      <c r="AP56" s="125"/>
      <c r="AQ56" s="125" t="s">
        <v>90</v>
      </c>
      <c r="AR56" s="125"/>
      <c r="AS56" s="125"/>
      <c r="AT56" s="125"/>
      <c r="AU56" s="125"/>
      <c r="AV56" s="125"/>
      <c r="AW56" s="125"/>
      <c r="AY56" s="125" t="str">
        <f>IF(COUNTIF(AY77:BG98,"BLANK"),"BLANK",IF(COUNTIF(AY77:BG98,"REJECT"),"REJECT",IF(COUNTIF(AY77:BG98,"CHECK"),"CHECK","EQ")))</f>
        <v>BLANK</v>
      </c>
      <c r="AZ56" s="125"/>
      <c r="BA56" s="125" t="s">
        <v>116</v>
      </c>
      <c r="BB56" s="125"/>
      <c r="BC56" s="125"/>
      <c r="BD56" s="125"/>
      <c r="BE56" s="125"/>
      <c r="BF56" s="125"/>
      <c r="BG56" s="125"/>
      <c r="BI56" s="125" t="str">
        <f>IF(COUNTIF(BI70:BQ85,"BLANK"),"BLANK",IF(COUNTIF(BI70:BQ85,"REJECT"),"REJECT",IF(COUNTIF(BI70:BQ85,"CHECK"),"CHECK","EQ")))</f>
        <v>BLANK</v>
      </c>
      <c r="BJ56" s="125"/>
      <c r="BK56" s="125" t="s">
        <v>144</v>
      </c>
      <c r="BL56" s="125"/>
      <c r="BM56" s="125"/>
      <c r="BN56" s="125"/>
      <c r="BO56" s="125"/>
      <c r="BP56" s="125"/>
      <c r="BQ56" s="125"/>
      <c r="BS56" s="74" t="s">
        <v>235</v>
      </c>
      <c r="BT56" s="72" t="s">
        <v>209</v>
      </c>
      <c r="BU56" s="72"/>
      <c r="BV56" s="72"/>
      <c r="BW56" s="72"/>
      <c r="BX56" s="72"/>
      <c r="BY56" s="72"/>
      <c r="BZ56" s="72"/>
      <c r="CA56" s="72"/>
      <c r="CB56" s="72"/>
    </row>
    <row r="57" spans="1:80" ht="15" customHeight="1" x14ac:dyDescent="0.35">
      <c r="A57" s="125"/>
      <c r="B57" s="125"/>
      <c r="C57" s="125"/>
      <c r="D57" s="125"/>
      <c r="E57" s="125"/>
      <c r="F57" s="125"/>
      <c r="G57" s="125"/>
      <c r="H57" s="125"/>
      <c r="I57" s="125"/>
      <c r="K57" s="125"/>
      <c r="L57" s="125"/>
      <c r="M57" s="125"/>
      <c r="N57" s="125"/>
      <c r="O57" s="125"/>
      <c r="P57" s="125"/>
      <c r="Q57" s="125"/>
      <c r="R57" s="125"/>
      <c r="S57" s="125"/>
      <c r="U57" s="125"/>
      <c r="V57" s="125"/>
      <c r="W57" s="125"/>
      <c r="X57" s="125"/>
      <c r="Y57" s="125"/>
      <c r="Z57" s="125"/>
      <c r="AA57" s="125"/>
      <c r="AB57" s="125"/>
      <c r="AC57" s="125"/>
      <c r="AE57" s="125"/>
      <c r="AF57" s="125"/>
      <c r="AG57" s="125"/>
      <c r="AH57" s="125"/>
      <c r="AI57" s="125"/>
      <c r="AJ57" s="125"/>
      <c r="AK57" s="125"/>
      <c r="AL57" s="125"/>
      <c r="AM57" s="125"/>
      <c r="AO57" s="125"/>
      <c r="AP57" s="125"/>
      <c r="AQ57" s="125"/>
      <c r="AR57" s="125"/>
      <c r="AS57" s="125"/>
      <c r="AT57" s="125"/>
      <c r="AU57" s="125"/>
      <c r="AV57" s="125"/>
      <c r="AW57" s="125"/>
      <c r="AY57" s="125"/>
      <c r="AZ57" s="125"/>
      <c r="BA57" s="125"/>
      <c r="BB57" s="125"/>
      <c r="BC57" s="125"/>
      <c r="BD57" s="125"/>
      <c r="BE57" s="125"/>
      <c r="BF57" s="125"/>
      <c r="BG57" s="125"/>
      <c r="BI57" s="125"/>
      <c r="BJ57" s="125"/>
      <c r="BK57" s="125"/>
      <c r="BL57" s="125"/>
      <c r="BM57" s="125"/>
      <c r="BN57" s="125"/>
      <c r="BO57" s="125"/>
      <c r="BP57" s="125"/>
      <c r="BQ57" s="125"/>
      <c r="BS57" s="74"/>
      <c r="BT57" s="117" t="s">
        <v>283</v>
      </c>
      <c r="BU57" s="117"/>
      <c r="BV57" s="117"/>
      <c r="BW57" s="117"/>
      <c r="BX57" s="117"/>
      <c r="BY57" s="117"/>
      <c r="BZ57" s="117"/>
      <c r="CA57" s="117"/>
      <c r="CB57" s="117"/>
    </row>
    <row r="58" spans="1:80" ht="15" customHeight="1" thickBot="1" x14ac:dyDescent="0.4">
      <c r="A58" s="108" t="str">
        <f>IF(COUNTIF(I59:I60,"BLANK"),"BLANK",IF(COUNTIF(I59:I60,"REJECT"),"REJECT",IF(COUNTIF(I59:I60,"CHECK"),"CHECK","EQ")))</f>
        <v>BLANK</v>
      </c>
      <c r="B58" s="108"/>
      <c r="C58" s="108"/>
      <c r="D58" s="108"/>
      <c r="E58" s="108"/>
      <c r="F58" s="108"/>
      <c r="G58" s="108"/>
      <c r="H58" s="108"/>
      <c r="I58" s="108"/>
      <c r="K58" s="109" t="s">
        <v>51</v>
      </c>
      <c r="L58" s="109"/>
      <c r="M58" s="109"/>
      <c r="N58" s="109"/>
      <c r="O58" s="109"/>
      <c r="P58" s="109"/>
      <c r="Q58" s="109"/>
      <c r="R58" s="109"/>
      <c r="S58" s="109"/>
      <c r="U58" s="125" t="s">
        <v>41</v>
      </c>
      <c r="V58" s="125"/>
      <c r="W58" s="125"/>
      <c r="X58" s="125"/>
      <c r="Y58" s="125"/>
      <c r="Z58" s="125"/>
      <c r="AA58" s="125"/>
      <c r="AB58" s="125"/>
      <c r="AC58" s="125"/>
      <c r="AE58" s="109" t="s">
        <v>77</v>
      </c>
      <c r="AF58" s="109"/>
      <c r="AG58" s="109"/>
      <c r="AH58" s="109"/>
      <c r="AI58" s="109"/>
      <c r="AJ58" s="109"/>
      <c r="AK58" s="109"/>
      <c r="AL58" s="109"/>
      <c r="AM58" s="109"/>
      <c r="AO58" s="125" t="s">
        <v>89</v>
      </c>
      <c r="AP58" s="125"/>
      <c r="AQ58" s="125"/>
      <c r="AR58" s="125"/>
      <c r="AS58" s="125"/>
      <c r="AT58" s="125"/>
      <c r="AU58" s="125"/>
      <c r="AV58" s="125"/>
      <c r="AW58" s="125"/>
      <c r="AY58" s="125" t="s">
        <v>117</v>
      </c>
      <c r="AZ58" s="125"/>
      <c r="BA58" s="125"/>
      <c r="BB58" s="125"/>
      <c r="BC58" s="125"/>
      <c r="BD58" s="125"/>
      <c r="BE58" s="125"/>
      <c r="BF58" s="125"/>
      <c r="BG58" s="125"/>
      <c r="BI58" s="125" t="s">
        <v>136</v>
      </c>
      <c r="BJ58" s="125"/>
      <c r="BK58" s="125"/>
      <c r="BL58" s="125"/>
      <c r="BM58" s="125"/>
      <c r="BN58" s="125"/>
      <c r="BO58" s="125"/>
      <c r="BP58" s="125"/>
      <c r="BQ58" s="125"/>
      <c r="BS58" s="75"/>
      <c r="BT58" s="117"/>
      <c r="BU58" s="117"/>
      <c r="BV58" s="117"/>
      <c r="BW58" s="117"/>
      <c r="BX58" s="117"/>
      <c r="BY58" s="117"/>
      <c r="BZ58" s="117"/>
      <c r="CA58" s="117"/>
      <c r="CB58" s="117"/>
    </row>
    <row r="59" spans="1:80" ht="15" customHeight="1" thickBot="1" x14ac:dyDescent="0.4">
      <c r="A59" s="1" t="s">
        <v>27</v>
      </c>
      <c r="B59" s="105" t="s">
        <v>28</v>
      </c>
      <c r="C59" s="105"/>
      <c r="D59" s="105"/>
      <c r="E59" s="105"/>
      <c r="F59" s="106"/>
      <c r="G59" s="7" t="s">
        <v>355</v>
      </c>
      <c r="I59" s="5" t="str">
        <f>IF(OR(G59="Steel",G59="Aluminum"),"EQ","CHECK")</f>
        <v>EQ</v>
      </c>
      <c r="K59" s="109" t="s">
        <v>52</v>
      </c>
      <c r="L59" s="109"/>
      <c r="M59" s="109"/>
      <c r="N59" s="109"/>
      <c r="O59" s="109"/>
      <c r="P59" s="109"/>
      <c r="Q59" s="109"/>
      <c r="R59" s="109"/>
      <c r="S59" s="109"/>
      <c r="U59" s="125"/>
      <c r="V59" s="125"/>
      <c r="W59" s="125"/>
      <c r="X59" s="125"/>
      <c r="Y59" s="125"/>
      <c r="Z59" s="125"/>
      <c r="AA59" s="125"/>
      <c r="AB59" s="125"/>
      <c r="AC59" s="125"/>
      <c r="AE59" s="104" t="s">
        <v>78</v>
      </c>
      <c r="AF59" s="109"/>
      <c r="AG59" s="109"/>
      <c r="AH59" s="109"/>
      <c r="AI59" s="109"/>
      <c r="AJ59" s="109"/>
      <c r="AK59" s="109"/>
      <c r="AL59" s="109"/>
      <c r="AM59" s="109"/>
      <c r="AN59" s="8"/>
      <c r="AO59" s="125"/>
      <c r="AP59" s="125"/>
      <c r="AQ59" s="125"/>
      <c r="AR59" s="125"/>
      <c r="AS59" s="125"/>
      <c r="AT59" s="125"/>
      <c r="AU59" s="125"/>
      <c r="AV59" s="125"/>
      <c r="AW59" s="125"/>
      <c r="AY59" s="125"/>
      <c r="AZ59" s="125"/>
      <c r="BA59" s="125"/>
      <c r="BB59" s="125"/>
      <c r="BC59" s="125"/>
      <c r="BD59" s="125"/>
      <c r="BE59" s="125"/>
      <c r="BF59" s="125"/>
      <c r="BG59" s="125"/>
      <c r="BI59" s="125"/>
      <c r="BJ59" s="125"/>
      <c r="BK59" s="125"/>
      <c r="BL59" s="125"/>
      <c r="BM59" s="125"/>
      <c r="BN59" s="125"/>
      <c r="BO59" s="125"/>
      <c r="BP59" s="125"/>
      <c r="BQ59" s="125"/>
      <c r="BS59" s="97"/>
      <c r="BT59" s="96"/>
      <c r="BU59" s="96"/>
      <c r="BV59" s="96"/>
      <c r="BW59" s="96"/>
      <c r="BX59" s="96"/>
      <c r="BY59" s="96"/>
      <c r="BZ59" s="96"/>
      <c r="CA59" s="96"/>
      <c r="CB59" s="96"/>
    </row>
    <row r="60" spans="1:80" ht="15" customHeight="1" x14ac:dyDescent="0.35">
      <c r="B60" s="105" t="s">
        <v>367</v>
      </c>
      <c r="C60" s="105"/>
      <c r="D60" s="105"/>
      <c r="E60" s="105"/>
      <c r="F60" s="107"/>
      <c r="G60" s="9"/>
      <c r="H60" s="2" t="str">
        <f>IF($C$25="mm","mm","in")</f>
        <v>in</v>
      </c>
      <c r="I60" s="5" t="str">
        <f>IF(G60="","BLANK",IF($C$25="mm",IF(AND(G59="Steel",G60&gt;=1.5),"EQ",IF(AND(G59="Aluminum",G60&gt;=4),"EQ",IF(G59="Other","CHECK","REJECT"))),
IF(AND(G59="Steel",G60&gt;=0.06),"EQ",IF(AND(G59="Aluminum",G60&gt;=0.157),"EQ",IF(G59="Other","CHECK","REJECT")))))</f>
        <v>BLANK</v>
      </c>
      <c r="U60" s="109" t="s">
        <v>63</v>
      </c>
      <c r="V60" s="109"/>
      <c r="W60" s="109"/>
      <c r="X60" s="109"/>
      <c r="Y60" s="109"/>
      <c r="Z60" s="109"/>
      <c r="AA60" s="109"/>
      <c r="AB60" s="109"/>
      <c r="AC60" s="109"/>
      <c r="AE60" s="109"/>
      <c r="AF60" s="109"/>
      <c r="AG60" s="109"/>
      <c r="AH60" s="109"/>
      <c r="AI60" s="109"/>
      <c r="AJ60" s="109"/>
      <c r="AK60" s="109"/>
      <c r="AL60" s="109"/>
      <c r="AM60" s="109"/>
      <c r="AN60" s="8"/>
      <c r="AO60" s="109" t="s">
        <v>107</v>
      </c>
      <c r="AP60" s="109"/>
      <c r="AQ60" s="109"/>
      <c r="AR60" s="109"/>
      <c r="AS60" s="109"/>
      <c r="AT60" s="109"/>
      <c r="AU60" s="109"/>
      <c r="AV60" s="109"/>
      <c r="AW60" s="109"/>
      <c r="AY60" s="109" t="s">
        <v>120</v>
      </c>
      <c r="AZ60" s="109"/>
      <c r="BA60" s="109"/>
      <c r="BB60" s="109"/>
      <c r="BC60" s="109"/>
      <c r="BD60" s="109"/>
      <c r="BE60" s="109"/>
      <c r="BF60" s="109"/>
      <c r="BG60" s="109"/>
      <c r="BI60" s="109" t="s">
        <v>362</v>
      </c>
      <c r="BJ60" s="109"/>
      <c r="BK60" s="109"/>
      <c r="BL60" s="109"/>
      <c r="BM60" s="109"/>
      <c r="BN60" s="109"/>
      <c r="BO60" s="109"/>
      <c r="BP60" s="109"/>
      <c r="BQ60" s="109"/>
      <c r="BS60" s="18"/>
      <c r="BT60" s="115" t="s">
        <v>210</v>
      </c>
      <c r="BU60" s="115"/>
      <c r="BV60" s="115"/>
      <c r="BW60" s="115"/>
      <c r="BX60" s="115"/>
      <c r="BY60" s="115"/>
      <c r="BZ60" s="115"/>
      <c r="CA60" s="115"/>
      <c r="CB60" s="115"/>
    </row>
    <row r="61" spans="1:80" ht="15" customHeight="1" thickBot="1" x14ac:dyDescent="0.4">
      <c r="A61" s="109"/>
      <c r="B61" s="109"/>
      <c r="C61" s="109"/>
      <c r="D61" s="109"/>
      <c r="E61" s="109"/>
      <c r="F61" s="109"/>
      <c r="G61" s="109"/>
      <c r="H61" s="109"/>
      <c r="I61" s="109"/>
      <c r="K61" s="108" t="str">
        <f>IF(COUNTIF(S62:S64,"BLANK"),"BLANK",IF(COUNTIF(S62:S64,"REJECT"),"REJECT",IF(COUNTIF(S62:S64,"CHECK"),"CHECK","EQ")))</f>
        <v>BLANK</v>
      </c>
      <c r="L61" s="108"/>
      <c r="M61" s="108"/>
      <c r="N61" s="108"/>
      <c r="O61" s="108"/>
      <c r="P61" s="108"/>
      <c r="Q61" s="108"/>
      <c r="R61" s="108"/>
      <c r="S61" s="108"/>
      <c r="U61" s="158" t="s">
        <v>65</v>
      </c>
      <c r="V61" s="104" t="s">
        <v>69</v>
      </c>
      <c r="W61" s="104"/>
      <c r="X61" s="104"/>
      <c r="Y61" s="104"/>
      <c r="Z61" s="104"/>
      <c r="AA61" s="104"/>
      <c r="AB61" s="104"/>
      <c r="AC61" s="104"/>
      <c r="AE61" s="104" t="s">
        <v>79</v>
      </c>
      <c r="AF61" s="104"/>
      <c r="AG61" s="104"/>
      <c r="AH61" s="104"/>
      <c r="AI61" s="104"/>
      <c r="AJ61" s="104"/>
      <c r="AK61" s="104"/>
      <c r="AL61" s="104"/>
      <c r="AM61" s="104"/>
      <c r="AN61" s="10"/>
      <c r="AO61" s="109" t="s">
        <v>92</v>
      </c>
      <c r="AP61" s="109"/>
      <c r="AQ61" s="109"/>
      <c r="AR61" s="109"/>
      <c r="AS61" s="109"/>
      <c r="AT61" s="109"/>
      <c r="AU61" s="109"/>
      <c r="AV61" s="109"/>
      <c r="AW61" s="109"/>
      <c r="AY61" s="109" t="s">
        <v>156</v>
      </c>
      <c r="AZ61" s="109"/>
      <c r="BA61" s="109"/>
      <c r="BB61" s="109"/>
      <c r="BC61" s="109"/>
      <c r="BD61" s="109"/>
      <c r="BE61" s="109"/>
      <c r="BF61" s="109"/>
      <c r="BG61" s="109"/>
      <c r="BI61" s="162" t="s">
        <v>363</v>
      </c>
      <c r="BJ61" s="109"/>
      <c r="BK61" s="109"/>
      <c r="BL61" s="109"/>
      <c r="BM61" s="109"/>
      <c r="BN61" s="109"/>
      <c r="BO61" s="109"/>
      <c r="BP61" s="109"/>
      <c r="BQ61" s="109"/>
      <c r="BS61" s="18"/>
      <c r="BT61" s="18"/>
      <c r="BU61" s="18"/>
      <c r="BV61" s="18"/>
      <c r="BW61" s="18"/>
      <c r="BX61" s="18"/>
      <c r="BY61" s="18"/>
      <c r="BZ61" s="18"/>
      <c r="CA61" s="18"/>
      <c r="CB61" s="18"/>
    </row>
    <row r="62" spans="1:80" ht="15" customHeight="1" thickBot="1" x14ac:dyDescent="0.4">
      <c r="A62" s="104" t="s">
        <v>240</v>
      </c>
      <c r="B62" s="104"/>
      <c r="C62" s="104"/>
      <c r="D62" s="104"/>
      <c r="E62" s="104"/>
      <c r="F62" s="104"/>
      <c r="G62" s="104"/>
      <c r="H62" s="104"/>
      <c r="I62" s="104"/>
      <c r="K62" s="1" t="s">
        <v>60</v>
      </c>
      <c r="L62" s="105" t="s">
        <v>72</v>
      </c>
      <c r="M62" s="105"/>
      <c r="N62" s="105"/>
      <c r="O62" s="105"/>
      <c r="P62" s="107"/>
      <c r="Q62" s="7" t="s">
        <v>280</v>
      </c>
      <c r="S62" s="5" t="s">
        <v>196</v>
      </c>
      <c r="U62" s="158"/>
      <c r="V62" s="104"/>
      <c r="W62" s="104"/>
      <c r="X62" s="104"/>
      <c r="Y62" s="104"/>
      <c r="Z62" s="104"/>
      <c r="AA62" s="104"/>
      <c r="AB62" s="104"/>
      <c r="AC62" s="104"/>
      <c r="AE62" s="104"/>
      <c r="AF62" s="104"/>
      <c r="AG62" s="104"/>
      <c r="AH62" s="104"/>
      <c r="AI62" s="104"/>
      <c r="AJ62" s="104"/>
      <c r="AK62" s="104"/>
      <c r="AL62" s="104"/>
      <c r="AM62" s="104"/>
      <c r="AN62" s="10"/>
      <c r="AO62" s="109" t="s">
        <v>173</v>
      </c>
      <c r="AP62" s="109"/>
      <c r="AQ62" s="109"/>
      <c r="AR62" s="109"/>
      <c r="AS62" s="109"/>
      <c r="AT62" s="109"/>
      <c r="AU62" s="109"/>
      <c r="AV62" s="109"/>
      <c r="AW62" s="109"/>
      <c r="AX62" s="109"/>
      <c r="AY62" s="109" t="s">
        <v>121</v>
      </c>
      <c r="AZ62" s="109"/>
      <c r="BA62" s="109"/>
      <c r="BB62" s="109"/>
      <c r="BC62" s="109"/>
      <c r="BD62" s="109"/>
      <c r="BE62" s="109"/>
      <c r="BF62" s="109"/>
      <c r="BG62" s="109"/>
      <c r="BI62" s="109" t="s">
        <v>149</v>
      </c>
      <c r="BJ62" s="109"/>
      <c r="BK62" s="109"/>
      <c r="BL62" s="109"/>
      <c r="BM62" s="109"/>
      <c r="BN62" s="109"/>
      <c r="BO62" s="109"/>
      <c r="BP62" s="109"/>
      <c r="BQ62" s="109"/>
      <c r="BS62" s="74" t="s">
        <v>234</v>
      </c>
      <c r="BT62" s="117" t="s">
        <v>227</v>
      </c>
      <c r="BU62" s="117"/>
      <c r="BV62" s="117"/>
      <c r="BW62" s="117"/>
      <c r="BX62" s="117"/>
      <c r="BY62" s="117"/>
      <c r="BZ62" s="117"/>
      <c r="CA62" s="117"/>
      <c r="CB62" s="117"/>
    </row>
    <row r="63" spans="1:80" ht="15" customHeight="1" x14ac:dyDescent="0.35">
      <c r="A63" s="104"/>
      <c r="B63" s="104"/>
      <c r="C63" s="104"/>
      <c r="D63" s="104"/>
      <c r="E63" s="104"/>
      <c r="F63" s="104"/>
      <c r="G63" s="104"/>
      <c r="H63" s="104"/>
      <c r="I63" s="104"/>
      <c r="L63" s="105" t="s">
        <v>33</v>
      </c>
      <c r="M63" s="105"/>
      <c r="N63" s="105"/>
      <c r="O63" s="105"/>
      <c r="P63" s="107"/>
      <c r="Q63" s="11"/>
      <c r="R63" s="2" t="str">
        <f>IF($C$25="mm","mm","in")</f>
        <v>in</v>
      </c>
      <c r="S63" s="5" t="str">
        <f>IF(Q63="","BLANK",IF($C$25="mm",IF(Q63&gt;=2,"EQ","REJECT"),IF(Q63&gt;=0.079,"EQ","REJECT")))</f>
        <v>BLANK</v>
      </c>
      <c r="U63" s="158" t="s">
        <v>66</v>
      </c>
      <c r="V63" s="104" t="s">
        <v>68</v>
      </c>
      <c r="W63" s="104"/>
      <c r="X63" s="104"/>
      <c r="Y63" s="104"/>
      <c r="Z63" s="104"/>
      <c r="AA63" s="104"/>
      <c r="AB63" s="104"/>
      <c r="AC63" s="104"/>
      <c r="AN63" s="10"/>
      <c r="BS63" s="74"/>
      <c r="BT63" s="117"/>
      <c r="BU63" s="117"/>
      <c r="BV63" s="117"/>
      <c r="BW63" s="117"/>
      <c r="BX63" s="117"/>
      <c r="BY63" s="117"/>
      <c r="BZ63" s="117"/>
      <c r="CA63" s="117"/>
      <c r="CB63" s="117"/>
    </row>
    <row r="64" spans="1:80" ht="15" customHeight="1" x14ac:dyDescent="0.35">
      <c r="A64" s="104"/>
      <c r="B64" s="104"/>
      <c r="C64" s="104"/>
      <c r="D64" s="104"/>
      <c r="E64" s="104"/>
      <c r="F64" s="104"/>
      <c r="G64" s="104"/>
      <c r="H64" s="104"/>
      <c r="I64" s="104"/>
      <c r="K64" s="2"/>
      <c r="L64" s="105" t="str">
        <f>IF(Q62="Round","Outer Diameter (OD):","Square side:")</f>
        <v>Square side:</v>
      </c>
      <c r="M64" s="105"/>
      <c r="N64" s="105"/>
      <c r="O64" s="105"/>
      <c r="P64" s="105"/>
      <c r="Q64" s="11"/>
      <c r="R64" s="2" t="str">
        <f>IF($C$25="mm","mm","in")</f>
        <v>in</v>
      </c>
      <c r="S64" s="5" t="str">
        <f>IF(OR(Q63="",Q64=""),"BLANK",
IF(AND($C$25="mm",OR(AND(Q62="Square",Q64&gt;=25,Q64&gt;(PI()*(12.7^2-(12.7-2.4)^2)+4*Q63^2)/(4*Q63)),AND(Q64&gt;=25,Q64&gt;=Q63+(12.7^2-(12.7-2.4)^2)/Q63))),"EQ",
IF(AND($C$25="INCH",OR(AND(Q62="Square",Q64&gt;=0.984,Q64&gt;(PI()*(0.5^2-(0.5-0.094)^2)+4*Q63^2)/(4*Q63)),AND(Q64&gt;=0.984,Q64&gt;=Q63+(0.5^2-(0.5-0.094)^2)/Q63))),"EQ","REJECT")))</f>
        <v>BLANK</v>
      </c>
      <c r="U64" s="158"/>
      <c r="V64" s="104"/>
      <c r="W64" s="104"/>
      <c r="X64" s="104"/>
      <c r="Y64" s="104"/>
      <c r="Z64" s="104"/>
      <c r="AA64" s="104"/>
      <c r="AB64" s="104"/>
      <c r="AC64" s="104"/>
      <c r="AE64" s="108" t="str">
        <f>IF(COUNTIF(AM65:AM66,"BLANK"),"BLANK",IF(COUNTIF(AM65:AM66,"REJECT"),"REJECT",IF(COUNTIF(AM65:AM66,"CHECK"),"CHECK - DOWNLOAD MONOCOQUE SES, COPY AND PASTE 3-POINT AND SHEAR TEST TABS","EQ")))</f>
        <v>BLANK</v>
      </c>
      <c r="AF64" s="108"/>
      <c r="AG64" s="108"/>
      <c r="AH64" s="108"/>
      <c r="AI64" s="108"/>
      <c r="AJ64" s="108"/>
      <c r="AK64" s="108"/>
      <c r="AL64" s="108"/>
      <c r="AM64" s="108"/>
      <c r="AN64" s="10"/>
      <c r="AO64" s="109" t="s">
        <v>108</v>
      </c>
      <c r="AP64" s="109"/>
      <c r="AQ64" s="109"/>
      <c r="AR64" s="109"/>
      <c r="AS64" s="109"/>
      <c r="AT64" s="109"/>
      <c r="AU64" s="109"/>
      <c r="AV64" s="109"/>
      <c r="AW64" s="109"/>
      <c r="AY64" s="109" t="s">
        <v>122</v>
      </c>
      <c r="AZ64" s="109"/>
      <c r="BA64" s="109"/>
      <c r="BB64" s="109"/>
      <c r="BC64" s="109"/>
      <c r="BD64" s="109"/>
      <c r="BE64" s="109"/>
      <c r="BF64" s="109"/>
      <c r="BG64" s="109"/>
      <c r="BI64" s="109" t="s">
        <v>147</v>
      </c>
      <c r="BJ64" s="109"/>
      <c r="BK64" s="109"/>
      <c r="BL64" s="109"/>
      <c r="BM64" s="109"/>
      <c r="BN64" s="109"/>
      <c r="BO64" s="109"/>
      <c r="BP64" s="109"/>
      <c r="BQ64" s="109"/>
      <c r="BS64" s="18"/>
      <c r="BT64" s="41" t="s">
        <v>288</v>
      </c>
      <c r="BU64" s="18"/>
      <c r="BV64" s="18"/>
      <c r="BW64" s="18"/>
      <c r="BX64" s="18"/>
      <c r="BY64" s="18"/>
      <c r="BZ64" s="18"/>
      <c r="CA64" s="18"/>
      <c r="CB64" s="18"/>
    </row>
    <row r="65" spans="1:80" ht="15" customHeight="1" x14ac:dyDescent="0.35">
      <c r="A65" s="109"/>
      <c r="B65" s="109"/>
      <c r="C65" s="109"/>
      <c r="D65" s="109"/>
      <c r="E65" s="109"/>
      <c r="F65" s="109"/>
      <c r="G65" s="109"/>
      <c r="H65" s="109"/>
      <c r="I65" s="109"/>
      <c r="K65" s="2"/>
      <c r="L65" s="4"/>
      <c r="M65" s="4"/>
      <c r="N65" s="4"/>
      <c r="O65" s="4"/>
      <c r="P65" s="4"/>
      <c r="Q65" s="5"/>
      <c r="S65" s="5"/>
      <c r="T65" s="10"/>
      <c r="U65" s="131" t="s">
        <v>67</v>
      </c>
      <c r="V65" s="104" t="s">
        <v>328</v>
      </c>
      <c r="W65" s="104"/>
      <c r="X65" s="104"/>
      <c r="Y65" s="104"/>
      <c r="Z65" s="104"/>
      <c r="AA65" s="104"/>
      <c r="AB65" s="104"/>
      <c r="AC65" s="104"/>
      <c r="AE65" s="1" t="s">
        <v>81</v>
      </c>
      <c r="AF65" s="105" t="str">
        <f>IF($C$25="mm","Lowest point of Upper SIS at ride height &gt;=300mm:","Lowest point of Upper SIS at ride height &gt;=11.8in:")</f>
        <v>Lowest point of Upper SIS at ride height &gt;=11.8in:</v>
      </c>
      <c r="AG65" s="105"/>
      <c r="AH65" s="105"/>
      <c r="AI65" s="105"/>
      <c r="AJ65" s="105"/>
      <c r="AK65" s="11"/>
      <c r="AL65" s="2" t="str">
        <f>IF($C$25="mm","mm","in")</f>
        <v>in</v>
      </c>
      <c r="AM65" s="5" t="str">
        <f>IF(AK65="","BLANK",IF(OR(AND($C$25="mm",AK65&gt;=300,AK65&lt;=350),AND($C$25="Inch",AK65&gt;=11.8,AK65&lt;=13.8)),"EQ","REJECT"))</f>
        <v>BLANK</v>
      </c>
      <c r="AN65" s="10"/>
      <c r="AO65" s="109" t="s">
        <v>109</v>
      </c>
      <c r="AP65" s="109"/>
      <c r="AQ65" s="109"/>
      <c r="AR65" s="109"/>
      <c r="AS65" s="109"/>
      <c r="AT65" s="109"/>
      <c r="AU65" s="109"/>
      <c r="AV65" s="109"/>
      <c r="AW65" s="109"/>
      <c r="AY65" s="163" t="s">
        <v>123</v>
      </c>
      <c r="AZ65" s="162"/>
      <c r="BA65" s="162"/>
      <c r="BB65" s="162"/>
      <c r="BC65" s="162"/>
      <c r="BD65" s="162"/>
      <c r="BE65" s="162"/>
      <c r="BF65" s="162"/>
      <c r="BG65" s="162"/>
      <c r="BI65" s="109" t="s">
        <v>120</v>
      </c>
      <c r="BJ65" s="109"/>
      <c r="BK65" s="109"/>
      <c r="BL65" s="109"/>
      <c r="BM65" s="109"/>
      <c r="BN65" s="109"/>
      <c r="BO65" s="109"/>
      <c r="BP65" s="109"/>
      <c r="BQ65" s="109"/>
      <c r="BS65" s="18"/>
      <c r="BT65" s="18"/>
      <c r="BU65" s="18"/>
      <c r="BV65" s="18"/>
      <c r="BW65" s="18"/>
      <c r="BX65" s="18"/>
      <c r="BY65" s="18"/>
      <c r="BZ65" s="18"/>
      <c r="CA65" s="18"/>
      <c r="CB65" s="18"/>
    </row>
    <row r="66" spans="1:80" ht="15" customHeight="1" thickBot="1" x14ac:dyDescent="0.4">
      <c r="A66" s="108" t="str">
        <f>IF(COUNTIF(I67:I70,"BLANK"),"BLANK",IF(COUNTIF(I67:I70,"REJECT"),"REJECT",IF(COUNTIF(I67:I70,"CHECK"),"CHECK","EQ")))</f>
        <v>BLANK</v>
      </c>
      <c r="B66" s="108"/>
      <c r="C66" s="108"/>
      <c r="D66" s="108"/>
      <c r="E66" s="108"/>
      <c r="F66" s="108"/>
      <c r="G66" s="108"/>
      <c r="H66" s="108"/>
      <c r="I66" s="108"/>
      <c r="J66" s="12"/>
      <c r="K66" s="104" t="s">
        <v>348</v>
      </c>
      <c r="L66" s="104"/>
      <c r="M66" s="104"/>
      <c r="N66" s="104"/>
      <c r="O66" s="104"/>
      <c r="P66" s="104"/>
      <c r="Q66" s="104"/>
      <c r="R66" s="104"/>
      <c r="S66" s="104"/>
      <c r="T66" s="10"/>
      <c r="U66" s="131"/>
      <c r="V66" s="104"/>
      <c r="W66" s="104"/>
      <c r="X66" s="104"/>
      <c r="Y66" s="104"/>
      <c r="Z66" s="104"/>
      <c r="AA66" s="104"/>
      <c r="AB66" s="104"/>
      <c r="AC66" s="104"/>
      <c r="AF66" s="105" t="str">
        <f>IF($C$25="mm","Highest point of Upper SIS at ride height &lt;=350mm:","Highest point of Upper SIS at ride height &lt;=13.8in:")</f>
        <v>Highest point of Upper SIS at ride height &lt;=13.8in:</v>
      </c>
      <c r="AG66" s="105"/>
      <c r="AH66" s="105"/>
      <c r="AI66" s="105"/>
      <c r="AJ66" s="107"/>
      <c r="AK66" s="9"/>
      <c r="AL66" s="2" t="str">
        <f>IF($C$25="mm","mm","in")</f>
        <v>in</v>
      </c>
      <c r="AM66" s="5" t="str">
        <f>IF(AK66="","BLANK",IF(OR(AND($C$25="mm",AK66&gt;=300,AK66&lt;=350),AND($C$25="Inch",AK66&gt;=11.8,AK66&lt;=13.8)),"EQ","REJECT"))</f>
        <v>BLANK</v>
      </c>
      <c r="AN66" s="10"/>
      <c r="AO66" s="109" t="s">
        <v>351</v>
      </c>
      <c r="AP66" s="109"/>
      <c r="AQ66" s="109"/>
      <c r="AR66" s="109"/>
      <c r="AS66" s="109"/>
      <c r="AT66" s="109"/>
      <c r="AU66" s="109"/>
      <c r="AV66" s="109"/>
      <c r="AW66" s="109"/>
      <c r="AY66" s="162"/>
      <c r="AZ66" s="162"/>
      <c r="BA66" s="162"/>
      <c r="BB66" s="162"/>
      <c r="BC66" s="162"/>
      <c r="BD66" s="162"/>
      <c r="BE66" s="162"/>
      <c r="BF66" s="162"/>
      <c r="BG66" s="162"/>
      <c r="BI66" s="104" t="s">
        <v>172</v>
      </c>
      <c r="BJ66" s="104"/>
      <c r="BK66" s="104"/>
      <c r="BL66" s="104"/>
      <c r="BM66" s="104"/>
      <c r="BN66" s="104"/>
      <c r="BO66" s="104"/>
      <c r="BP66" s="104"/>
      <c r="BQ66" s="104"/>
      <c r="BS66" s="114" t="s">
        <v>211</v>
      </c>
      <c r="BT66" s="115" t="s">
        <v>213</v>
      </c>
      <c r="BU66" s="115"/>
      <c r="BV66" s="115"/>
      <c r="BW66" s="115"/>
      <c r="BX66" s="115"/>
      <c r="BY66" s="115"/>
      <c r="BZ66" s="115"/>
      <c r="CA66" s="115"/>
      <c r="CB66" s="115"/>
    </row>
    <row r="67" spans="1:80" ht="15" customHeight="1" thickBot="1" x14ac:dyDescent="0.4">
      <c r="A67" s="1" t="s">
        <v>30</v>
      </c>
      <c r="B67" s="105" t="s">
        <v>31</v>
      </c>
      <c r="C67" s="105"/>
      <c r="D67" s="105"/>
      <c r="E67" s="105"/>
      <c r="F67" s="106"/>
      <c r="G67" s="7" t="s">
        <v>70</v>
      </c>
      <c r="I67" s="5" t="str">
        <f>IF(AND(G67="Welded",NOT(G59="Steel")),"REJECT","EQ")</f>
        <v>EQ</v>
      </c>
      <c r="J67" s="13"/>
      <c r="K67" s="104"/>
      <c r="L67" s="104"/>
      <c r="M67" s="104"/>
      <c r="N67" s="104"/>
      <c r="O67" s="104"/>
      <c r="P67" s="104"/>
      <c r="Q67" s="104"/>
      <c r="R67" s="104"/>
      <c r="S67" s="104"/>
      <c r="U67" s="131"/>
      <c r="V67" s="104"/>
      <c r="W67" s="104"/>
      <c r="X67" s="104"/>
      <c r="Y67" s="104"/>
      <c r="Z67" s="104"/>
      <c r="AA67" s="104"/>
      <c r="AB67" s="104"/>
      <c r="AC67" s="104"/>
      <c r="AN67" s="8"/>
      <c r="AO67" s="109" t="s">
        <v>352</v>
      </c>
      <c r="AP67" s="109"/>
      <c r="AQ67" s="109"/>
      <c r="AR67" s="109"/>
      <c r="AS67" s="109"/>
      <c r="AT67" s="109"/>
      <c r="AU67" s="109"/>
      <c r="AV67" s="109"/>
      <c r="AW67" s="109"/>
      <c r="AY67" s="163" t="s">
        <v>134</v>
      </c>
      <c r="AZ67" s="162"/>
      <c r="BA67" s="162"/>
      <c r="BB67" s="162"/>
      <c r="BC67" s="162"/>
      <c r="BD67" s="162"/>
      <c r="BE67" s="162"/>
      <c r="BF67" s="162"/>
      <c r="BG67" s="162"/>
      <c r="BI67" s="104"/>
      <c r="BJ67" s="104"/>
      <c r="BK67" s="104"/>
      <c r="BL67" s="104"/>
      <c r="BM67" s="104"/>
      <c r="BN67" s="104"/>
      <c r="BO67" s="104"/>
      <c r="BP67" s="104"/>
      <c r="BQ67" s="104"/>
      <c r="BS67" s="114"/>
      <c r="BT67" s="115" t="s">
        <v>212</v>
      </c>
      <c r="BU67" s="115"/>
      <c r="BV67" s="115"/>
      <c r="BW67" s="115"/>
      <c r="BX67" s="115"/>
      <c r="BY67" s="115"/>
      <c r="BZ67" s="115"/>
      <c r="CA67" s="115"/>
      <c r="CB67" s="115"/>
    </row>
    <row r="68" spans="1:80" ht="15" customHeight="1" thickBot="1" x14ac:dyDescent="0.4">
      <c r="A68" s="1"/>
      <c r="B68" s="108" t="str">
        <f>IF(G67="Welded","AI plate must at least reach the centerline of Front Bulkhead tubes.","AI plate must match entire Front Bulkhead perimeter.")</f>
        <v>AI plate must at least reach the centerline of Front Bulkhead tubes.</v>
      </c>
      <c r="C68" s="108"/>
      <c r="D68" s="108"/>
      <c r="E68" s="108"/>
      <c r="F68" s="108"/>
      <c r="G68" s="108"/>
      <c r="H68" s="108"/>
      <c r="I68" s="5" t="s">
        <v>196</v>
      </c>
      <c r="J68" s="13"/>
      <c r="K68" s="104" t="s">
        <v>61</v>
      </c>
      <c r="L68" s="104"/>
      <c r="M68" s="104"/>
      <c r="N68" s="104"/>
      <c r="O68" s="104"/>
      <c r="P68" s="104"/>
      <c r="Q68" s="104"/>
      <c r="R68" s="104"/>
      <c r="S68" s="104"/>
      <c r="U68" s="109" t="s">
        <v>43</v>
      </c>
      <c r="V68" s="109"/>
      <c r="W68" s="109"/>
      <c r="X68" s="109"/>
      <c r="Y68" s="109"/>
      <c r="Z68" s="109"/>
      <c r="AA68" s="109"/>
      <c r="AB68" s="109"/>
      <c r="AC68" s="109"/>
      <c r="AE68" s="108" t="str">
        <f>IF(COUNTIF(AM69:AM72,"BLANK"),"BLANK",IF(COUNTIF(AM69:AM72,"REJECT"),"REJECT",IF(COUNTIF(AM69:AM72,"CHECK"),"CHECK","EQ")))</f>
        <v>BLANK</v>
      </c>
      <c r="AF68" s="108"/>
      <c r="AG68" s="108"/>
      <c r="AH68" s="108"/>
      <c r="AI68" s="108"/>
      <c r="AJ68" s="108"/>
      <c r="AK68" s="108"/>
      <c r="AL68" s="108"/>
      <c r="AM68" s="108"/>
      <c r="AN68" s="8"/>
      <c r="AY68" s="162"/>
      <c r="AZ68" s="162"/>
      <c r="BA68" s="162"/>
      <c r="BB68" s="162"/>
      <c r="BC68" s="162"/>
      <c r="BD68" s="162"/>
      <c r="BE68" s="162"/>
      <c r="BF68" s="162"/>
      <c r="BG68" s="162"/>
      <c r="BI68" s="104" t="s">
        <v>148</v>
      </c>
      <c r="BJ68" s="104"/>
      <c r="BK68" s="104"/>
      <c r="BL68" s="104"/>
      <c r="BM68" s="104"/>
      <c r="BN68" s="104"/>
      <c r="BO68" s="104"/>
      <c r="BP68" s="104"/>
      <c r="BQ68" s="104"/>
      <c r="BS68" s="37"/>
      <c r="BT68" s="115" t="s">
        <v>214</v>
      </c>
      <c r="BU68" s="115"/>
      <c r="BV68" s="115"/>
      <c r="BW68" s="115"/>
      <c r="BX68" s="115"/>
      <c r="BY68" s="115"/>
      <c r="BZ68" s="115"/>
      <c r="CA68" s="115"/>
      <c r="CB68" s="115"/>
    </row>
    <row r="69" spans="1:80" ht="15" customHeight="1" thickBot="1" x14ac:dyDescent="0.4">
      <c r="B69" s="105" t="str">
        <f>IF(G67="Welded","At least half the perimeter must be welded:",IF($C$25="mm","Number of 8mm critical fasteners (8 required):","Number of 5/16in critical fasteners (8 required):"))</f>
        <v>At least half the perimeter must be welded:</v>
      </c>
      <c r="C69" s="105"/>
      <c r="D69" s="105"/>
      <c r="E69" s="105"/>
      <c r="F69" s="107"/>
      <c r="G69" s="11"/>
      <c r="H69" s="2" t="str">
        <f>IF(G67="Welded","%","")</f>
        <v>%</v>
      </c>
      <c r="I69" s="5" t="str">
        <f>IF(G69="","BLANK",IF(AND(G$67="Welded",G69&gt;=50),"EQ",IF(AND(G$67="Bolted",G69&gt;=8),"EQ","REJECT")))</f>
        <v>BLANK</v>
      </c>
      <c r="J69" s="13"/>
      <c r="K69" s="104"/>
      <c r="L69" s="104"/>
      <c r="M69" s="104"/>
      <c r="N69" s="104"/>
      <c r="O69" s="104"/>
      <c r="P69" s="104"/>
      <c r="Q69" s="104"/>
      <c r="R69" s="104"/>
      <c r="S69" s="104"/>
      <c r="U69" s="109" t="s">
        <v>44</v>
      </c>
      <c r="V69" s="109"/>
      <c r="W69" s="109"/>
      <c r="X69" s="109"/>
      <c r="Y69" s="109"/>
      <c r="Z69" s="109"/>
      <c r="AA69" s="109"/>
      <c r="AB69" s="109"/>
      <c r="AC69" s="109"/>
      <c r="AE69" s="1" t="s">
        <v>83</v>
      </c>
      <c r="AF69" s="105" t="s">
        <v>85</v>
      </c>
      <c r="AG69" s="105"/>
      <c r="AH69" s="105"/>
      <c r="AI69" s="105"/>
      <c r="AJ69" s="106"/>
      <c r="AK69" s="165" t="s">
        <v>84</v>
      </c>
      <c r="AL69" s="167"/>
      <c r="AM69" s="5" t="s">
        <v>196</v>
      </c>
      <c r="AN69" s="8"/>
      <c r="AO69" s="108" t="str">
        <f>IF(COUNTIF(AW70:AW72,"BLANK"),"BLANK",IF(COUNTIF(AW70:AW72,"REJECT"),"REJECT",IF(COUNTIF(AW70:AW72,"CHECK"),"CHECK","EQ")))</f>
        <v>BLANK</v>
      </c>
      <c r="AP69" s="108"/>
      <c r="AQ69" s="108"/>
      <c r="AR69" s="108"/>
      <c r="AS69" s="108"/>
      <c r="AT69" s="108"/>
      <c r="AU69" s="108"/>
      <c r="AV69" s="108"/>
      <c r="AW69" s="108"/>
      <c r="AY69" s="119" t="s">
        <v>135</v>
      </c>
      <c r="AZ69" s="119"/>
      <c r="BA69" s="119"/>
      <c r="BB69" s="119"/>
      <c r="BC69" s="119"/>
      <c r="BD69" s="119"/>
      <c r="BE69" s="119"/>
      <c r="BF69" s="119"/>
      <c r="BG69" s="119"/>
      <c r="BS69" s="37"/>
      <c r="BT69" s="115" t="s">
        <v>215</v>
      </c>
      <c r="BU69" s="115"/>
      <c r="BV69" s="115"/>
      <c r="BW69" s="115"/>
      <c r="BX69" s="115"/>
      <c r="BY69" s="115"/>
      <c r="BZ69" s="115"/>
      <c r="CA69" s="115"/>
      <c r="CB69" s="115"/>
    </row>
    <row r="70" spans="1:80" ht="15" customHeight="1" thickBot="1" x14ac:dyDescent="0.4">
      <c r="B70" s="105" t="str">
        <f>IF(G67="Welded","Shortest weld &gt;= 25mm (1in):","Minimum distance between bolt centers:")</f>
        <v>Shortest weld &gt;= 25mm (1in):</v>
      </c>
      <c r="C70" s="105"/>
      <c r="D70" s="105"/>
      <c r="E70" s="105"/>
      <c r="F70" s="107"/>
      <c r="G70" s="11"/>
      <c r="H70" s="2" t="str">
        <f>IF($C$25="mm","mm","in")</f>
        <v>in</v>
      </c>
      <c r="I70" s="5" t="str">
        <f>IF(G70="","BLANK",IF(AND(G$67="Welded",OR(AND($C$25="mm",G70&gt;=25),AND($C$25="Inch",G70&gt;=1))),"EQ",IF(AND(G$67="Bolted",OR(AND($C$25="mm",G70&gt;=50),AND($C$25="Inch",G70&gt;=2))),"EQ","REJECT")))</f>
        <v>BLANK</v>
      </c>
      <c r="J70" s="13"/>
      <c r="K70" s="2"/>
      <c r="L70" s="2"/>
      <c r="U70" s="119" t="s">
        <v>80</v>
      </c>
      <c r="V70" s="119"/>
      <c r="W70" s="119"/>
      <c r="X70" s="119"/>
      <c r="Y70" s="119"/>
      <c r="Z70" s="119"/>
      <c r="AA70" s="119"/>
      <c r="AB70" s="119"/>
      <c r="AC70" s="119"/>
      <c r="AE70" s="1"/>
      <c r="AF70" s="105" t="s">
        <v>86</v>
      </c>
      <c r="AG70" s="105"/>
      <c r="AH70" s="105"/>
      <c r="AI70" s="105"/>
      <c r="AJ70" s="107"/>
      <c r="AK70" s="92" t="s">
        <v>4</v>
      </c>
      <c r="AM70" s="5" t="s">
        <v>196</v>
      </c>
      <c r="AN70" s="8"/>
      <c r="AO70" s="1" t="s">
        <v>95</v>
      </c>
      <c r="AP70" s="105" t="s">
        <v>93</v>
      </c>
      <c r="AQ70" s="105"/>
      <c r="AR70" s="105"/>
      <c r="AS70" s="105"/>
      <c r="AT70" s="105"/>
      <c r="AU70" s="35" t="s">
        <v>4</v>
      </c>
      <c r="AW70" s="5" t="s">
        <v>196</v>
      </c>
      <c r="AY70" s="119"/>
      <c r="AZ70" s="119"/>
      <c r="BA70" s="119"/>
      <c r="BB70" s="119"/>
      <c r="BC70" s="119"/>
      <c r="BD70" s="119"/>
      <c r="BE70" s="119"/>
      <c r="BF70" s="119"/>
      <c r="BG70" s="119"/>
      <c r="BI70" s="108" t="str">
        <f>IF(COUNTIF(BQ71,"BLANK"),"BLANK",IF(COUNTIF(BQ71,"REJECT"),"REJECT",IF(COUNTIF(BQ71,"CHECK"),"CHECK","EQ")))</f>
        <v>BLANK</v>
      </c>
      <c r="BJ70" s="108"/>
      <c r="BK70" s="108"/>
      <c r="BL70" s="108"/>
      <c r="BM70" s="108"/>
      <c r="BN70" s="108"/>
      <c r="BO70" s="108"/>
      <c r="BP70" s="108"/>
      <c r="BQ70" s="108"/>
      <c r="BS70" s="37"/>
      <c r="BT70" s="115" t="s">
        <v>216</v>
      </c>
      <c r="BU70" s="115"/>
      <c r="BV70" s="115"/>
      <c r="BW70" s="115"/>
      <c r="BX70" s="115"/>
      <c r="BY70" s="115"/>
      <c r="BZ70" s="115"/>
      <c r="CA70" s="115"/>
      <c r="CB70" s="115"/>
    </row>
    <row r="71" spans="1:80" ht="15" customHeight="1" x14ac:dyDescent="0.35">
      <c r="A71" s="169"/>
      <c r="B71" s="169"/>
      <c r="C71" s="169"/>
      <c r="D71" s="169"/>
      <c r="E71" s="169"/>
      <c r="F71" s="169"/>
      <c r="G71" s="169"/>
      <c r="H71" s="169"/>
      <c r="I71" s="169"/>
      <c r="J71" s="13"/>
      <c r="K71" s="108" t="str">
        <f>IF(COUNTIF(S72,"BLANK"),"BLANK",IF(COUNTIF(S72,"REJECT"),"REJECT",IF(COUNTIF(S72,"CHECK"),"CHECK","EQ")))</f>
        <v>BLANK</v>
      </c>
      <c r="L71" s="108"/>
      <c r="M71" s="108"/>
      <c r="N71" s="108"/>
      <c r="O71" s="108"/>
      <c r="P71" s="108"/>
      <c r="Q71" s="108"/>
      <c r="R71" s="108"/>
      <c r="S71" s="108"/>
      <c r="U71" s="119"/>
      <c r="V71" s="119"/>
      <c r="W71" s="119"/>
      <c r="X71" s="119"/>
      <c r="Y71" s="119"/>
      <c r="Z71" s="119"/>
      <c r="AA71" s="119"/>
      <c r="AB71" s="119"/>
      <c r="AC71" s="119"/>
      <c r="AE71" s="1"/>
      <c r="AF71" s="105" t="s">
        <v>33</v>
      </c>
      <c r="AG71" s="105"/>
      <c r="AH71" s="105"/>
      <c r="AI71" s="105"/>
      <c r="AJ71" s="107"/>
      <c r="AK71" s="11"/>
      <c r="AL71" s="2" t="str">
        <f>IF($C$25="mm","mm","in")</f>
        <v>in</v>
      </c>
      <c r="AM71" s="5" t="str">
        <f>IF(AK71="","BLANK",IF($C$25="mm",IF(AK71&gt;=1.1938,"EQ","REJECT"),IF(AK71&gt;=0.047,"EQ","REJECT")))</f>
        <v>BLANK</v>
      </c>
      <c r="AN71" s="8"/>
      <c r="AO71" s="1"/>
      <c r="AP71" s="105" t="s">
        <v>33</v>
      </c>
      <c r="AQ71" s="105"/>
      <c r="AR71" s="105"/>
      <c r="AS71" s="105"/>
      <c r="AT71" s="107"/>
      <c r="AU71" s="36"/>
      <c r="AV71" s="2" t="str">
        <f>IF($C$25="mm","mm","in")</f>
        <v>in</v>
      </c>
      <c r="AW71" s="5" t="str">
        <f>IF(AU71="","BLANK",IF($C$25="mm",IF(AU71&gt;=2,"EQ","REJECT"),IF(AU71&gt;=0.079,"EQ","REJECT")))</f>
        <v>BLANK</v>
      </c>
      <c r="AY71" s="109" t="s">
        <v>131</v>
      </c>
      <c r="AZ71" s="109"/>
      <c r="BA71" s="109"/>
      <c r="BB71" s="109"/>
      <c r="BC71" s="109"/>
      <c r="BD71" s="109"/>
      <c r="BE71" s="109"/>
      <c r="BF71" s="109"/>
      <c r="BG71" s="109"/>
      <c r="BI71" s="1" t="s">
        <v>138</v>
      </c>
      <c r="BJ71" s="105" t="s">
        <v>139</v>
      </c>
      <c r="BK71" s="105"/>
      <c r="BL71" s="105"/>
      <c r="BM71" s="105"/>
      <c r="BN71" s="107"/>
      <c r="BO71" s="11"/>
      <c r="BP71" s="2" t="str">
        <f>IF($C$25="mm","mm","in")</f>
        <v>in</v>
      </c>
      <c r="BQ71" s="5" t="str">
        <f>IF(BO71="","BLANK",IF(OR(AND($C$25="mm",ABS(BO71)&gt;=50),AND($C$25="Inch",ABS(BO71)&gt;=2)),"EQ","REJECT"))</f>
        <v>BLANK</v>
      </c>
      <c r="BS71" s="37"/>
      <c r="BT71" s="115" t="s">
        <v>217</v>
      </c>
      <c r="BU71" s="115"/>
      <c r="BV71" s="115"/>
      <c r="BW71" s="115"/>
      <c r="BX71" s="115"/>
      <c r="BY71" s="115"/>
      <c r="BZ71" s="115"/>
      <c r="CA71" s="115"/>
      <c r="CB71" s="115"/>
    </row>
    <row r="72" spans="1:80" ht="15" customHeight="1" thickBot="1" x14ac:dyDescent="0.4">
      <c r="A72" s="108" t="str">
        <f>IF(COUNTIF(I73:I75,"BLANK"),"BLANK",IF(COUNTIF(I73:I75,"REJECT"),"REJECT",IF(COUNTIF(I73:I75,"CHECK"),"CHECK","EQ")))</f>
        <v>BLANK</v>
      </c>
      <c r="B72" s="108"/>
      <c r="C72" s="108"/>
      <c r="D72" s="108"/>
      <c r="E72" s="108"/>
      <c r="F72" s="108"/>
      <c r="G72" s="108"/>
      <c r="H72" s="108"/>
      <c r="I72" s="108"/>
      <c r="J72" s="13"/>
      <c r="K72" s="1" t="s">
        <v>246</v>
      </c>
      <c r="L72" s="105" t="s">
        <v>62</v>
      </c>
      <c r="M72" s="105"/>
      <c r="N72" s="105"/>
      <c r="O72" s="105"/>
      <c r="P72" s="107"/>
      <c r="Q72" s="11"/>
      <c r="R72" s="2" t="str">
        <f>IF($C$25="mm","mm","in")</f>
        <v>in</v>
      </c>
      <c r="S72" s="5" t="str">
        <f>IF(Q72="","BLANK","EQ")</f>
        <v>BLANK</v>
      </c>
      <c r="V72" s="3"/>
      <c r="AF72" s="105" t="str">
        <f>IF(AK70="Round","Outer Diameter (OD):","Square side:")</f>
        <v>Outer Diameter (OD):</v>
      </c>
      <c r="AG72" s="105"/>
      <c r="AH72" s="105"/>
      <c r="AI72" s="105"/>
      <c r="AJ72" s="105"/>
      <c r="AK72" s="11"/>
      <c r="AL72" s="2" t="str">
        <f>IF($C$25="mm","mm","in")</f>
        <v>in</v>
      </c>
      <c r="AM72" s="85" t="str">
        <f>IF(OR(AK71="",AK72=""),"BLANK",IF(AK69="Straight",
IF(AND($C$25="mm",OR(AND(AK70="Square",AK72&gt;=25),AND(AK72&gt;=25,AK72&gt;=AK71+(12.7^2-(12.7-1.6)^2)/AK71))),"EQ",
IF(AND($C$25="INCH",OR(AND(AK70="Square",AK72&gt;=0.984),AND(AK72&gt;=0.984,AK72&gt;=AK71+(0.5^2-(0.5-0.063)^2)/AK71))),"EQ","REJECT")),
IF(AND($C$25="mm",OR(AND(AK70="Square",AK72&gt;=30),(PI()/4)*((AK72/2)^4-(AK72/2-AK71)^4)&gt;=(PI()/4)*((34.925/2)^4-(34.925/2-1.1938)^4))),"EQ",
IF(AND($C$25="INCH",OR(AND(AK70="Square",AK72&gt;=1.181),AND(AK72&gt;=1.375,(PI()/4)*((AK72/2)^4-(AK72/2-AK71)^4)&gt;=(PI()/4)*(0.6875^4-(0.6875-0.047)^4)))),"EQ","REJECT"))))</f>
        <v>BLANK</v>
      </c>
      <c r="AN72" s="8"/>
      <c r="AP72" s="105" t="str">
        <f>IF(AU70="Round","Outer Diameter (OD):","Square side:")</f>
        <v>Outer Diameter (OD):</v>
      </c>
      <c r="AQ72" s="105"/>
      <c r="AR72" s="105"/>
      <c r="AS72" s="105"/>
      <c r="AT72" s="105"/>
      <c r="AU72" s="11"/>
      <c r="AV72" s="2" t="str">
        <f>IF($C$25="mm","mm","in")</f>
        <v>in</v>
      </c>
      <c r="AW72" s="85" t="str">
        <f>IF(OR(AU71="",AU72=""),"BLANK",
IF(AND($C$25="mm",OR(AND(AU70="Square",AU72&gt;=25,AU72&gt;(PI()*(12.7^2-(12.7-2.4)^2)+4*AU71^2)/(4*AU71)),AND(AU72&gt;=25,AU72&gt;=AU71+(12.7^2-(12.7-2.4)^2)/AU71))),"EQ",
IF(AND($C$25="INCH",OR(AND(AU70="Square",AU72&gt;=0.984,AU72&gt;(PI()*(0.5^2-(0.5-0.094)^2)+4*AU71^2)/(4*AU71)),AND(AU72&gt;=0.984,AU72&gt;=AU71+(0.5^2-(0.5-0.094)^2)/AU71))),"EQ","REJECT")))</f>
        <v>BLANK</v>
      </c>
      <c r="AY72" s="119" t="s">
        <v>238</v>
      </c>
      <c r="AZ72" s="119"/>
      <c r="BA72" s="119"/>
      <c r="BB72" s="119"/>
      <c r="BC72" s="119"/>
      <c r="BD72" s="119"/>
      <c r="BE72" s="119"/>
      <c r="BF72" s="119"/>
      <c r="BG72" s="119"/>
      <c r="BH72" s="119"/>
      <c r="BS72" s="37"/>
      <c r="BT72" s="115" t="s">
        <v>222</v>
      </c>
      <c r="BU72" s="115"/>
      <c r="BV72" s="115"/>
      <c r="BW72" s="115"/>
      <c r="BX72" s="115"/>
      <c r="BY72" s="115"/>
      <c r="BZ72" s="115"/>
      <c r="CA72" s="115"/>
      <c r="CB72" s="115"/>
    </row>
    <row r="73" spans="1:80" ht="15" customHeight="1" thickBot="1" x14ac:dyDescent="0.4">
      <c r="A73" s="1" t="s">
        <v>32</v>
      </c>
      <c r="B73" s="105" t="s">
        <v>71</v>
      </c>
      <c r="C73" s="105"/>
      <c r="D73" s="105"/>
      <c r="E73" s="105"/>
      <c r="F73" s="106"/>
      <c r="G73" s="7" t="s">
        <v>4</v>
      </c>
      <c r="I73" s="5" t="s">
        <v>196</v>
      </c>
      <c r="J73" s="14"/>
      <c r="K73" s="2"/>
      <c r="L73" s="2"/>
      <c r="U73" s="109" t="s">
        <v>200</v>
      </c>
      <c r="V73" s="109"/>
      <c r="W73" s="109"/>
      <c r="X73" s="109"/>
      <c r="Y73" s="109"/>
      <c r="Z73" s="109"/>
      <c r="AA73" s="109"/>
      <c r="AB73" s="109"/>
      <c r="AC73" s="109"/>
      <c r="AN73" s="8"/>
      <c r="AP73" s="4"/>
      <c r="AQ73" s="4"/>
      <c r="AR73" s="4"/>
      <c r="AS73" s="4"/>
      <c r="AT73" s="4"/>
      <c r="AU73" s="5"/>
      <c r="AW73" s="5"/>
      <c r="BI73" s="108" t="str">
        <f>IF(COUNTIF(BQ74:BQ75,"BLANK"),"BLANK",IF(COUNTIF(BQ74:BQ75,"REJECT"),"REJECT",IF(COUNTIF(BQ74:BQ75,"CHECK"),"CHECK","EQ")))</f>
        <v>BLANK</v>
      </c>
      <c r="BJ73" s="108"/>
      <c r="BK73" s="108"/>
      <c r="BL73" s="108"/>
      <c r="BM73" s="108"/>
      <c r="BN73" s="108"/>
      <c r="BO73" s="108"/>
      <c r="BP73" s="108"/>
      <c r="BQ73" s="108"/>
      <c r="BS73" s="37"/>
      <c r="BT73" s="72"/>
      <c r="BU73" s="72"/>
      <c r="BV73" s="72"/>
      <c r="BW73" s="72"/>
      <c r="BX73" s="72"/>
      <c r="BY73" s="72"/>
      <c r="BZ73" s="72"/>
      <c r="CA73" s="72"/>
      <c r="CB73" s="72"/>
    </row>
    <row r="74" spans="1:80" ht="15" customHeight="1" thickBot="1" x14ac:dyDescent="0.4">
      <c r="A74" s="1"/>
      <c r="B74" s="105" t="s">
        <v>33</v>
      </c>
      <c r="C74" s="105"/>
      <c r="D74" s="105"/>
      <c r="E74" s="105"/>
      <c r="F74" s="107"/>
      <c r="G74" s="11"/>
      <c r="H74" s="2" t="str">
        <f>IF($C$25="mm","mm","in")</f>
        <v>in</v>
      </c>
      <c r="I74" s="5" t="str">
        <f>IF(G74="","BLANK",IF($C$25="mm",IF(G74&gt;=1.1938,"EQ","REJECT"),IF(G74&gt;=0.047,"EQ","REJECT")))</f>
        <v>BLANK</v>
      </c>
      <c r="J74" s="14"/>
      <c r="K74" s="108" t="str">
        <f>IF(COUNTIF(S75,"BLANK"),"BLANK",IF(COUNTIF(S75,"REJECT"),"REJECT",IF(COUNTIF(S75,"CHECK"),"CHECK","EQ")))</f>
        <v>BLANK</v>
      </c>
      <c r="L74" s="108"/>
      <c r="M74" s="108"/>
      <c r="N74" s="108"/>
      <c r="O74" s="108"/>
      <c r="P74" s="108"/>
      <c r="Q74" s="108"/>
      <c r="R74" s="108"/>
      <c r="S74" s="108"/>
      <c r="T74" s="8"/>
      <c r="U74" s="109" t="s">
        <v>157</v>
      </c>
      <c r="V74" s="109"/>
      <c r="W74" s="109"/>
      <c r="X74" s="109"/>
      <c r="Y74" s="109"/>
      <c r="Z74" s="109"/>
      <c r="AA74" s="109"/>
      <c r="AB74" s="109"/>
      <c r="AC74" s="109"/>
      <c r="AE74" s="108" t="str">
        <f>IF(COUNTIF(AM75:AM77,"BLANK"),"BLANK",IF(COUNTIF(AM75:AM77,"REJECT"),"REJECT",IF(COUNTIF(AM75:AM77,"CHECK"),"CHECK","EQ")))</f>
        <v>BLANK</v>
      </c>
      <c r="AF74" s="108"/>
      <c r="AG74" s="108"/>
      <c r="AH74" s="108"/>
      <c r="AI74" s="108"/>
      <c r="AJ74" s="108"/>
      <c r="AK74" s="108"/>
      <c r="AL74" s="108"/>
      <c r="AM74" s="108"/>
      <c r="AN74" s="8"/>
      <c r="AO74" s="108" t="str">
        <f>IF(COUNTIF(AW75:AW78,"BLANK"),"BLANK",IF(COUNTIF(AW75:AW78,"REJECT"),"REJECT",IF(COUNTIF(AW75:AW78,"CHECK"),"CHECK","EQ")))</f>
        <v>BLANK</v>
      </c>
      <c r="AP74" s="108"/>
      <c r="AQ74" s="108"/>
      <c r="AR74" s="108"/>
      <c r="AS74" s="108"/>
      <c r="AT74" s="108"/>
      <c r="AU74" s="108"/>
      <c r="AV74" s="108"/>
      <c r="AW74" s="108"/>
      <c r="AY74" s="109" t="s">
        <v>91</v>
      </c>
      <c r="AZ74" s="109"/>
      <c r="BA74" s="109"/>
      <c r="BB74" s="109"/>
      <c r="BC74" s="109"/>
      <c r="BD74" s="109"/>
      <c r="BE74" s="109"/>
      <c r="BF74" s="109"/>
      <c r="BG74" s="109"/>
      <c r="BI74" s="1" t="s">
        <v>140</v>
      </c>
      <c r="BJ74" s="105" t="s">
        <v>141</v>
      </c>
      <c r="BK74" s="105"/>
      <c r="BL74" s="105"/>
      <c r="BM74" s="105"/>
      <c r="BN74" s="105"/>
      <c r="BO74" s="7" t="s">
        <v>98</v>
      </c>
      <c r="BQ74" s="5" t="s">
        <v>196</v>
      </c>
      <c r="BS74" s="116" t="s">
        <v>236</v>
      </c>
      <c r="BT74" s="115" t="s">
        <v>218</v>
      </c>
      <c r="BU74" s="115"/>
      <c r="BV74" s="115"/>
      <c r="BW74" s="115"/>
      <c r="BX74" s="115"/>
      <c r="BY74" s="115"/>
      <c r="BZ74" s="115"/>
      <c r="CA74" s="115"/>
      <c r="CB74" s="115"/>
    </row>
    <row r="75" spans="1:80" ht="15" customHeight="1" thickBot="1" x14ac:dyDescent="0.4">
      <c r="B75" s="105" t="str">
        <f>IF(G73="Round","Outer Diameter (OD):","Square side:")</f>
        <v>Outer Diameter (OD):</v>
      </c>
      <c r="C75" s="105"/>
      <c r="D75" s="105"/>
      <c r="E75" s="105"/>
      <c r="F75" s="107"/>
      <c r="G75" s="11"/>
      <c r="H75" s="2" t="str">
        <f>IF($C$25="mm","mm","in")</f>
        <v>in</v>
      </c>
      <c r="I75" s="85" t="str">
        <f>IF(OR(G74="",G75=""),"BLANK",
IF(AND($C$25="mm",OR(AND(G73="Square",G75&gt;=25),AND(G75&gt;=25,G75&gt;=G74+(12.7^2-(12.7-1.6)^2)/G74))),"EQ",
IF(AND($C$25="INCH",OR(AND(G73="Square",G75&gt;=0.984),AND(G75&gt;=0.984,G75&gt;=G74+(0.5^2-(0.5-0.063)^2)/G74))),"EQ","REJECT")))</f>
        <v>BLANK</v>
      </c>
      <c r="J75" s="8"/>
      <c r="K75" s="1" t="s">
        <v>56</v>
      </c>
      <c r="L75" s="105" t="s">
        <v>58</v>
      </c>
      <c r="M75" s="105"/>
      <c r="N75" s="105"/>
      <c r="O75" s="105"/>
      <c r="P75" s="107"/>
      <c r="Q75" s="11"/>
      <c r="R75" s="2" t="str">
        <f>IF($C$25="mm","mm","in")</f>
        <v>in</v>
      </c>
      <c r="S75" s="5" t="str">
        <f>IF(Q75="","BLANK",IF(OR(AND($C$25="mm",Q75&lt;=250),AND($C$25="Inch",Q75&lt;=9.8)),"EQ","REJECT"))</f>
        <v>BLANK</v>
      </c>
      <c r="T75" s="8"/>
      <c r="U75" s="109" t="s">
        <v>119</v>
      </c>
      <c r="V75" s="109"/>
      <c r="W75" s="109"/>
      <c r="X75" s="109"/>
      <c r="Y75" s="109"/>
      <c r="Z75" s="109"/>
      <c r="AA75" s="109"/>
      <c r="AB75" s="109"/>
      <c r="AC75" s="109"/>
      <c r="AE75" s="1" t="s">
        <v>83</v>
      </c>
      <c r="AF75" s="105" t="s">
        <v>87</v>
      </c>
      <c r="AG75" s="105"/>
      <c r="AH75" s="105"/>
      <c r="AI75" s="105"/>
      <c r="AJ75" s="107"/>
      <c r="AK75" s="7" t="s">
        <v>4</v>
      </c>
      <c r="AM75" s="5" t="s">
        <v>196</v>
      </c>
      <c r="AN75" s="8"/>
      <c r="AO75" s="1" t="s">
        <v>104</v>
      </c>
      <c r="AP75" s="105" t="s">
        <v>106</v>
      </c>
      <c r="AQ75" s="105"/>
      <c r="AR75" s="105"/>
      <c r="AS75" s="105"/>
      <c r="AT75" s="107"/>
      <c r="AU75" s="7" t="s">
        <v>84</v>
      </c>
      <c r="AV75" s="5"/>
      <c r="AW75" s="5" t="str">
        <f>IF(AND(AU75="Bent",AU76="Square"),"REJECT","EQ")</f>
        <v>EQ</v>
      </c>
      <c r="BI75" s="1" t="s">
        <v>140</v>
      </c>
      <c r="BJ75" s="105" t="str">
        <f>IF(BO74="Rearward","Helmet &gt;=50mm (2in) below Hoop/Brace plane:","Helmet &gt;=0 ahead of Main Hoop rear surface:")</f>
        <v>Helmet &gt;=50mm (2in) below Hoop/Brace plane:</v>
      </c>
      <c r="BK75" s="105"/>
      <c r="BL75" s="105"/>
      <c r="BM75" s="105"/>
      <c r="BN75" s="105"/>
      <c r="BO75" s="11"/>
      <c r="BP75" s="2" t="str">
        <f>IF($C$25="mm","mm","in")</f>
        <v>in</v>
      </c>
      <c r="BQ75" s="5" t="str">
        <f>IF(BO75="","BLANK",IF(OR(AND(BO74="Forward",BO75&gt;=0),AND($C$25="mm",BO75&gt;=50),AND($C$25="Inch",BO75&gt;=2)),"EQ","REJECT"))</f>
        <v>BLANK</v>
      </c>
      <c r="BS75" s="116"/>
      <c r="BT75" s="115" t="s">
        <v>219</v>
      </c>
      <c r="BU75" s="115"/>
      <c r="BV75" s="115"/>
      <c r="BW75" s="115"/>
      <c r="BX75" s="115"/>
      <c r="BY75" s="115"/>
      <c r="BZ75" s="115"/>
      <c r="CA75" s="115"/>
      <c r="CB75" s="115"/>
    </row>
    <row r="76" spans="1:80" ht="15" customHeight="1" thickBot="1" x14ac:dyDescent="0.4">
      <c r="A76" s="109"/>
      <c r="B76" s="109"/>
      <c r="C76" s="109"/>
      <c r="D76" s="109"/>
      <c r="E76" s="109"/>
      <c r="F76" s="109"/>
      <c r="G76" s="109"/>
      <c r="H76" s="109"/>
      <c r="I76" s="109"/>
      <c r="J76" s="8"/>
      <c r="K76" s="2"/>
      <c r="L76" s="2"/>
      <c r="T76" s="8"/>
      <c r="U76" s="109" t="s">
        <v>332</v>
      </c>
      <c r="V76" s="109"/>
      <c r="W76" s="109"/>
      <c r="X76" s="109"/>
      <c r="Y76" s="109"/>
      <c r="Z76" s="109"/>
      <c r="AA76" s="109"/>
      <c r="AB76" s="109"/>
      <c r="AC76" s="109"/>
      <c r="AD76" s="109"/>
      <c r="AE76" s="1"/>
      <c r="AF76" s="105" t="s">
        <v>33</v>
      </c>
      <c r="AG76" s="105"/>
      <c r="AH76" s="105"/>
      <c r="AI76" s="105"/>
      <c r="AJ76" s="107"/>
      <c r="AK76" s="11"/>
      <c r="AL76" s="2" t="str">
        <f>IF($C$25="mm","mm","in")</f>
        <v>in</v>
      </c>
      <c r="AM76" s="5" t="str">
        <f>IF(AK76="","BLANK",IF($C$25="mm",IF(AK76&gt;=1.1938,"EQ","REJECT"),IF(AK76&gt;=0.047,"EQ","REJECT")))</f>
        <v>BLANK</v>
      </c>
      <c r="AN76" s="8"/>
      <c r="AO76" s="1"/>
      <c r="AP76" s="105" t="s">
        <v>105</v>
      </c>
      <c r="AQ76" s="105"/>
      <c r="AR76" s="105"/>
      <c r="AS76" s="105"/>
      <c r="AT76" s="107"/>
      <c r="AU76" s="7" t="s">
        <v>4</v>
      </c>
      <c r="AW76" s="5" t="str">
        <f>IF(AND(AU75="Bent",AU76="Square"),"REJECT","EQ")</f>
        <v>EQ</v>
      </c>
      <c r="AY76" s="1"/>
      <c r="AZ76" s="110" t="str">
        <f>AP105</f>
        <v>Main Hoop Braces may run forward or rearward.</v>
      </c>
      <c r="BA76" s="110"/>
      <c r="BB76" s="110"/>
      <c r="BC76" s="110"/>
      <c r="BD76" s="110"/>
      <c r="BE76" s="110"/>
      <c r="BF76" s="110"/>
    </row>
    <row r="77" spans="1:80" ht="15" customHeight="1" thickBot="1" x14ac:dyDescent="0.4">
      <c r="A77" s="104" t="s">
        <v>53</v>
      </c>
      <c r="B77" s="104"/>
      <c r="C77" s="104"/>
      <c r="D77" s="104"/>
      <c r="E77" s="104"/>
      <c r="F77" s="104"/>
      <c r="G77" s="104"/>
      <c r="H77" s="104"/>
      <c r="I77" s="104"/>
      <c r="J77" s="8"/>
      <c r="K77" s="108" t="str">
        <f>IF(COUNTIF(S78,"BLANK"),"BLANK",IF(COUNTIF(S78,"REJECT"),"REJECT",IF(COUNTIF(S78,"CHECK"),"CHECK","EQ")))</f>
        <v>BLANK</v>
      </c>
      <c r="L77" s="108"/>
      <c r="M77" s="108"/>
      <c r="N77" s="108"/>
      <c r="O77" s="108"/>
      <c r="P77" s="108"/>
      <c r="Q77" s="108"/>
      <c r="R77" s="108"/>
      <c r="S77" s="108"/>
      <c r="T77" s="8"/>
      <c r="U77" s="109" t="s">
        <v>331</v>
      </c>
      <c r="V77" s="109"/>
      <c r="W77" s="109"/>
      <c r="X77" s="109"/>
      <c r="Y77" s="109"/>
      <c r="Z77" s="109"/>
      <c r="AA77" s="109"/>
      <c r="AB77" s="109"/>
      <c r="AC77" s="109"/>
      <c r="AF77" s="105" t="str">
        <f>IF(AK75="Round","Outer Diameter (OD):","Square side:")</f>
        <v>Outer Diameter (OD):</v>
      </c>
      <c r="AG77" s="105"/>
      <c r="AH77" s="105"/>
      <c r="AI77" s="105"/>
      <c r="AJ77" s="105"/>
      <c r="AK77" s="11"/>
      <c r="AL77" s="2" t="str">
        <f>IF($C$25="mm","mm","in")</f>
        <v>in</v>
      </c>
      <c r="AM77" s="85" t="str">
        <f>IF(OR(AK76="",AK77=""),"BLANK",
IF(AND($C$25="mm",OR(AND(AK75="Square",AK77&gt;=25),AND(AK77&gt;=25,AK77&gt;=AK76+(12.7^2-(12.7-1.6)^2)/AK76))),"EQ",
IF(AND($C$25="INCH",OR(AND(AK75="Square",AK77&gt;=0.984),AND(AK77&gt;=0.984,AK77&gt;=AK76+(0.5^2-(0.5-0.063)^2)/AK76))),"EQ","REJECT")))</f>
        <v>BLANK</v>
      </c>
      <c r="AN77" s="8"/>
      <c r="AO77" s="1"/>
      <c r="AP77" s="105" t="s">
        <v>33</v>
      </c>
      <c r="AQ77" s="105"/>
      <c r="AR77" s="105"/>
      <c r="AS77" s="105"/>
      <c r="AT77" s="107"/>
      <c r="AU77" s="11"/>
      <c r="AV77" s="2" t="str">
        <f>IF($C$25="mm","mm","in")</f>
        <v>in</v>
      </c>
      <c r="AW77" s="5" t="str">
        <f>IF(AU77="","BLANK",IF($C$25="mm",IF(AU77&gt;=2,"EQ","REJECT"),IF(AU77&gt;=0.079,"EQ","REJECT")))</f>
        <v>BLANK</v>
      </c>
      <c r="AY77" s="108" t="str">
        <f>IF(COUNTIF(BG78:BG79,"BLANK"),"BLANK",IF(COUNTIF(BG78:BG79,"REJECT"),"REJECT",IF(COUNTIF(BG78:BG79,"CHECK"),"CHECK","EQ")))</f>
        <v>BLANK</v>
      </c>
      <c r="AZ77" s="108"/>
      <c r="BA77" s="108"/>
      <c r="BB77" s="108"/>
      <c r="BC77" s="108"/>
      <c r="BD77" s="108"/>
      <c r="BE77" s="108"/>
      <c r="BF77" s="108"/>
      <c r="BG77" s="108"/>
      <c r="BI77" s="108" t="str">
        <f>IF(COUNTIF(BQ78,"BLANK"),"BLANK",IF(COUNTIF(BQ78,"REJECT"),"REJECT",IF(COUNTIF(BQ78,"CHECK"),"CHECK","EQ")))</f>
        <v>BLANK</v>
      </c>
      <c r="BJ77" s="108"/>
      <c r="BK77" s="108"/>
      <c r="BL77" s="108"/>
      <c r="BM77" s="108"/>
      <c r="BN77" s="108"/>
      <c r="BO77" s="108"/>
      <c r="BP77" s="108"/>
      <c r="BQ77" s="108"/>
      <c r="BS77" s="116" t="s">
        <v>235</v>
      </c>
      <c r="BT77" s="115" t="s">
        <v>220</v>
      </c>
      <c r="BU77" s="115"/>
      <c r="BV77" s="115"/>
      <c r="BW77" s="115"/>
      <c r="BX77" s="115"/>
      <c r="BY77" s="115"/>
      <c r="BZ77" s="115"/>
      <c r="CA77" s="115"/>
      <c r="CB77" s="115"/>
    </row>
    <row r="78" spans="1:80" ht="15" customHeight="1" thickBot="1" x14ac:dyDescent="0.4">
      <c r="A78" s="104"/>
      <c r="B78" s="104"/>
      <c r="C78" s="104"/>
      <c r="D78" s="104"/>
      <c r="E78" s="104"/>
      <c r="F78" s="104"/>
      <c r="G78" s="104"/>
      <c r="H78" s="104"/>
      <c r="I78" s="104"/>
      <c r="J78" s="8"/>
      <c r="K78" s="1" t="s">
        <v>57</v>
      </c>
      <c r="L78" s="105" t="s">
        <v>132</v>
      </c>
      <c r="M78" s="105"/>
      <c r="N78" s="105"/>
      <c r="O78" s="105"/>
      <c r="P78" s="107"/>
      <c r="Q78" s="11"/>
      <c r="R78" s="2" t="s">
        <v>54</v>
      </c>
      <c r="S78" s="5" t="str">
        <f>IF(Q78="","BLANK",IF(ABS(Q78)&lt;=20,"EQ","REJECT"))</f>
        <v>BLANK</v>
      </c>
      <c r="T78" s="8"/>
      <c r="U78" s="109" t="s">
        <v>241</v>
      </c>
      <c r="V78" s="109"/>
      <c r="W78" s="109"/>
      <c r="X78" s="109"/>
      <c r="Y78" s="109"/>
      <c r="Z78" s="109"/>
      <c r="AA78" s="109"/>
      <c r="AB78" s="109"/>
      <c r="AC78" s="109"/>
      <c r="AN78" s="8"/>
      <c r="AP78" s="105" t="str">
        <f>IF(AU76="Round","Outer Diameter (OD):","Square side:")</f>
        <v>Outer Diameter (OD):</v>
      </c>
      <c r="AQ78" s="105"/>
      <c r="AR78" s="105"/>
      <c r="AS78" s="105"/>
      <c r="AT78" s="105"/>
      <c r="AU78" s="11"/>
      <c r="AV78" s="2" t="str">
        <f>IF($C$25="mm","mm","in")</f>
        <v>in</v>
      </c>
      <c r="AW78" s="85" t="str">
        <f>IF(OR(AU77="",AU78=""),"BLANK",
IF(AND($C$25="mm",OR(AND(AU76="Square",AU78&gt;=25,AU78&gt;(PI()*(12.7^2-(12.7-2.4)^2)+4*AU77^2)/(4*AU77)),AND(AU78&gt;=25,AU78&gt;=AU77+(12.7^2-(12.7-2.4)^2)/AU77))),"EQ",
IF(AND($C$25="INCH",OR(AND(AU76="Square",AU78&gt;=0.984,AU78&gt;(PI()*(0.5^2-(0.5-0.094)^2)+4*AU77^2)/(4*AU77)),AND(AU78&gt;=0.984,AU78&gt;=AU77+(0.5^2-(0.5-0.094)^2)/AU77))),"EQ","REJECT")))</f>
        <v>BLANK</v>
      </c>
      <c r="AY78" s="1" t="s">
        <v>118</v>
      </c>
      <c r="AZ78" s="105" t="s">
        <v>126</v>
      </c>
      <c r="BA78" s="105"/>
      <c r="BB78" s="105"/>
      <c r="BC78" s="105"/>
      <c r="BD78" s="105"/>
      <c r="BE78" s="7" t="s">
        <v>98</v>
      </c>
      <c r="BG78" s="5" t="str">
        <f>IF(AU104=0,"EQ",IF(AU103=BE78,"EQ","REJECT"))</f>
        <v>EQ</v>
      </c>
      <c r="BI78" s="1" t="s">
        <v>150</v>
      </c>
      <c r="BJ78" s="105" t="s">
        <v>142</v>
      </c>
      <c r="BK78" s="105"/>
      <c r="BL78" s="105"/>
      <c r="BM78" s="105"/>
      <c r="BN78" s="107"/>
      <c r="BO78" s="11"/>
      <c r="BP78" s="2" t="str">
        <f>IF($C$25="mm","mm","in")</f>
        <v>in</v>
      </c>
      <c r="BQ78" s="5" t="str">
        <f>IF(BO78="","BLANK",IF(BO78&gt;=0,"EQ","REJECT"))</f>
        <v>BLANK</v>
      </c>
      <c r="BS78" s="116"/>
      <c r="BT78" s="115" t="s">
        <v>333</v>
      </c>
      <c r="BU78" s="115"/>
      <c r="BV78" s="115"/>
      <c r="BW78" s="115"/>
      <c r="BX78" s="115"/>
      <c r="BY78" s="115"/>
      <c r="BZ78" s="115"/>
      <c r="CA78" s="115"/>
      <c r="CB78" s="115"/>
    </row>
    <row r="79" spans="1:80" ht="15" customHeight="1" x14ac:dyDescent="0.35">
      <c r="A79" s="104"/>
      <c r="B79" s="104"/>
      <c r="C79" s="104"/>
      <c r="D79" s="104"/>
      <c r="E79" s="104"/>
      <c r="F79" s="104"/>
      <c r="G79" s="104"/>
      <c r="H79" s="104"/>
      <c r="I79" s="104"/>
      <c r="J79" s="8"/>
      <c r="K79" s="8"/>
      <c r="L79" s="8"/>
      <c r="M79" s="8"/>
      <c r="N79" s="8"/>
      <c r="O79" s="8"/>
      <c r="P79" s="8"/>
      <c r="Q79" s="8"/>
      <c r="R79" s="8"/>
      <c r="S79" s="8"/>
      <c r="T79" s="8"/>
      <c r="U79" s="109" t="s">
        <v>337</v>
      </c>
      <c r="V79" s="109"/>
      <c r="W79" s="109"/>
      <c r="X79" s="109"/>
      <c r="Y79" s="109"/>
      <c r="Z79" s="109"/>
      <c r="AA79" s="109"/>
      <c r="AB79" s="109"/>
      <c r="AC79" s="109"/>
      <c r="AE79" s="104" t="s">
        <v>88</v>
      </c>
      <c r="AF79" s="104"/>
      <c r="AG79" s="104"/>
      <c r="AH79" s="104"/>
      <c r="AI79" s="104"/>
      <c r="AJ79" s="104"/>
      <c r="AK79" s="104"/>
      <c r="AL79" s="104"/>
      <c r="AM79" s="104"/>
      <c r="AN79" s="8"/>
      <c r="AP79" s="110" t="str">
        <f>IF(AU75="Straight","Shoulder Harness Bar does not require braces.","Shoulder Harness Bar bends requires braces.")</f>
        <v>Shoulder Harness Bar does not require braces.</v>
      </c>
      <c r="AQ79" s="110"/>
      <c r="AR79" s="110"/>
      <c r="AS79" s="110"/>
      <c r="AT79" s="110"/>
      <c r="AU79" s="110"/>
      <c r="AV79" s="110"/>
      <c r="AW79" s="5"/>
      <c r="AY79" s="1" t="s">
        <v>127</v>
      </c>
      <c r="AZ79" s="105" t="s">
        <v>128</v>
      </c>
      <c r="BA79" s="105"/>
      <c r="BB79" s="105"/>
      <c r="BC79" s="105"/>
      <c r="BD79" s="105"/>
      <c r="BE79" s="9"/>
      <c r="BF79" s="2" t="s">
        <v>54</v>
      </c>
      <c r="BG79" s="5" t="str">
        <f>IF(BE79="","BLANK",IF(AND(ABS(BE79)&gt;=30,ABS(BE79)&lt;90),"EQ","REJECT"))</f>
        <v>BLANK</v>
      </c>
      <c r="BT79" s="115" t="s">
        <v>221</v>
      </c>
      <c r="BU79" s="115"/>
      <c r="BV79" s="115"/>
      <c r="BW79" s="115"/>
      <c r="BX79" s="115"/>
      <c r="BY79" s="115"/>
      <c r="BZ79" s="115"/>
      <c r="CA79" s="115"/>
      <c r="CB79" s="115"/>
    </row>
    <row r="80" spans="1:80" ht="15" customHeight="1" x14ac:dyDescent="0.35">
      <c r="A80" s="104" t="s">
        <v>242</v>
      </c>
      <c r="B80" s="104"/>
      <c r="C80" s="104"/>
      <c r="D80" s="104"/>
      <c r="E80" s="104"/>
      <c r="F80" s="104"/>
      <c r="G80" s="104"/>
      <c r="H80" s="104"/>
      <c r="I80" s="104"/>
      <c r="J80" s="8"/>
      <c r="K80" s="108" t="str">
        <f>IF(COUNTIF(S81,"BLANK"),"BLANK",IF(COUNTIF(S81,"REJECT"),"REJECT",IF(COUNTIF(S81,"CHECK"),"CHECK","EQ")))</f>
        <v>BLANK</v>
      </c>
      <c r="L80" s="108"/>
      <c r="M80" s="108"/>
      <c r="N80" s="108"/>
      <c r="O80" s="108"/>
      <c r="P80" s="108"/>
      <c r="Q80" s="108"/>
      <c r="R80" s="108"/>
      <c r="S80" s="108"/>
      <c r="T80" s="8"/>
      <c r="U80" s="109" t="s">
        <v>42</v>
      </c>
      <c r="V80" s="109"/>
      <c r="W80" s="109"/>
      <c r="X80" s="109"/>
      <c r="Y80" s="109"/>
      <c r="Z80" s="109"/>
      <c r="AA80" s="109"/>
      <c r="AB80" s="109"/>
      <c r="AC80" s="109"/>
      <c r="AE80" s="104"/>
      <c r="AF80" s="104"/>
      <c r="AG80" s="104"/>
      <c r="AH80" s="104"/>
      <c r="AI80" s="104"/>
      <c r="AJ80" s="104"/>
      <c r="AK80" s="104"/>
      <c r="AL80" s="104"/>
      <c r="AM80" s="104"/>
      <c r="AN80" s="8"/>
      <c r="BI80" s="104" t="s">
        <v>290</v>
      </c>
      <c r="BJ80" s="104"/>
      <c r="BK80" s="104"/>
      <c r="BL80" s="104"/>
      <c r="BM80" s="104"/>
      <c r="BN80" s="104"/>
      <c r="BO80" s="104"/>
      <c r="BP80" s="104"/>
      <c r="BQ80" s="104"/>
      <c r="BS80" s="37"/>
      <c r="BT80" s="115" t="s">
        <v>329</v>
      </c>
      <c r="BU80" s="115"/>
      <c r="BV80" s="115"/>
      <c r="BW80" s="115"/>
      <c r="BX80" s="115"/>
      <c r="BY80" s="115"/>
      <c r="BZ80" s="115"/>
      <c r="CA80" s="115"/>
      <c r="CB80" s="115"/>
    </row>
    <row r="81" spans="1:80" ht="15" customHeight="1" x14ac:dyDescent="0.35">
      <c r="A81" s="104"/>
      <c r="B81" s="104"/>
      <c r="C81" s="104"/>
      <c r="D81" s="104"/>
      <c r="E81" s="104"/>
      <c r="F81" s="104"/>
      <c r="G81" s="104"/>
      <c r="H81" s="104"/>
      <c r="I81" s="104"/>
      <c r="J81" s="8"/>
      <c r="K81" s="1" t="s">
        <v>59</v>
      </c>
      <c r="L81" s="105" t="s">
        <v>74</v>
      </c>
      <c r="M81" s="105"/>
      <c r="N81" s="105"/>
      <c r="O81" s="105"/>
      <c r="P81" s="107"/>
      <c r="Q81" s="11"/>
      <c r="R81" s="2" t="s">
        <v>54</v>
      </c>
      <c r="S81" s="5" t="str">
        <f>IF(Q81="","BLANK",IF(Q81&lt;=20,"EQ","REJECT"))</f>
        <v>BLANK</v>
      </c>
      <c r="T81" s="8"/>
      <c r="AE81" s="104"/>
      <c r="AF81" s="104"/>
      <c r="AG81" s="104"/>
      <c r="AH81" s="104"/>
      <c r="AI81" s="104"/>
      <c r="AJ81" s="104"/>
      <c r="AK81" s="104"/>
      <c r="AL81" s="104"/>
      <c r="AM81" s="104"/>
      <c r="AN81" s="8"/>
      <c r="AO81" s="104" t="s">
        <v>349</v>
      </c>
      <c r="AP81" s="104"/>
      <c r="AQ81" s="104"/>
      <c r="AR81" s="104"/>
      <c r="AS81" s="104"/>
      <c r="AT81" s="104"/>
      <c r="AU81" s="104"/>
      <c r="AV81" s="104"/>
      <c r="AW81" s="104"/>
      <c r="AY81" s="108" t="str">
        <f>IF(COUNTIF(BG82,"BLANK"),"BLANK",IF(COUNTIF(BG82,"REJECT"),"REJECT",IF(COUNTIF(BG82,"CHECK"),"CHECK","EQ")))</f>
        <v>BLANK</v>
      </c>
      <c r="AZ81" s="108"/>
      <c r="BA81" s="108"/>
      <c r="BB81" s="108"/>
      <c r="BC81" s="108"/>
      <c r="BD81" s="108"/>
      <c r="BE81" s="108"/>
      <c r="BF81" s="108"/>
      <c r="BG81" s="108"/>
      <c r="BI81" s="104"/>
      <c r="BJ81" s="104"/>
      <c r="BK81" s="104"/>
      <c r="BL81" s="104"/>
      <c r="BM81" s="104"/>
      <c r="BN81" s="104"/>
      <c r="BO81" s="104"/>
      <c r="BP81" s="104"/>
      <c r="BQ81" s="104"/>
      <c r="BT81" s="115" t="s">
        <v>330</v>
      </c>
      <c r="BU81" s="115"/>
      <c r="BV81" s="115"/>
      <c r="BW81" s="115"/>
      <c r="BX81" s="115"/>
      <c r="BY81" s="115"/>
      <c r="BZ81" s="115"/>
      <c r="CA81" s="115"/>
      <c r="CB81" s="115"/>
    </row>
    <row r="82" spans="1:80" ht="15" customHeight="1" thickBot="1" x14ac:dyDescent="0.4">
      <c r="A82" s="104"/>
      <c r="B82" s="104"/>
      <c r="C82" s="104"/>
      <c r="D82" s="104"/>
      <c r="E82" s="104"/>
      <c r="F82" s="104"/>
      <c r="G82" s="104"/>
      <c r="H82" s="104"/>
      <c r="I82" s="104"/>
      <c r="J82" s="8"/>
      <c r="K82" s="2"/>
      <c r="L82" s="110" t="str">
        <f>IF(Q81&lt;=10,"Rearward Front Hoop Brace is not required.","Rearward Front Hoop Brace Required by Front Hoop.")</f>
        <v>Rearward Front Hoop Brace is not required.</v>
      </c>
      <c r="M82" s="110"/>
      <c r="N82" s="110"/>
      <c r="O82" s="110"/>
      <c r="P82" s="110"/>
      <c r="Q82" s="110"/>
      <c r="R82" s="110"/>
      <c r="S82" s="5"/>
      <c r="T82" s="8"/>
      <c r="U82" s="108" t="str">
        <f>IF(COUNTIF(AC83:AC85,"BLANK"),"BLANK",IF(COUNTIF(AC83:AC85,"REJECT"),"REJECT",IF(COUNTIF(AC83:AC85,"CHECK"),"CHECK","EQ")))</f>
        <v>BLANK</v>
      </c>
      <c r="V82" s="108"/>
      <c r="W82" s="108"/>
      <c r="X82" s="108"/>
      <c r="Y82" s="108"/>
      <c r="Z82" s="108"/>
      <c r="AA82" s="108"/>
      <c r="AB82" s="108"/>
      <c r="AC82" s="108"/>
      <c r="AE82" s="104"/>
      <c r="AF82" s="104"/>
      <c r="AG82" s="104"/>
      <c r="AH82" s="104"/>
      <c r="AI82" s="104"/>
      <c r="AJ82" s="104"/>
      <c r="AK82" s="104"/>
      <c r="AL82" s="104"/>
      <c r="AM82" s="104"/>
      <c r="AN82" s="8"/>
      <c r="AO82" s="104"/>
      <c r="AP82" s="104"/>
      <c r="AQ82" s="104"/>
      <c r="AR82" s="104"/>
      <c r="AS82" s="104"/>
      <c r="AT82" s="104"/>
      <c r="AU82" s="104"/>
      <c r="AV82" s="104"/>
      <c r="AW82" s="104"/>
      <c r="AY82" s="1" t="s">
        <v>127</v>
      </c>
      <c r="AZ82" s="105" t="str">
        <f>IF($C$25="mm","Top of MH of MHB tube, 160mm vertical limit:","Top of MH to top of MHB tube, 6.3in vertical limit:")</f>
        <v>Top of MH to top of MHB tube, 6.3in vertical limit:</v>
      </c>
      <c r="BA82" s="105"/>
      <c r="BB82" s="105"/>
      <c r="BC82" s="105"/>
      <c r="BD82" s="107"/>
      <c r="BE82" s="11"/>
      <c r="BF82" s="2" t="str">
        <f>IF($C$25="mm","mm","in")</f>
        <v>in</v>
      </c>
      <c r="BG82" s="5" t="str">
        <f>IF(BE82="","BLANK",IF(OR(AND($C$25="mm",ABS(BE82)&lt;=160),AND($C$25="Inch",ABS(BE82)&lt;=6.3)),"EQ","REJECT"))</f>
        <v>BLANK</v>
      </c>
      <c r="BI82" s="104"/>
      <c r="BJ82" s="104"/>
      <c r="BK82" s="104"/>
      <c r="BL82" s="104"/>
      <c r="BM82" s="104"/>
      <c r="BN82" s="104"/>
      <c r="BO82" s="104"/>
      <c r="BP82" s="104"/>
      <c r="BQ82" s="104"/>
      <c r="BS82" s="84"/>
      <c r="BT82" s="115" t="s">
        <v>337</v>
      </c>
      <c r="BU82" s="115"/>
      <c r="BV82" s="115"/>
      <c r="BW82" s="115"/>
      <c r="BX82" s="115"/>
      <c r="BY82" s="115"/>
      <c r="BZ82" s="115"/>
      <c r="CA82" s="115"/>
      <c r="CB82" s="115"/>
    </row>
    <row r="83" spans="1:80" ht="15" customHeight="1" thickBot="1" x14ac:dyDescent="0.4">
      <c r="A83" s="108" t="str">
        <f>IF(COUNTIF(I84:I89,"BLANK"),"BLANK",IF(COUNTIF(I84:I89,"REJECT"),"REJECT",IF(COUNTIF(I84:I89,"CHECK"),"CHECK - IAD TESTING REQUIRED. AI PLATE DEFLECTION &lt;=25mm","EQ")))</f>
        <v>BLANK</v>
      </c>
      <c r="B83" s="108"/>
      <c r="C83" s="108"/>
      <c r="D83" s="108"/>
      <c r="E83" s="108"/>
      <c r="F83" s="108"/>
      <c r="G83" s="108"/>
      <c r="H83" s="108"/>
      <c r="I83" s="108"/>
      <c r="J83" s="8"/>
      <c r="K83" s="2"/>
      <c r="L83" s="2"/>
      <c r="T83" s="8"/>
      <c r="U83" s="1" t="s">
        <v>48</v>
      </c>
      <c r="V83" s="105" t="s">
        <v>73</v>
      </c>
      <c r="W83" s="105"/>
      <c r="X83" s="105"/>
      <c r="Y83" s="105"/>
      <c r="Z83" s="107"/>
      <c r="AA83" s="7" t="s">
        <v>4</v>
      </c>
      <c r="AC83" s="5" t="s">
        <v>196</v>
      </c>
      <c r="AE83" s="104" t="s">
        <v>242</v>
      </c>
      <c r="AF83" s="104"/>
      <c r="AG83" s="104"/>
      <c r="AH83" s="104"/>
      <c r="AI83" s="104"/>
      <c r="AJ83" s="104"/>
      <c r="AK83" s="104"/>
      <c r="AL83" s="104"/>
      <c r="AM83" s="104"/>
      <c r="AN83" s="8"/>
      <c r="AO83" s="104" t="s">
        <v>103</v>
      </c>
      <c r="AP83" s="104"/>
      <c r="AQ83" s="104"/>
      <c r="AR83" s="104"/>
      <c r="AS83" s="104"/>
      <c r="AT83" s="104"/>
      <c r="AU83" s="104"/>
      <c r="AV83" s="104"/>
      <c r="AW83" s="104"/>
    </row>
    <row r="84" spans="1:80" ht="15" customHeight="1" thickBot="1" x14ac:dyDescent="0.4">
      <c r="A84" s="1" t="s">
        <v>34</v>
      </c>
      <c r="B84" s="105" t="s">
        <v>35</v>
      </c>
      <c r="C84" s="105"/>
      <c r="D84" s="105"/>
      <c r="E84" s="105"/>
      <c r="F84" s="106"/>
      <c r="G84" s="7" t="s">
        <v>36</v>
      </c>
      <c r="I84" s="5" t="str">
        <f>IF(G84="Standard","EQ","CHECK")</f>
        <v>EQ</v>
      </c>
      <c r="K84" s="2"/>
      <c r="L84" s="2"/>
      <c r="U84" s="1"/>
      <c r="V84" s="105" t="s">
        <v>33</v>
      </c>
      <c r="W84" s="105"/>
      <c r="X84" s="105"/>
      <c r="Y84" s="105"/>
      <c r="Z84" s="107"/>
      <c r="AA84" s="11"/>
      <c r="AB84" s="2" t="str">
        <f>IF($C$25="mm","mm","in")</f>
        <v>in</v>
      </c>
      <c r="AC84" s="85" t="str">
        <f>IF(AA84="","BLANK",IF($C$25="mm",IF(AA84&gt;=1.1938,"EQ","REJECT"),IF(AA84&gt;=0.047,"EQ","REJECT")))</f>
        <v>BLANK</v>
      </c>
      <c r="AE84" s="104"/>
      <c r="AF84" s="104"/>
      <c r="AG84" s="104"/>
      <c r="AH84" s="104"/>
      <c r="AI84" s="104"/>
      <c r="AJ84" s="104"/>
      <c r="AK84" s="104"/>
      <c r="AL84" s="104"/>
      <c r="AM84" s="104"/>
      <c r="AO84" s="104"/>
      <c r="AP84" s="104"/>
      <c r="AQ84" s="104"/>
      <c r="AR84" s="104"/>
      <c r="AS84" s="104"/>
      <c r="AT84" s="104"/>
      <c r="AU84" s="104"/>
      <c r="AV84" s="104"/>
      <c r="AW84" s="104"/>
      <c r="AY84" s="108" t="str">
        <f>IF(COUNTIF(BG85:BG87,"BLANK"),"BLANK",IF(COUNTIF(BG85:BG87,"REJECT"),"REJECT",IF(COUNTIF(BG85:BG87,"CHECK"),"CHECK","EQ")))</f>
        <v>BLANK</v>
      </c>
      <c r="AZ84" s="108"/>
      <c r="BA84" s="108"/>
      <c r="BB84" s="108"/>
      <c r="BC84" s="108"/>
      <c r="BD84" s="108"/>
      <c r="BE84" s="108"/>
      <c r="BF84" s="108"/>
      <c r="BG84" s="108"/>
      <c r="BI84" s="108" t="str">
        <f>IF(COUNTIF(BQ85:BQ86,"BLANK"),"BLANK",IF(COUNTIF(BQ85:BQ86,"REJECT"),"REJECT",IF(COUNTIF(BQ85:BQ86,"CHECK"),"CHECK","EQ")))</f>
        <v>EQ</v>
      </c>
      <c r="BJ84" s="108"/>
      <c r="BK84" s="108"/>
      <c r="BL84" s="108"/>
      <c r="BM84" s="108"/>
      <c r="BN84" s="108"/>
      <c r="BO84" s="108"/>
      <c r="BP84" s="108"/>
      <c r="BQ84" s="108"/>
      <c r="BS84" s="116" t="s">
        <v>234</v>
      </c>
      <c r="BT84" s="115" t="s">
        <v>284</v>
      </c>
      <c r="BU84" s="115"/>
      <c r="BV84" s="115"/>
      <c r="BW84" s="115"/>
      <c r="BX84" s="115"/>
      <c r="BY84" s="115"/>
      <c r="BZ84" s="115"/>
      <c r="CA84" s="115"/>
      <c r="CB84" s="115"/>
    </row>
    <row r="85" spans="1:80" ht="15" customHeight="1" thickBot="1" x14ac:dyDescent="0.4">
      <c r="A85" s="1"/>
      <c r="B85" s="105" t="s">
        <v>39</v>
      </c>
      <c r="C85" s="105"/>
      <c r="D85" s="105"/>
      <c r="E85" s="105"/>
      <c r="F85" s="107"/>
      <c r="G85" s="9"/>
      <c r="H85" s="2" t="str">
        <f>IF($C$25="mm","mm","in")</f>
        <v>in</v>
      </c>
      <c r="I85" s="5" t="str">
        <f>IF(G85="","BLANK","EQ")</f>
        <v>BLANK</v>
      </c>
      <c r="K85" s="2"/>
      <c r="L85" s="2"/>
      <c r="V85" s="105" t="str">
        <f>IF(AA83="Round","Outer Diameter (OD):","Square side:")</f>
        <v>Outer Diameter (OD):</v>
      </c>
      <c r="W85" s="105"/>
      <c r="X85" s="105"/>
      <c r="Y85" s="105"/>
      <c r="Z85" s="105"/>
      <c r="AA85" s="11"/>
      <c r="AB85" s="2" t="str">
        <f>IF($C$25="mm","mm","in")</f>
        <v>in</v>
      </c>
      <c r="AC85" s="89" t="str">
        <f>IF(OR(AA84="",AA85=""),"BLANK",
IF(AND($C$25="mm",OR(AND(AA83="Square",AA85&gt;=25),AND(AA84&gt;=1.5,AA85&gt;=25),AND(AA84&gt;=1.1938,AA85&gt;=25.4))),"EQ",
IF(AND($C$25="INCH",OR(AND(AA83="Square",AA85&gt;=0.984),AND(AA84&gt;=0.059,AA85&gt;=0.984),AND(AA84&gt;=0.047,AA85&gt;=1))),"EQ","REJECT")))</f>
        <v>BLANK</v>
      </c>
      <c r="AE85" s="71"/>
      <c r="AF85" s="71"/>
      <c r="AG85" s="71"/>
      <c r="AH85" s="71"/>
      <c r="AI85" s="71"/>
      <c r="AJ85" s="71"/>
      <c r="AK85" s="71"/>
      <c r="AL85" s="71"/>
      <c r="AM85" s="71"/>
      <c r="AY85" s="1" t="s">
        <v>130</v>
      </c>
      <c r="AZ85" s="105" t="s">
        <v>129</v>
      </c>
      <c r="BA85" s="105"/>
      <c r="BB85" s="105"/>
      <c r="BC85" s="105"/>
      <c r="BD85" s="107"/>
      <c r="BE85" s="7" t="s">
        <v>4</v>
      </c>
      <c r="BG85" s="5" t="s">
        <v>196</v>
      </c>
      <c r="BI85" s="1" t="s">
        <v>143</v>
      </c>
      <c r="BJ85" s="105" t="s">
        <v>145</v>
      </c>
      <c r="BK85" s="105"/>
      <c r="BL85" s="105"/>
      <c r="BM85" s="105"/>
      <c r="BN85" s="165"/>
      <c r="BO85" s="166"/>
      <c r="BP85" s="167"/>
      <c r="BQ85" s="5" t="str">
        <f>IF(BN85="Select drop down:","BLANK","EQ")</f>
        <v>EQ</v>
      </c>
      <c r="BS85" s="116"/>
      <c r="BT85" s="117" t="s">
        <v>287</v>
      </c>
      <c r="BU85" s="117"/>
      <c r="BV85" s="117"/>
      <c r="BW85" s="117"/>
      <c r="BX85" s="117"/>
      <c r="BY85" s="117"/>
      <c r="BZ85" s="117"/>
      <c r="CA85" s="117"/>
      <c r="CB85" s="117"/>
    </row>
    <row r="86" spans="1:80" ht="15" customHeight="1" thickBot="1" x14ac:dyDescent="0.4">
      <c r="A86" s="1"/>
      <c r="B86" s="105" t="s">
        <v>38</v>
      </c>
      <c r="C86" s="105"/>
      <c r="D86" s="105"/>
      <c r="E86" s="105"/>
      <c r="F86" s="107"/>
      <c r="G86" s="11"/>
      <c r="H86" s="2" t="str">
        <f>IF($C$25="mm","mm","in")</f>
        <v>in</v>
      </c>
      <c r="I86" s="5" t="str">
        <f>IF(G86="","BLANK","EQ")</f>
        <v>BLANK</v>
      </c>
      <c r="V86" s="4"/>
      <c r="W86" s="4"/>
      <c r="X86" s="4"/>
      <c r="Y86" s="4"/>
      <c r="Z86" s="4"/>
      <c r="AA86" s="5"/>
      <c r="AC86" s="5"/>
      <c r="AP86" s="110" t="str">
        <f>AP79</f>
        <v>Shoulder Harness Bar does not require braces.</v>
      </c>
      <c r="AQ86" s="110"/>
      <c r="AR86" s="110"/>
      <c r="AS86" s="110"/>
      <c r="AT86" s="110"/>
      <c r="AU86" s="110"/>
      <c r="AV86" s="110"/>
      <c r="AY86" s="1"/>
      <c r="AZ86" s="105" t="s">
        <v>33</v>
      </c>
      <c r="BA86" s="105"/>
      <c r="BB86" s="105"/>
      <c r="BC86" s="105"/>
      <c r="BD86" s="107"/>
      <c r="BE86" s="11"/>
      <c r="BF86" s="2" t="str">
        <f>IF($C$25="mm","mm","in")</f>
        <v>in</v>
      </c>
      <c r="BG86" s="5" t="str">
        <f>IF(BE86="","BLANK",IF($C$25="mm",IF(BE86&gt;=1.1938,"EQ","REJECT"),IF(BE86&gt;=0.047,"EQ","REJECT")))</f>
        <v>BLANK</v>
      </c>
      <c r="BI86" s="110" t="str">
        <f>IF(BN85="Mounted on MHB with Brace.", "Include legible image below:","")</f>
        <v/>
      </c>
      <c r="BJ86" s="110"/>
      <c r="BK86" s="110"/>
      <c r="BL86" s="110"/>
      <c r="BM86" s="110"/>
      <c r="BN86" s="110"/>
      <c r="BO86" s="110"/>
      <c r="BP86" s="110"/>
      <c r="BQ86" s="103" t="str">
        <f>IF(BI86="","EQ","CHECK")</f>
        <v>EQ</v>
      </c>
      <c r="BT86" s="117"/>
      <c r="BU86" s="117"/>
      <c r="BV86" s="117"/>
      <c r="BW86" s="117"/>
      <c r="BX86" s="117"/>
      <c r="BY86" s="117"/>
      <c r="BZ86" s="117"/>
      <c r="CA86" s="117"/>
      <c r="CB86" s="117"/>
    </row>
    <row r="87" spans="1:80" ht="15" customHeight="1" thickBot="1" x14ac:dyDescent="0.4">
      <c r="A87" s="91"/>
      <c r="B87" s="105" t="s">
        <v>347</v>
      </c>
      <c r="C87" s="105"/>
      <c r="D87" s="105"/>
      <c r="E87" s="105"/>
      <c r="F87" s="106"/>
      <c r="G87" s="7" t="s">
        <v>4</v>
      </c>
      <c r="H87" s="90"/>
      <c r="I87" s="89" t="s">
        <v>196</v>
      </c>
      <c r="U87" s="104" t="s">
        <v>47</v>
      </c>
      <c r="V87" s="104"/>
      <c r="W87" s="104"/>
      <c r="X87" s="104"/>
      <c r="Y87" s="104"/>
      <c r="Z87" s="104"/>
      <c r="AA87" s="104"/>
      <c r="AB87" s="104"/>
      <c r="AC87" s="104"/>
      <c r="AO87" s="108" t="str">
        <f>IF(COUNTIF(AW88,"BLANK"),"BLANK",IF(COUNTIF(AW88,"REJECT"),"REJECT",IF(COUNTIF(AW88,"CHECK"),"CHECK","EQ")))</f>
        <v>EQ</v>
      </c>
      <c r="AP87" s="108"/>
      <c r="AQ87" s="108"/>
      <c r="AR87" s="108"/>
      <c r="AS87" s="108"/>
      <c r="AT87" s="108"/>
      <c r="AU87" s="108"/>
      <c r="AV87" s="108"/>
      <c r="AW87" s="108"/>
      <c r="AZ87" s="105" t="str">
        <f>IF(BE85="Round","Outer Diameter (OD):","Square side:")</f>
        <v>Outer Diameter (OD):</v>
      </c>
      <c r="BA87" s="105"/>
      <c r="BB87" s="105"/>
      <c r="BC87" s="105"/>
      <c r="BD87" s="105"/>
      <c r="BE87" s="11"/>
      <c r="BF87" s="2" t="str">
        <f>IF($C$25="mm","mm","in")</f>
        <v>in</v>
      </c>
      <c r="BG87" s="85" t="str">
        <f>IF(OR(BE86="",BE87=""),"BLANK",
IF(AND($C$25="mm",OR(AND(BE85="Square",BE87&gt;=25),AND(BE87&gt;=25,BE87&gt;=BE86+(12.7^2-(12.7-1.6)^2)/BE86))),"EQ",
IF(AND($C$25="INCH",OR(AND(BE85="Square",BE87&gt;=0.984),AND(BE87&gt;=0.984,BE87&gt;=BE86+(0.5^2-(0.5-0.063)^2)/BE86))),"EQ","REJECT")))</f>
        <v>BLANK</v>
      </c>
      <c r="BI87" s="110" t="str">
        <f>IF(BN85="Mounted on MHB with Brace.","Calculations showing wing mount buckling &lt; MHB yield in bending.","")</f>
        <v/>
      </c>
      <c r="BJ87" s="110"/>
      <c r="BK87" s="110"/>
      <c r="BL87" s="110"/>
      <c r="BM87" s="110"/>
      <c r="BN87" s="110"/>
      <c r="BO87" s="110"/>
      <c r="BP87" s="110"/>
      <c r="BQ87" s="110"/>
    </row>
    <row r="88" spans="1:80" ht="15" customHeight="1" x14ac:dyDescent="0.35">
      <c r="B88" s="105" t="s">
        <v>37</v>
      </c>
      <c r="C88" s="105"/>
      <c r="D88" s="105"/>
      <c r="E88" s="105"/>
      <c r="F88" s="107"/>
      <c r="G88" s="9"/>
      <c r="H88" s="2" t="str">
        <f>IF($C$25="mm","mm","in")</f>
        <v>in</v>
      </c>
      <c r="I88" s="5" t="str">
        <f>IF(A90="No diagonal or X-brace required.","N/A",IF(A90="Testing Required.","CHECK","EQ"))</f>
        <v>N/A</v>
      </c>
      <c r="K88" s="2"/>
      <c r="L88" s="2"/>
      <c r="U88" s="104"/>
      <c r="V88" s="104"/>
      <c r="W88" s="104"/>
      <c r="X88" s="104"/>
      <c r="Y88" s="104"/>
      <c r="Z88" s="104"/>
      <c r="AA88" s="104"/>
      <c r="AB88" s="104"/>
      <c r="AC88" s="104"/>
      <c r="AO88" s="1" t="s">
        <v>248</v>
      </c>
      <c r="AP88" s="105" t="s">
        <v>249</v>
      </c>
      <c r="AQ88" s="105"/>
      <c r="AR88" s="105"/>
      <c r="AS88" s="105"/>
      <c r="AT88" s="107"/>
      <c r="AU88" s="11"/>
      <c r="AV88" s="2" t="s">
        <v>54</v>
      </c>
      <c r="AW88" s="5" t="str">
        <f>IF(AU75="Straight","N/A",IF(AU88="","BLANK",IF(AND(ABS(AU88)&gt;=30,ABS(AU88)&lt;90),"EQ","REJECT")))</f>
        <v>N/A</v>
      </c>
      <c r="BS88" s="114" t="s">
        <v>223</v>
      </c>
      <c r="BT88" s="115" t="s">
        <v>225</v>
      </c>
      <c r="BU88" s="115"/>
      <c r="BV88" s="115"/>
      <c r="BW88" s="115"/>
      <c r="BX88" s="115"/>
      <c r="BY88" s="115"/>
      <c r="BZ88" s="115"/>
      <c r="CA88" s="115"/>
      <c r="CB88" s="115"/>
    </row>
    <row r="89" spans="1:80" ht="15" customHeight="1" x14ac:dyDescent="0.35">
      <c r="B89" s="105" t="str">
        <f>IF(G87="Round","Outer Diameter (OD):","Square side:")</f>
        <v>Outer Diameter (OD):</v>
      </c>
      <c r="C89" s="105"/>
      <c r="D89" s="105"/>
      <c r="E89" s="105"/>
      <c r="F89" s="105"/>
      <c r="G89" s="11"/>
      <c r="H89" s="2" t="str">
        <f>IF($C$25="mm","mm","in")</f>
        <v>in</v>
      </c>
      <c r="I89" s="89" t="str">
        <f>IF(A90="No diagonal or X-brace required.","N/A",IF(A90="Testing Required.","CHECK","EQ"))</f>
        <v>N/A</v>
      </c>
      <c r="U89" s="104"/>
      <c r="V89" s="104"/>
      <c r="W89" s="104"/>
      <c r="X89" s="104"/>
      <c r="Y89" s="104"/>
      <c r="Z89" s="104"/>
      <c r="AA89" s="104"/>
      <c r="AB89" s="104"/>
      <c r="AC89" s="104"/>
      <c r="AY89" s="104" t="s">
        <v>124</v>
      </c>
      <c r="AZ89" s="104"/>
      <c r="BA89" s="104"/>
      <c r="BB89" s="104"/>
      <c r="BC89" s="104"/>
      <c r="BD89" s="104"/>
      <c r="BE89" s="104"/>
      <c r="BF89" s="104"/>
      <c r="BG89" s="104"/>
      <c r="BS89" s="114"/>
      <c r="BT89" s="115" t="s">
        <v>224</v>
      </c>
      <c r="BU89" s="115"/>
      <c r="BV89" s="115"/>
      <c r="BW89" s="115"/>
      <c r="BX89" s="115"/>
      <c r="BY89" s="115"/>
      <c r="BZ89" s="115"/>
      <c r="CA89" s="115"/>
      <c r="CB89" s="115"/>
    </row>
    <row r="90" spans="1:80" ht="15" customHeight="1" x14ac:dyDescent="0.35">
      <c r="A90" s="127" t="str">
        <f>IF(G84="Custom","Testing Required.",
IF(OR(AND($C$25="mm",ABS(G85)&lt;=406,ABS(G86)&lt;=355),AND($C$25="Inch",ABS(G85)&lt;=16,ABS(G86)&lt;=14)),"No diagonal or X-brace required.",
IF(AND($C$25="mm",OR(AND(G87="Square",G89&gt;=25),AND(G88&gt;=1.5,G89&gt;=25),AND(G88&gt;=1.1938,G89&gt;=25.4))),"Diagonal meets T.2.23.4",
IF(AND($C$25="INCH",OR(AND(G87="Square",G89&gt;=0.984),AND(G88&gt;=0.059,G89&gt;=0.984),AND(G88&gt;=0.047,G89&gt;=1))),"Diagonal meets T.2.23.4","Testing Required."))))</f>
        <v>No diagonal or X-brace required.</v>
      </c>
      <c r="B90" s="127"/>
      <c r="C90" s="127"/>
      <c r="D90" s="127"/>
      <c r="E90" s="127"/>
      <c r="F90" s="127"/>
      <c r="G90" s="127"/>
      <c r="H90" s="127"/>
      <c r="I90" s="5" t="str">
        <f>IF(A90="No diagonal or X-brace required.","",IF(A90="Testing Required.","CHECK","EQ"))</f>
        <v/>
      </c>
      <c r="U90" s="1"/>
      <c r="V90" s="3"/>
      <c r="AO90" s="109" t="s">
        <v>174</v>
      </c>
      <c r="AP90" s="109"/>
      <c r="AQ90" s="109"/>
      <c r="AR90" s="109"/>
      <c r="AS90" s="109"/>
      <c r="AT90" s="109"/>
      <c r="AU90" s="109"/>
      <c r="AV90" s="109"/>
      <c r="AW90" s="109"/>
      <c r="AY90" s="104"/>
      <c r="AZ90" s="104"/>
      <c r="BA90" s="104"/>
      <c r="BB90" s="104"/>
      <c r="BC90" s="104"/>
      <c r="BD90" s="104"/>
      <c r="BE90" s="104"/>
      <c r="BF90" s="104"/>
      <c r="BG90" s="104"/>
    </row>
    <row r="91" spans="1:80" ht="15" customHeight="1" x14ac:dyDescent="0.35">
      <c r="A91" s="109"/>
      <c r="B91" s="109"/>
      <c r="C91" s="109"/>
      <c r="D91" s="109"/>
      <c r="E91" s="109"/>
      <c r="F91" s="109"/>
      <c r="G91" s="109"/>
      <c r="H91" s="109"/>
      <c r="I91" s="109"/>
      <c r="U91" s="108" t="str">
        <f>IF(COUNTIF(AC92,"BLANK"),"BLANK",IF(COUNTIF(AC92,"REJECT"),"REJECT",IF(COUNTIF(AC92,"CHECK"),"CHECK","EQ")))</f>
        <v>BLANK</v>
      </c>
      <c r="V91" s="108"/>
      <c r="W91" s="108"/>
      <c r="X91" s="108"/>
      <c r="Y91" s="108"/>
      <c r="Z91" s="108"/>
      <c r="AA91" s="108"/>
      <c r="AB91" s="108"/>
      <c r="AC91" s="108"/>
      <c r="AO91" s="19"/>
      <c r="AP91" s="19"/>
      <c r="AQ91" s="19"/>
      <c r="AR91" s="19"/>
      <c r="AS91" s="19"/>
      <c r="AT91" s="19"/>
      <c r="AU91" s="19"/>
      <c r="AV91" s="19"/>
      <c r="AW91" s="19"/>
      <c r="AY91" s="104"/>
      <c r="AZ91" s="104"/>
      <c r="BA91" s="104"/>
      <c r="BB91" s="104"/>
      <c r="BC91" s="104"/>
      <c r="BD91" s="104"/>
      <c r="BE91" s="104"/>
      <c r="BF91" s="104"/>
      <c r="BG91" s="104"/>
      <c r="BT91" s="41" t="s">
        <v>289</v>
      </c>
    </row>
    <row r="92" spans="1:80" ht="15" customHeight="1" x14ac:dyDescent="0.35">
      <c r="A92" s="126" t="s">
        <v>372</v>
      </c>
      <c r="B92" s="126"/>
      <c r="C92" s="126"/>
      <c r="D92" s="126"/>
      <c r="E92" s="126"/>
      <c r="F92" s="126"/>
      <c r="G92" s="126"/>
      <c r="H92" s="126"/>
      <c r="I92" s="126"/>
      <c r="K92" s="2"/>
      <c r="L92" s="2"/>
      <c r="U92" s="1" t="s">
        <v>46</v>
      </c>
      <c r="V92" s="105" t="str">
        <f>IF($C$25="mm","Top of FB to Upper FBHS tube, 50mm vertical limit:","Top of FB to Upper FBHS tube, 2in vertical limit:")</f>
        <v>Top of FB to Upper FBHS tube, 2in vertical limit:</v>
      </c>
      <c r="W92" s="105"/>
      <c r="X92" s="105"/>
      <c r="Y92" s="105"/>
      <c r="Z92" s="107"/>
      <c r="AA92" s="11"/>
      <c r="AB92" s="2" t="str">
        <f>IF($C$25="mm","mm","in")</f>
        <v>in</v>
      </c>
      <c r="AC92" s="5" t="str">
        <f>IF(AA92="","BLANK",IF($C$25="mm",IF(AA92&lt;=50,"EQ","REJECT"),IF(AA92&lt;=2,"EQ","REJECT")))</f>
        <v>BLANK</v>
      </c>
      <c r="AP92" s="110" t="str">
        <f>AP79</f>
        <v>Shoulder Harness Bar does not require braces.</v>
      </c>
      <c r="AQ92" s="110"/>
      <c r="AR92" s="110"/>
      <c r="AS92" s="110"/>
      <c r="AT92" s="110"/>
      <c r="AU92" s="110"/>
      <c r="AV92" s="110"/>
      <c r="AX92" s="19"/>
      <c r="AY92" s="104" t="s">
        <v>125</v>
      </c>
      <c r="AZ92" s="104"/>
      <c r="BA92" s="104"/>
      <c r="BB92" s="104"/>
      <c r="BC92" s="104"/>
      <c r="BD92" s="104"/>
      <c r="BE92" s="104"/>
      <c r="BF92" s="104"/>
      <c r="BG92" s="104"/>
      <c r="BT92" s="41" t="s">
        <v>228</v>
      </c>
    </row>
    <row r="93" spans="1:80" ht="15" customHeight="1" thickBot="1" x14ac:dyDescent="0.4">
      <c r="A93" s="126"/>
      <c r="B93" s="126"/>
      <c r="C93" s="126"/>
      <c r="D93" s="126"/>
      <c r="E93" s="126"/>
      <c r="F93" s="126"/>
      <c r="G93" s="126"/>
      <c r="H93" s="126"/>
      <c r="I93" s="126"/>
      <c r="K93" s="2"/>
      <c r="L93" s="2"/>
      <c r="U93" s="15"/>
      <c r="V93" s="15"/>
      <c r="W93" s="15"/>
      <c r="X93" s="15"/>
      <c r="Y93" s="15"/>
      <c r="Z93" s="15"/>
      <c r="AA93" s="15"/>
      <c r="AB93" s="15"/>
      <c r="AC93" s="15"/>
      <c r="AO93" s="108" t="str">
        <f>IF(COUNTIF(AW94:AW96,"BLANK"),"BLANK",IF(COUNTIF(AW94:AW96,"REJECT"),"REJECT",IF(COUNTIF(AW94:AW96,"CHECK"),"CHECK","EQ")))</f>
        <v>EQ</v>
      </c>
      <c r="AP93" s="108"/>
      <c r="AQ93" s="108"/>
      <c r="AR93" s="108"/>
      <c r="AS93" s="108"/>
      <c r="AT93" s="108"/>
      <c r="AU93" s="108"/>
      <c r="AV93" s="108"/>
      <c r="AW93" s="108"/>
      <c r="AY93" s="104"/>
      <c r="AZ93" s="104"/>
      <c r="BA93" s="104"/>
      <c r="BB93" s="104"/>
      <c r="BC93" s="104"/>
      <c r="BD93" s="104"/>
      <c r="BE93" s="104"/>
      <c r="BF93" s="104"/>
      <c r="BG93" s="104"/>
    </row>
    <row r="94" spans="1:80" ht="15" customHeight="1" thickBot="1" x14ac:dyDescent="0.4">
      <c r="A94" s="126"/>
      <c r="B94" s="126"/>
      <c r="C94" s="126"/>
      <c r="D94" s="126"/>
      <c r="E94" s="126"/>
      <c r="F94" s="126"/>
      <c r="G94" s="126"/>
      <c r="H94" s="126"/>
      <c r="I94" s="126"/>
      <c r="K94" s="2"/>
      <c r="L94" s="2"/>
      <c r="U94" s="108" t="str">
        <f>IF(COUNTIF(AC95:AC97,"BLANK"),"BLANK",IF(COUNTIF(AC95:AC97,"REJECT"),"REJECT",IF(COUNTIF(AC95:AC97,"CHECK"),"CHECK","EQ")))</f>
        <v>BLANK</v>
      </c>
      <c r="V94" s="108"/>
      <c r="W94" s="108"/>
      <c r="X94" s="108"/>
      <c r="Y94" s="108"/>
      <c r="Z94" s="108"/>
      <c r="AA94" s="108"/>
      <c r="AB94" s="108"/>
      <c r="AC94" s="108"/>
      <c r="AO94" s="1" t="s">
        <v>104</v>
      </c>
      <c r="AP94" s="105" t="s">
        <v>281</v>
      </c>
      <c r="AQ94" s="105"/>
      <c r="AR94" s="105"/>
      <c r="AS94" s="105"/>
      <c r="AT94" s="107"/>
      <c r="AU94" s="7" t="s">
        <v>4</v>
      </c>
      <c r="AW94" s="5" t="str">
        <f>IF(AU75="Straight","N/A","EQ")</f>
        <v>N/A</v>
      </c>
      <c r="BT94" s="115" t="s">
        <v>226</v>
      </c>
      <c r="BU94" s="115"/>
      <c r="BV94" s="115"/>
      <c r="BW94" s="115"/>
      <c r="BX94" s="115"/>
      <c r="BY94" s="115"/>
      <c r="BZ94" s="115"/>
      <c r="CA94" s="115"/>
      <c r="CB94" s="115"/>
    </row>
    <row r="95" spans="1:80" ht="15" customHeight="1" thickBot="1" x14ac:dyDescent="0.4">
      <c r="A95" s="126"/>
      <c r="B95" s="126"/>
      <c r="C95" s="126"/>
      <c r="D95" s="126"/>
      <c r="E95" s="126"/>
      <c r="F95" s="126"/>
      <c r="G95" s="126"/>
      <c r="H95" s="126"/>
      <c r="I95" s="126"/>
      <c r="U95" s="1" t="s">
        <v>247</v>
      </c>
      <c r="V95" s="105" t="s">
        <v>64</v>
      </c>
      <c r="W95" s="105"/>
      <c r="X95" s="105"/>
      <c r="Y95" s="105"/>
      <c r="Z95" s="106"/>
      <c r="AA95" s="7" t="s">
        <v>359</v>
      </c>
      <c r="AC95" s="5" t="s">
        <v>196</v>
      </c>
      <c r="AO95" s="1"/>
      <c r="AP95" s="105" t="s">
        <v>33</v>
      </c>
      <c r="AQ95" s="105"/>
      <c r="AR95" s="105"/>
      <c r="AS95" s="105"/>
      <c r="AT95" s="107"/>
      <c r="AU95" s="11"/>
      <c r="AV95" s="2" t="str">
        <f>IF($C$25="mm","mm","in")</f>
        <v>in</v>
      </c>
      <c r="AW95" s="5" t="str">
        <f>IF(AU75="Straight","N/A",AW96IF(AU95="","BLANK",IF($C$25="mm",IF(AU95&gt;=1.1938,"EQ","REJECT"),IF(AU95&gt;=0.047,"EQ","REJECT"))))</f>
        <v>N/A</v>
      </c>
      <c r="AY95" s="108" t="str">
        <f>IF(COUNTIF(BG96:BG98,"BLANK"),"BLANK",IF(COUNTIF(BG96:BG98,"REJECT"),"REJECT",IF(COUNTIF(BG96:BG98,"CHECK"),"CHECK","EQ")))</f>
        <v>BLANK</v>
      </c>
      <c r="AZ95" s="108"/>
      <c r="BA95" s="108"/>
      <c r="BB95" s="108"/>
      <c r="BC95" s="108"/>
      <c r="BD95" s="108"/>
      <c r="BE95" s="108"/>
      <c r="BF95" s="108"/>
      <c r="BG95" s="108"/>
    </row>
    <row r="96" spans="1:80" ht="15" customHeight="1" thickBot="1" x14ac:dyDescent="0.4">
      <c r="A96" s="126"/>
      <c r="B96" s="126"/>
      <c r="C96" s="126"/>
      <c r="D96" s="126"/>
      <c r="E96" s="126"/>
      <c r="F96" s="126"/>
      <c r="G96" s="126"/>
      <c r="H96" s="126"/>
      <c r="I96" s="126"/>
      <c r="U96" s="105" t="str">
        <f>IF(AA95="C","Top of Lower FBHS tube relative to top of Upper SIS tube:","Top of Upper FBHS tube relative to top of Upper SIS tube:")</f>
        <v>Top of Upper FBHS tube relative to top of Upper SIS tube:</v>
      </c>
      <c r="V96" s="105"/>
      <c r="W96" s="105"/>
      <c r="X96" s="105"/>
      <c r="Y96" s="105"/>
      <c r="Z96" s="106"/>
      <c r="AA96" s="7" t="s">
        <v>360</v>
      </c>
      <c r="AC96" s="5" t="s">
        <v>196</v>
      </c>
      <c r="AP96" s="105" t="str">
        <f>IF(AU94="Round","Outer Diameter (OD):","Square side:")</f>
        <v>Outer Diameter (OD):</v>
      </c>
      <c r="AQ96" s="105"/>
      <c r="AR96" s="105"/>
      <c r="AS96" s="105"/>
      <c r="AT96" s="105"/>
      <c r="AU96" s="11"/>
      <c r="AV96" s="2" t="str">
        <f>IF($C$25="mm","mm","in")</f>
        <v>in</v>
      </c>
      <c r="AW96" s="89" t="str">
        <f>IF(AU75="Straight","N/A",
IF(OR(AU95="",AU96=""),"BLANK",
IF(AND($C$25="mm",OR(AND(AU94="Square",AU96&gt;=25),AND(AU95&gt;=1.5,AU96&gt;=25),AND(AU95&gt;=1.1938,AU96&gt;=25.4))),"EQ",
IF(AND($C$25="INCH",OR(AND(AU94="Square",AU96&gt;=0.984),AND(AU95&gt;=0.059,AU96&gt;=0.984),AND(AU95&gt;=0.047,AU96&gt;=1))),"EQ","REJECT"))))</f>
        <v>N/A</v>
      </c>
      <c r="AY96" s="1" t="s">
        <v>130</v>
      </c>
      <c r="AZ96" s="105" t="s">
        <v>133</v>
      </c>
      <c r="BA96" s="105"/>
      <c r="BB96" s="105"/>
      <c r="BC96" s="105"/>
      <c r="BD96" s="107"/>
      <c r="BE96" s="7" t="s">
        <v>4</v>
      </c>
      <c r="BG96" s="5" t="s">
        <v>196</v>
      </c>
    </row>
    <row r="97" spans="1:59" ht="15" customHeight="1" x14ac:dyDescent="0.35">
      <c r="A97" s="104" t="s">
        <v>151</v>
      </c>
      <c r="B97" s="104"/>
      <c r="C97" s="104"/>
      <c r="D97" s="104"/>
      <c r="E97" s="104"/>
      <c r="F97" s="104"/>
      <c r="G97" s="104"/>
      <c r="H97" s="104"/>
      <c r="I97" s="104"/>
      <c r="U97" s="105" t="str">
        <f>IF($C$25="mm",
IF(AA95="C",IF(AA96="Above","Vertical limit 100mm above:","Vertical limit 50mm below:"),
IF(AA96="Above","Without Rear FHB, vertical limit 100mm above:","Vertical limit 50mm below:")),
IF(AA95="C",IF(AA96="Above","Vertical limit 4in above:","Vertical limit 2in below:"),
IF(AA96="Above","Without Rear FHB, vertical limit 4in above:","Vertical limit 2in below:")))</f>
        <v>Without Rear FHB, vertical limit 4in above:</v>
      </c>
      <c r="V97" s="105"/>
      <c r="W97" s="105"/>
      <c r="X97" s="105"/>
      <c r="Y97" s="105"/>
      <c r="Z97" s="107"/>
      <c r="AA97" s="11"/>
      <c r="AB97" s="2" t="str">
        <f>IF($C$25="mm","mm","in")</f>
        <v>in</v>
      </c>
      <c r="AC97" s="5" t="str">
        <f>IF(AA97="","BLANK",IF(AND(AA96="Below",OR(AND($C$25="mm",ABS(AA97)&gt;50),AND($C$25="Inch",ABS(AA97)&gt;2))),"REJECT",IF(AND(AA96="Above",OR(AND($C$25="mm",ABS(AA97)&gt;100),AND($C$25="Inch",ABS(AA97)&gt;4))),IF(AA95="C","REJECT","EQ"),"EQ")))</f>
        <v>BLANK</v>
      </c>
      <c r="AP97" s="4"/>
      <c r="AQ97" s="4"/>
      <c r="AR97" s="4"/>
      <c r="AS97" s="4"/>
      <c r="AT97" s="4"/>
      <c r="AU97" s="5"/>
      <c r="AW97" s="5"/>
      <c r="AY97" s="1"/>
      <c r="AZ97" s="105" t="s">
        <v>33</v>
      </c>
      <c r="BA97" s="105"/>
      <c r="BB97" s="105"/>
      <c r="BC97" s="105"/>
      <c r="BD97" s="107"/>
      <c r="BE97" s="11"/>
      <c r="BF97" s="2" t="str">
        <f>IF($C$25="mm","mm","in")</f>
        <v>in</v>
      </c>
      <c r="BG97" s="5" t="str">
        <f>IF(BE97="","BLANK",IF($C$25="mm",IF(BE97&gt;=1.1938,"EQ","REJECT"),IF(BE97&gt;=0.047,"EQ","REJECT")))</f>
        <v>BLANK</v>
      </c>
    </row>
    <row r="98" spans="1:59" ht="15" customHeight="1" x14ac:dyDescent="0.35">
      <c r="A98" s="104"/>
      <c r="B98" s="104"/>
      <c r="C98" s="104"/>
      <c r="D98" s="104"/>
      <c r="E98" s="104"/>
      <c r="F98" s="104"/>
      <c r="G98" s="104"/>
      <c r="H98" s="104"/>
      <c r="I98" s="104"/>
      <c r="V98" s="110" t="str">
        <f>IF(AND(AC97="REJECT",AA96="Below"),"FBHS connecting too far below Upper SIS.",
IF(AND(AC97="REJECT",AA95="C"),"FBHS connecting too far above Upper SIS.",
IF(AA95="C","Rearward Front Hoop Brace Required by FBHS.",
IF(AND(AA96="Above",OR(AND($C$25="mm",ABS(AA97)&gt;100),AND($C$25="Inch",ABS(AA97)&gt;4))),"Rearward Front Hoop Brace Required by FBHS.","Rearward Front Hoop Brace is not required."))))</f>
        <v>Rearward Front Hoop Brace is not required.</v>
      </c>
      <c r="W98" s="110"/>
      <c r="X98" s="110"/>
      <c r="Y98" s="110"/>
      <c r="Z98" s="110"/>
      <c r="AA98" s="110"/>
      <c r="AB98" s="110"/>
      <c r="AC98" s="5"/>
      <c r="AO98" s="104" t="s">
        <v>115</v>
      </c>
      <c r="AP98" s="104"/>
      <c r="AQ98" s="104"/>
      <c r="AR98" s="104"/>
      <c r="AS98" s="104"/>
      <c r="AT98" s="104"/>
      <c r="AU98" s="104"/>
      <c r="AV98" s="104"/>
      <c r="AW98" s="104"/>
      <c r="AZ98" s="105" t="str">
        <f>IF(BE96="Round","Outer Diameter (OD):","Square side:")</f>
        <v>Outer Diameter (OD):</v>
      </c>
      <c r="BA98" s="105"/>
      <c r="BB98" s="105"/>
      <c r="BC98" s="105"/>
      <c r="BD98" s="105"/>
      <c r="BE98" s="11"/>
      <c r="BF98" s="2" t="str">
        <f>IF($C$25="mm","mm","in")</f>
        <v>in</v>
      </c>
      <c r="BG98" s="89" t="str">
        <f>IF(OR(BE97="",BE98=""),"BLANK",
IF(AND($C$25="mm",OR(AND(BE96="Square",BE98&gt;=25),AND(BE97&gt;=1.5,BE98&gt;=25),AND(BE97&gt;=1.1938,BE98&gt;=25.4))),"EQ",
IF(AND($C$25="INCH",OR(AND(BE96="Square",BE98&gt;=0.984),AND(BE97&gt;=0.059,BE98&gt;=0.984),AND(BE97&gt;=0.047,BE98&gt;=1))),"EQ","REJECT")))</f>
        <v>BLANK</v>
      </c>
    </row>
    <row r="99" spans="1:59" ht="15" customHeight="1" x14ac:dyDescent="0.35">
      <c r="A99" s="104"/>
      <c r="B99" s="104"/>
      <c r="C99" s="104"/>
      <c r="D99" s="104"/>
      <c r="E99" s="104"/>
      <c r="F99" s="104"/>
      <c r="G99" s="104"/>
      <c r="H99" s="104"/>
      <c r="I99" s="104"/>
      <c r="U99" s="6"/>
      <c r="V99" s="16"/>
      <c r="W99" s="8"/>
      <c r="X99" s="8"/>
      <c r="Y99" s="8"/>
      <c r="Z99" s="8"/>
      <c r="AA99" s="8"/>
      <c r="AB99" s="8"/>
      <c r="AC99" s="8"/>
      <c r="AO99" s="104"/>
      <c r="AP99" s="104"/>
      <c r="AQ99" s="104"/>
      <c r="AR99" s="104"/>
      <c r="AS99" s="104"/>
      <c r="AT99" s="104"/>
      <c r="AU99" s="104"/>
      <c r="AV99" s="104"/>
      <c r="AW99" s="104"/>
      <c r="AZ99" s="4"/>
      <c r="BA99" s="4"/>
      <c r="BB99" s="4"/>
      <c r="BC99" s="4"/>
      <c r="BD99" s="4"/>
      <c r="BE99" s="5"/>
      <c r="BG99" s="5"/>
    </row>
    <row r="100" spans="1:59" ht="15" customHeight="1" x14ac:dyDescent="0.35">
      <c r="A100" s="104" t="s">
        <v>282</v>
      </c>
      <c r="B100" s="104"/>
      <c r="C100" s="104"/>
      <c r="D100" s="104"/>
      <c r="E100" s="104"/>
      <c r="F100" s="104"/>
      <c r="G100" s="104"/>
      <c r="H100" s="104"/>
      <c r="I100" s="104"/>
      <c r="U100" s="108" t="str">
        <f>IF(COUNTIF(AC101,"BLANK"),"BLANK",IF(COUNTIF(AC101,"REJECT"),"REJECT",IF(COUNTIF(AC101,"CHECK"),"CHECK","EQ")))</f>
        <v>BLANK</v>
      </c>
      <c r="V100" s="108"/>
      <c r="W100" s="108"/>
      <c r="X100" s="108"/>
      <c r="Y100" s="108"/>
      <c r="Z100" s="108"/>
      <c r="AA100" s="108"/>
      <c r="AB100" s="108"/>
      <c r="AC100" s="108"/>
      <c r="AO100" s="104"/>
      <c r="AP100" s="104"/>
      <c r="AQ100" s="104"/>
      <c r="AR100" s="104"/>
      <c r="AS100" s="104"/>
      <c r="AT100" s="104"/>
      <c r="AU100" s="104"/>
      <c r="AV100" s="104"/>
      <c r="AW100" s="104"/>
      <c r="AY100" s="104" t="s">
        <v>250</v>
      </c>
      <c r="AZ100" s="104"/>
      <c r="BA100" s="104"/>
      <c r="BB100" s="104"/>
      <c r="BC100" s="104"/>
      <c r="BD100" s="104"/>
      <c r="BE100" s="104"/>
      <c r="BF100" s="104"/>
      <c r="BG100" s="104"/>
    </row>
    <row r="101" spans="1:59" ht="15" customHeight="1" x14ac:dyDescent="0.35">
      <c r="A101" s="104"/>
      <c r="B101" s="104"/>
      <c r="C101" s="104"/>
      <c r="D101" s="104"/>
      <c r="E101" s="104"/>
      <c r="F101" s="104"/>
      <c r="G101" s="104"/>
      <c r="H101" s="104"/>
      <c r="I101" s="104"/>
      <c r="U101" s="1" t="s">
        <v>45</v>
      </c>
      <c r="V101" s="105" t="str">
        <f>IF($C$25="mm","Top of FH to top of FHB tube, 50mm vertical limit:","Top of FH to top of FHB tube, 2in vertical limit:")</f>
        <v>Top of FH to top of FHB tube, 2in vertical limit:</v>
      </c>
      <c r="W101" s="105"/>
      <c r="X101" s="105"/>
      <c r="Y101" s="105"/>
      <c r="Z101" s="107"/>
      <c r="AA101" s="11"/>
      <c r="AB101" s="2" t="str">
        <f>IF($C$25="mm","mm","in")</f>
        <v>in</v>
      </c>
      <c r="AC101" s="5" t="str">
        <f>IF(AA101="","BLANK",IF($C$25="mm",IF(AA101&lt;=50,"EQ","REJECT"),IF(AA101&lt;=2,"EQ","REJECT")))</f>
        <v>BLANK</v>
      </c>
      <c r="AY101" s="104"/>
      <c r="AZ101" s="104"/>
      <c r="BA101" s="104"/>
      <c r="BB101" s="104"/>
      <c r="BC101" s="104"/>
      <c r="BD101" s="104"/>
      <c r="BE101" s="104"/>
      <c r="BF101" s="104"/>
      <c r="BG101" s="104"/>
    </row>
    <row r="102" spans="1:59" ht="15" customHeight="1" thickBot="1" x14ac:dyDescent="0.4">
      <c r="A102" s="104"/>
      <c r="B102" s="104"/>
      <c r="C102" s="104"/>
      <c r="D102" s="104"/>
      <c r="E102" s="104"/>
      <c r="F102" s="104"/>
      <c r="G102" s="104"/>
      <c r="H102" s="104"/>
      <c r="I102" s="104"/>
      <c r="U102" s="1"/>
      <c r="V102" s="3"/>
      <c r="AO102" s="108" t="str">
        <f>IF(COUNTIF(AW103:AW104,"BLANK"),"BLANK",IF(COUNTIF(AW103:AW104,"REJECT"),"REJECT",IF(COUNTIF(AW103:AW104,"CHECK"),"CHECK","EQ")))</f>
        <v>BLANK</v>
      </c>
      <c r="AP102" s="108"/>
      <c r="AQ102" s="108"/>
      <c r="AR102" s="108"/>
      <c r="AS102" s="108"/>
      <c r="AT102" s="108"/>
      <c r="AU102" s="108"/>
      <c r="AV102" s="108"/>
      <c r="AW102" s="108"/>
      <c r="AY102" s="104"/>
      <c r="AZ102" s="104"/>
      <c r="BA102" s="104"/>
      <c r="BB102" s="104"/>
      <c r="BC102" s="104"/>
      <c r="BD102" s="104"/>
      <c r="BE102" s="104"/>
      <c r="BF102" s="104"/>
      <c r="BG102" s="104"/>
    </row>
    <row r="103" spans="1:59" ht="15" customHeight="1" thickBot="1" x14ac:dyDescent="0.4">
      <c r="U103" s="108" t="str">
        <f>IF(COUNTIF(AC104:AC106,"BLANK"),"BLANK",IF(COUNTIF(AC104:AC106,"REJECT"),"REJECT",IF(COUNTIF(AC104:AC106,"CHECK"),"CHECK","EQ")))</f>
        <v>BLANK</v>
      </c>
      <c r="V103" s="108"/>
      <c r="W103" s="108"/>
      <c r="X103" s="108"/>
      <c r="Y103" s="108"/>
      <c r="Z103" s="108"/>
      <c r="AA103" s="108"/>
      <c r="AB103" s="108"/>
      <c r="AC103" s="108"/>
      <c r="AO103" s="1" t="s">
        <v>96</v>
      </c>
      <c r="AP103" s="105" t="s">
        <v>99</v>
      </c>
      <c r="AQ103" s="105"/>
      <c r="AR103" s="105"/>
      <c r="AS103" s="105"/>
      <c r="AT103" s="105"/>
      <c r="AU103" s="7" t="s">
        <v>98</v>
      </c>
      <c r="AW103" s="5" t="s">
        <v>196</v>
      </c>
    </row>
    <row r="104" spans="1:59" ht="15" customHeight="1" thickBot="1" x14ac:dyDescent="0.4">
      <c r="U104" s="1" t="s">
        <v>49</v>
      </c>
      <c r="V104" s="105" t="s">
        <v>75</v>
      </c>
      <c r="W104" s="105"/>
      <c r="X104" s="105"/>
      <c r="Y104" s="105"/>
      <c r="Z104" s="107"/>
      <c r="AA104" s="7" t="s">
        <v>4</v>
      </c>
      <c r="AC104" s="5" t="s">
        <v>196</v>
      </c>
      <c r="AP104" s="105" t="s">
        <v>97</v>
      </c>
      <c r="AQ104" s="105"/>
      <c r="AR104" s="105"/>
      <c r="AS104" s="105"/>
      <c r="AT104" s="107"/>
      <c r="AU104" s="9"/>
      <c r="AV104" s="2" t="s">
        <v>54</v>
      </c>
      <c r="AW104" s="5" t="str">
        <f>IF(AU104="","BLANK",IF(ABS(AU104)&lt;=10,"EQ","REJECT"))</f>
        <v>BLANK</v>
      </c>
    </row>
    <row r="105" spans="1:59" ht="15" customHeight="1" x14ac:dyDescent="0.35">
      <c r="U105" s="1"/>
      <c r="V105" s="105" t="s">
        <v>33</v>
      </c>
      <c r="W105" s="105"/>
      <c r="X105" s="105"/>
      <c r="Y105" s="105"/>
      <c r="Z105" s="107"/>
      <c r="AA105" s="11"/>
      <c r="AB105" s="2" t="str">
        <f>IF($C$25="mm","mm","in")</f>
        <v>in</v>
      </c>
      <c r="AC105" s="5" t="str">
        <f>IF(AA105="","BLANK",IF($C$25="mm",IF(AA105&gt;=1.1938,"EQ","REJECT"),IF(AA105&gt;=0.047,"EQ","REJECT")))</f>
        <v>BLANK</v>
      </c>
      <c r="AO105" s="1" t="s">
        <v>118</v>
      </c>
      <c r="AP105" s="110" t="str">
        <f>IF(AU104=0,"Main Hoop Braces may run forward or rearward.",IF(AU103="Forward","Main Hoop requires braces that run forward.","Main Hoop requires braces that run rearward."))</f>
        <v>Main Hoop Braces may run forward or rearward.</v>
      </c>
      <c r="AQ105" s="110"/>
      <c r="AR105" s="110"/>
      <c r="AS105" s="110"/>
      <c r="AT105" s="110"/>
      <c r="AU105" s="110"/>
      <c r="AV105" s="110"/>
      <c r="AW105" s="5"/>
    </row>
    <row r="106" spans="1:59" ht="15" customHeight="1" x14ac:dyDescent="0.35">
      <c r="V106" s="105" t="str">
        <f>IF(AA104="Round","Outer Diameter (OD):","Square side:")</f>
        <v>Outer Diameter (OD):</v>
      </c>
      <c r="W106" s="105"/>
      <c r="X106" s="105"/>
      <c r="Y106" s="105"/>
      <c r="Z106" s="105"/>
      <c r="AA106" s="11"/>
      <c r="AB106" s="2" t="str">
        <f>IF($C$25="mm","mm","in")</f>
        <v>in</v>
      </c>
      <c r="AC106" s="85" t="str">
        <f>IF(OR(AA105="",AA106=""),"BLANK",
IF(AND($C$25="mm",OR(AND(AA104="Square",AA106&gt;=25),AND(AA106&gt;=25,AA106&gt;=AA105+(12.7^2-(12.7-1.6)^2)/AA105))),"EQ",
IF(AND($C$25="INCH",OR(AND(AA104="Square",AA106&gt;=0.984),AND(AA106&gt;=0.984,AA106&gt;=AA105+(0.5^2-(0.5-0.063)^2)/AA105))),"EQ","REJECT")))</f>
        <v>BLANK</v>
      </c>
      <c r="AO106" s="8"/>
      <c r="AP106" s="8"/>
      <c r="AQ106" s="8"/>
      <c r="AR106" s="8"/>
      <c r="AS106" s="8"/>
      <c r="AT106" s="8"/>
      <c r="AU106" s="8"/>
      <c r="AV106" s="8"/>
      <c r="AW106" s="8"/>
    </row>
    <row r="107" spans="1:59" ht="15" customHeight="1" thickBot="1" x14ac:dyDescent="0.4">
      <c r="AO107" s="108" t="str">
        <f>IF(COUNTIF(AW108:AW109,"BLANK"),"BLANK",IF(COUNTIF(AW108:AW109,"REJECT"),"REJECT",IF(COUNTIF(AW108:AW109,"CHECK"),"CHECK","EQ")))</f>
        <v>BLANK</v>
      </c>
      <c r="AP107" s="108"/>
      <c r="AQ107" s="108"/>
      <c r="AR107" s="108"/>
      <c r="AS107" s="108"/>
      <c r="AT107" s="108"/>
      <c r="AU107" s="108"/>
      <c r="AV107" s="108"/>
      <c r="AW107" s="108"/>
    </row>
    <row r="108" spans="1:59" ht="15" customHeight="1" thickBot="1" x14ac:dyDescent="0.4">
      <c r="V108" s="120" t="str">
        <f>IF(AND(AC108="",AB108=""),"Rearward Front Hoop Brace is not required.",IF(AB108="FH","Rearward Front Hoop Brace is required by:","Rear Front Bulkhead Support is required by:"))</f>
        <v>Rearward Front Hoop Brace is not required.</v>
      </c>
      <c r="W108" s="120"/>
      <c r="X108" s="120"/>
      <c r="Y108" s="120"/>
      <c r="Z108" s="120"/>
      <c r="AA108" s="120"/>
      <c r="AB108" s="1" t="str">
        <f>IF(L82="Rearward Front Hoop Brace is not required.","","FH")</f>
        <v/>
      </c>
      <c r="AC108" s="1" t="str">
        <f>IF(OR(AA95="C",V98="Rearward Front Hoop Brace Required by FBHS."),"FBHS","")</f>
        <v/>
      </c>
      <c r="AO108" s="1" t="s">
        <v>137</v>
      </c>
      <c r="AP108" s="105" t="s">
        <v>100</v>
      </c>
      <c r="AQ108" s="105"/>
      <c r="AR108" s="105"/>
      <c r="AS108" s="105"/>
      <c r="AT108" s="105"/>
      <c r="AU108" s="7" t="s">
        <v>98</v>
      </c>
      <c r="AW108" s="5" t="s">
        <v>196</v>
      </c>
    </row>
    <row r="109" spans="1:59" ht="15" customHeight="1" thickBot="1" x14ac:dyDescent="0.4">
      <c r="U109" s="108" t="str">
        <f>IF(COUNTIF(AC110:AC112,"BLANK"),"BLANK",IF(COUNTIF(AC110:AC112,"REJECT"),"REJECT",IF(COUNTIF(AC110:AC112,"CHECK"),"CHECK","EQ")))</f>
        <v>EQ</v>
      </c>
      <c r="V109" s="108"/>
      <c r="W109" s="108"/>
      <c r="X109" s="108"/>
      <c r="Y109" s="108"/>
      <c r="Z109" s="108"/>
      <c r="AA109" s="108"/>
      <c r="AB109" s="108"/>
      <c r="AC109" s="108"/>
      <c r="AO109" s="3"/>
      <c r="AP109" s="105" t="str">
        <f>IF(AU108="Forward","Minimize portion of seat rearward of Main Hoop:","Main Hoop &lt;=10 degrees in the rearward direction:")</f>
        <v>Main Hoop &lt;=10 degrees in the rearward direction:</v>
      </c>
      <c r="AQ109" s="105"/>
      <c r="AR109" s="105"/>
      <c r="AS109" s="105"/>
      <c r="AT109" s="107"/>
      <c r="AU109" s="9"/>
      <c r="AV109" s="2" t="s">
        <v>54</v>
      </c>
      <c r="AW109" s="5" t="str">
        <f>IF(AU109="","BLANK",IF(OR(AND(AU108="FORWARD",AU109&lt;90),AU109&lt;=10),"EQ","REJECT"))</f>
        <v>BLANK</v>
      </c>
    </row>
    <row r="110" spans="1:59" ht="15" customHeight="1" thickBot="1" x14ac:dyDescent="0.4">
      <c r="U110" s="1" t="str">
        <f>IF(AB108="FH","T.2.14.5","T.2.20.2b")</f>
        <v>T.2.20.2b</v>
      </c>
      <c r="V110" s="105" t="str">
        <f>IF(AB108="FH","Rearward Front Hoop Brace thinnest wall tube:","Rear Front Bulkhead Support thinnest wall tube:")</f>
        <v>Rear Front Bulkhead Support thinnest wall tube:</v>
      </c>
      <c r="W110" s="105"/>
      <c r="X110" s="105"/>
      <c r="Y110" s="105"/>
      <c r="Z110" s="107"/>
      <c r="AA110" s="7" t="s">
        <v>4</v>
      </c>
      <c r="AC110" s="5" t="str">
        <f>IF(AND(AB108="",AC108=""),"N/A","EQ")</f>
        <v>N/A</v>
      </c>
      <c r="AO110" s="1"/>
      <c r="AP110" s="1"/>
      <c r="AQ110" s="1"/>
      <c r="AR110" s="1"/>
      <c r="AS110" s="1"/>
      <c r="AT110" s="1"/>
      <c r="AU110" s="1"/>
      <c r="AV110" s="1"/>
      <c r="AW110" s="5"/>
    </row>
    <row r="111" spans="1:59" ht="15" customHeight="1" x14ac:dyDescent="0.35">
      <c r="U111" s="1"/>
      <c r="V111" s="105" t="s">
        <v>33</v>
      </c>
      <c r="W111" s="105"/>
      <c r="X111" s="105"/>
      <c r="Y111" s="105"/>
      <c r="Z111" s="107"/>
      <c r="AA111" s="11"/>
      <c r="AB111" s="2" t="str">
        <f>IF($C$25="mm","mm","in")</f>
        <v>in</v>
      </c>
      <c r="AC111" s="5" t="str">
        <f>IF(AND(AB108="",AC108=""),"N/A",IF(AA111="","BLANK",IF($C$25="mm",IF(AA111&gt;=1.1938,"EQ","REJECT"),IF(AA111&gt;=0.047,"EQ","REJECT"))))</f>
        <v>N/A</v>
      </c>
      <c r="AO111" s="108" t="str">
        <f>IF(COUNTIF(AW112,"BLANK"),"BLANK",IF(COUNTIF(AW112,"REJECT"),"REJECT",IF(COUNTIF(AW112,"CHECK"),"CHECK","EQ")))</f>
        <v>BLANK</v>
      </c>
      <c r="AP111" s="108"/>
      <c r="AQ111" s="108"/>
      <c r="AR111" s="108"/>
      <c r="AS111" s="108"/>
      <c r="AT111" s="108"/>
      <c r="AU111" s="108"/>
      <c r="AV111" s="108"/>
      <c r="AW111" s="108"/>
    </row>
    <row r="112" spans="1:59" ht="15" customHeight="1" x14ac:dyDescent="0.35">
      <c r="V112" s="105" t="str">
        <f>IF(AA110="Round","Outer Diameter (OD):","Square side:")</f>
        <v>Outer Diameter (OD):</v>
      </c>
      <c r="W112" s="105"/>
      <c r="X112" s="105"/>
      <c r="Y112" s="105"/>
      <c r="Z112" s="105"/>
      <c r="AA112" s="11"/>
      <c r="AB112" s="2" t="str">
        <f>IF($C$25="mm","mm","in")</f>
        <v>in</v>
      </c>
      <c r="AC112" s="85" t="str">
        <f>IF(AND(AB108="",AC108=""),"N/A",
IF(OR(AA111="",AA112=""),"BLANK",
IF(AND($C$25="mm",OR(AND(AA110="Square",AA112&gt;=25),AND(AA112&gt;=25,AA112&gt;=AA111+(12.7^2-(12.7-1.6)^2)/AA111),AND(AB108="",OR(AND(AA111&gt;=1.5,AA112&gt;=25),AND(AA111&gt;=1.1938,AA112&gt;=25.4))))),"EQ",
IF(AND($C$25="INCH",OR(AND(AA110="Square",AA112&gt;=0.984),AND(AA112&gt;=0.984,AA112&gt;=AA111+(0.5^2-(0.5-0.063)^2)/AA111),AND(AB108="",OR(AND(AA111&gt;=0.059,AA112&gt;=0.984),AND(AA111&gt;=0.047,AA112&gt;=1))))),"EQ","REJECT"))))</f>
        <v>N/A</v>
      </c>
      <c r="AO112" s="1" t="s">
        <v>101</v>
      </c>
      <c r="AP112" s="105" t="s">
        <v>102</v>
      </c>
      <c r="AQ112" s="105"/>
      <c r="AR112" s="105"/>
      <c r="AS112" s="105"/>
      <c r="AT112" s="107"/>
      <c r="AU112" s="11"/>
      <c r="AV112" s="2" t="str">
        <f>IF($C$25="mm","mm","in")</f>
        <v>in</v>
      </c>
      <c r="AW112" s="5" t="str">
        <f>IF(AU112="","BLANK",IF(OR(AND($C$25="mm",AU112&gt;=380),AND($C$25="Inch",AU112&gt;=15)),"EQ","REJECT"))</f>
        <v>BLANK</v>
      </c>
    </row>
    <row r="113" spans="21:80" ht="15" customHeight="1" x14ac:dyDescent="0.35">
      <c r="U113" s="1"/>
      <c r="V113" s="3"/>
      <c r="BS113" s="114" t="s">
        <v>229</v>
      </c>
      <c r="BT113" s="41" t="s">
        <v>230</v>
      </c>
    </row>
    <row r="114" spans="21:80" ht="15" customHeight="1" x14ac:dyDescent="0.35">
      <c r="U114" s="104" t="s">
        <v>370</v>
      </c>
      <c r="V114" s="104"/>
      <c r="W114" s="104"/>
      <c r="X114" s="104"/>
      <c r="Y114" s="104"/>
      <c r="Z114" s="104"/>
      <c r="AA114" s="104"/>
      <c r="AB114" s="104"/>
      <c r="AC114" s="104"/>
      <c r="AO114" s="109" t="s">
        <v>114</v>
      </c>
      <c r="AP114" s="109"/>
      <c r="AQ114" s="109"/>
      <c r="AR114" s="109"/>
      <c r="AS114" s="109"/>
      <c r="AT114" s="109"/>
      <c r="AU114" s="109"/>
      <c r="AV114" s="109"/>
      <c r="AW114" s="109"/>
      <c r="BS114" s="114"/>
      <c r="BT114" s="41" t="s">
        <v>231</v>
      </c>
    </row>
    <row r="115" spans="21:80" ht="15" customHeight="1" x14ac:dyDescent="0.35">
      <c r="U115" s="104"/>
      <c r="V115" s="104"/>
      <c r="W115" s="104"/>
      <c r="X115" s="104"/>
      <c r="Y115" s="104"/>
      <c r="Z115" s="104"/>
      <c r="AA115" s="104"/>
      <c r="AB115" s="104"/>
      <c r="AC115" s="104"/>
      <c r="AO115" s="108" t="str">
        <f>IF(COUNTIF(AW116:AW118,"BLANK"),"BLANK",IF(COUNTIF(AW116:AW118,"REJECT"),"REJECT",IF(COUNTIF(AW116:AW118,"CHECK"),"CHECK","EQ")))</f>
        <v>BLANK</v>
      </c>
      <c r="AP115" s="108"/>
      <c r="AQ115" s="108"/>
      <c r="AR115" s="108"/>
      <c r="AS115" s="108"/>
      <c r="AT115" s="108"/>
      <c r="AU115" s="108"/>
      <c r="AV115" s="108"/>
      <c r="AW115" s="108"/>
      <c r="BT115" s="79"/>
      <c r="BU115" s="79"/>
      <c r="BV115" s="79"/>
      <c r="BW115" s="79"/>
      <c r="BX115" s="79"/>
      <c r="BY115" s="79"/>
      <c r="BZ115" s="79"/>
      <c r="CA115" s="79"/>
      <c r="CB115" s="79"/>
    </row>
    <row r="116" spans="21:80" ht="15" customHeight="1" x14ac:dyDescent="0.35">
      <c r="U116" s="104"/>
      <c r="V116" s="104"/>
      <c r="W116" s="104"/>
      <c r="X116" s="104"/>
      <c r="Y116" s="104"/>
      <c r="Z116" s="104"/>
      <c r="AA116" s="104"/>
      <c r="AB116" s="104"/>
      <c r="AC116" s="104"/>
      <c r="AO116" s="1" t="s">
        <v>110</v>
      </c>
      <c r="AP116" s="105" t="s">
        <v>111</v>
      </c>
      <c r="AQ116" s="105"/>
      <c r="AR116" s="105"/>
      <c r="AS116" s="105"/>
      <c r="AT116" s="105"/>
      <c r="AU116" s="17"/>
      <c r="AV116" s="2" t="str">
        <f>IF($C$25="mm","mm","in")</f>
        <v>in</v>
      </c>
      <c r="AW116" s="5" t="str">
        <f>IF(AU116="","BLANK",IF($C$25="mm",IF(AU116&gt;=75,"EQ","REJECT"),IF(AU116&gt;=3,"EQ","REJECT")))</f>
        <v>BLANK</v>
      </c>
      <c r="BV116" s="79"/>
      <c r="BW116" s="79"/>
      <c r="BX116" s="79"/>
      <c r="BY116" s="79"/>
      <c r="BZ116" s="79"/>
      <c r="CA116" s="79"/>
      <c r="CB116" s="79"/>
    </row>
    <row r="117" spans="21:80" ht="15" customHeight="1" x14ac:dyDescent="0.35">
      <c r="U117" s="104" t="s">
        <v>368</v>
      </c>
      <c r="V117" s="104"/>
      <c r="W117" s="104"/>
      <c r="X117" s="104"/>
      <c r="Y117" s="104"/>
      <c r="Z117" s="104"/>
      <c r="AA117" s="104"/>
      <c r="AB117" s="104"/>
      <c r="AC117" s="104"/>
      <c r="AO117" s="1"/>
      <c r="AP117" s="105" t="s">
        <v>112</v>
      </c>
      <c r="AQ117" s="105"/>
      <c r="AR117" s="105"/>
      <c r="AS117" s="105"/>
      <c r="AT117" s="105"/>
      <c r="AU117" s="11"/>
      <c r="AV117" s="2" t="str">
        <f>IF($C$25="mm","mm","in")</f>
        <v>in</v>
      </c>
      <c r="AW117" s="5" t="str">
        <f>IF(AU117="","BLANK",IF($C$25="mm",IF(AU117&gt;=25,"EQ","REJECT"),IF(AU117&gt;=0.984,"EQ","REJECT")))</f>
        <v>BLANK</v>
      </c>
    </row>
    <row r="118" spans="21:80" x14ac:dyDescent="0.35">
      <c r="U118" s="104"/>
      <c r="V118" s="104"/>
      <c r="W118" s="104"/>
      <c r="X118" s="104"/>
      <c r="Y118" s="104"/>
      <c r="Z118" s="104"/>
      <c r="AA118" s="104"/>
      <c r="AB118" s="104"/>
      <c r="AC118" s="104"/>
      <c r="AP118" s="105" t="s">
        <v>113</v>
      </c>
      <c r="AQ118" s="105"/>
      <c r="AR118" s="105"/>
      <c r="AS118" s="105"/>
      <c r="AT118" s="105"/>
      <c r="AU118" s="5" t="str">
        <f>IF(OR(AU116="",AU117=""),"",AU116/AU117)</f>
        <v/>
      </c>
      <c r="AW118" s="5" t="str">
        <f>IF(OR(AU116="",AU117=""),"",IF(AU118&gt;=3,"EQ","REJECT"))</f>
        <v/>
      </c>
    </row>
    <row r="119" spans="21:80" x14ac:dyDescent="0.35">
      <c r="U119" s="104"/>
      <c r="V119" s="104"/>
      <c r="W119" s="104"/>
      <c r="X119" s="104"/>
      <c r="Y119" s="104"/>
      <c r="Z119" s="104"/>
      <c r="AA119" s="104"/>
      <c r="AB119" s="104"/>
      <c r="AC119" s="104"/>
    </row>
    <row r="120" spans="21:80" x14ac:dyDescent="0.35">
      <c r="U120" s="104" t="s">
        <v>369</v>
      </c>
      <c r="V120" s="104"/>
      <c r="W120" s="104"/>
      <c r="X120" s="104"/>
      <c r="Y120" s="104"/>
      <c r="Z120" s="104"/>
      <c r="AA120" s="104"/>
      <c r="AB120" s="104"/>
      <c r="AC120" s="104"/>
    </row>
    <row r="121" spans="21:80" x14ac:dyDescent="0.35">
      <c r="U121" s="104"/>
      <c r="V121" s="104"/>
      <c r="W121" s="104"/>
      <c r="X121" s="104"/>
      <c r="Y121" s="104"/>
      <c r="Z121" s="104"/>
      <c r="AA121" s="104"/>
      <c r="AB121" s="104"/>
      <c r="AC121" s="104"/>
    </row>
  </sheetData>
  <sheetProtection algorithmName="SHA-512" hashValue="PgmTBC21IFVUI+9BZL/eL/WlIwA187xzcPCkNqbMjn25qb+ALaqm+XI4GeeeGN5JeYtdkt7Vbq471bfkOx1wEQ==" saltValue="kF96gwA2KkD18+ieSRdl0w==" spinCount="100000" sheet="1" scenarios="1"/>
  <protectedRanges>
    <protectedRange sqref="BO71 BO74:BO75 BO78" name="Helmet"/>
    <protectedRange sqref="D1:J9 C25 M2:M3" name="Title Block"/>
    <protectedRange sqref="G59:G60 G67 G69:G70 G73:G75 G84:G86 G88:G89" name="AI and FB"/>
    <protectedRange sqref="Q62:Q64 Q72 Q75 Q78 Q81" name="FH"/>
    <protectedRange sqref="AA83:AA85 AA92 AA95:AA97 AA101 AA104:AA106 AA110:AA112 G87" name="FBHS and FHB"/>
    <protectedRange sqref="AK65:AK66 AK69:AK72 AK75:AK77" name="SIS"/>
    <protectedRange sqref="AU71:AU72 AU75:AU78 AU88 AU94:AU96 AU103:AU104 AU108:AU109 AU112 AU116:AU117" name="MH and SH"/>
    <protectedRange sqref="BE78:BE79 BE82 BE85:BE87 BE96:BE98" name="MHB and MHBS"/>
    <protectedRange sqref="BN85" name="Helmet_1"/>
  </protectedRanges>
  <mergeCells count="364">
    <mergeCell ref="BS12:CB12"/>
    <mergeCell ref="BS14:BT14"/>
    <mergeCell ref="AY81:BG81"/>
    <mergeCell ref="BI84:BQ84"/>
    <mergeCell ref="BS8:CB8"/>
    <mergeCell ref="AO81:AW82"/>
    <mergeCell ref="AK69:AL69"/>
    <mergeCell ref="M6:AA6"/>
    <mergeCell ref="M7:AA7"/>
    <mergeCell ref="M8:AA8"/>
    <mergeCell ref="M9:AA9"/>
    <mergeCell ref="M10:AA10"/>
    <mergeCell ref="M11:AA11"/>
    <mergeCell ref="M12:AA12"/>
    <mergeCell ref="M13:AA13"/>
    <mergeCell ref="M19:AA19"/>
    <mergeCell ref="M20:AA20"/>
    <mergeCell ref="M22:AA22"/>
    <mergeCell ref="M23:AA23"/>
    <mergeCell ref="M24:AA24"/>
    <mergeCell ref="M25:AA25"/>
    <mergeCell ref="M26:AA26"/>
    <mergeCell ref="AS11:BA12"/>
    <mergeCell ref="AZ79:BD79"/>
    <mergeCell ref="L82:R82"/>
    <mergeCell ref="BS11:CB11"/>
    <mergeCell ref="BS13:CB13"/>
    <mergeCell ref="BS36:CB36"/>
    <mergeCell ref="A100:I102"/>
    <mergeCell ref="A66:I66"/>
    <mergeCell ref="A65:I65"/>
    <mergeCell ref="BJ85:BM85"/>
    <mergeCell ref="BN85:BP85"/>
    <mergeCell ref="N1:AA1"/>
    <mergeCell ref="A77:I79"/>
    <mergeCell ref="A76:I76"/>
    <mergeCell ref="B75:F75"/>
    <mergeCell ref="B74:F74"/>
    <mergeCell ref="B73:F73"/>
    <mergeCell ref="A71:I71"/>
    <mergeCell ref="C24:J24"/>
    <mergeCell ref="C23:J23"/>
    <mergeCell ref="C15:J15"/>
    <mergeCell ref="A33:C33"/>
    <mergeCell ref="K68:S69"/>
    <mergeCell ref="U68:AC68"/>
    <mergeCell ref="K58:S58"/>
    <mergeCell ref="K59:S59"/>
    <mergeCell ref="K61:S61"/>
    <mergeCell ref="B87:F87"/>
    <mergeCell ref="BI73:BQ73"/>
    <mergeCell ref="BJ74:BN74"/>
    <mergeCell ref="BU14:CB14"/>
    <mergeCell ref="BS16:BU17"/>
    <mergeCell ref="BF11:BP12"/>
    <mergeCell ref="BF13:BP14"/>
    <mergeCell ref="BT82:CB82"/>
    <mergeCell ref="BI66:BQ67"/>
    <mergeCell ref="BI68:BQ68"/>
    <mergeCell ref="BI61:BQ61"/>
    <mergeCell ref="BI62:BQ62"/>
    <mergeCell ref="AY77:BG77"/>
    <mergeCell ref="AZ78:BD78"/>
    <mergeCell ref="AZ76:BF76"/>
    <mergeCell ref="AY64:BG64"/>
    <mergeCell ref="AY74:BG74"/>
    <mergeCell ref="AY65:BG66"/>
    <mergeCell ref="AY67:BG68"/>
    <mergeCell ref="AY69:BG70"/>
    <mergeCell ref="AY61:BG61"/>
    <mergeCell ref="BS40:BS41"/>
    <mergeCell ref="BI56:BJ57"/>
    <mergeCell ref="AY55:BG55"/>
    <mergeCell ref="BI55:BQ55"/>
    <mergeCell ref="BI64:BQ64"/>
    <mergeCell ref="BI60:BQ60"/>
    <mergeCell ref="AY56:AZ57"/>
    <mergeCell ref="BA56:BG57"/>
    <mergeCell ref="AY58:BG59"/>
    <mergeCell ref="BK56:BQ57"/>
    <mergeCell ref="BI58:BQ59"/>
    <mergeCell ref="BI70:BQ70"/>
    <mergeCell ref="BJ71:BN71"/>
    <mergeCell ref="BS37:CB37"/>
    <mergeCell ref="BS38:CB38"/>
    <mergeCell ref="AZ82:BD82"/>
    <mergeCell ref="AY95:BG95"/>
    <mergeCell ref="AZ96:BD96"/>
    <mergeCell ref="AZ97:BD97"/>
    <mergeCell ref="AZ98:BD98"/>
    <mergeCell ref="AY100:BG102"/>
    <mergeCell ref="AY84:BG84"/>
    <mergeCell ref="AZ85:BD85"/>
    <mergeCell ref="AZ86:BD86"/>
    <mergeCell ref="AZ87:BD87"/>
    <mergeCell ref="AY89:BG91"/>
    <mergeCell ref="AY92:BG93"/>
    <mergeCell ref="BI86:BP86"/>
    <mergeCell ref="BI87:BQ87"/>
    <mergeCell ref="BJ75:BN75"/>
    <mergeCell ref="BI77:BQ77"/>
    <mergeCell ref="BJ78:BN78"/>
    <mergeCell ref="AY60:BG60"/>
    <mergeCell ref="AY62:BG62"/>
    <mergeCell ref="AY71:BG71"/>
    <mergeCell ref="BI65:BQ65"/>
    <mergeCell ref="BI80:BQ82"/>
    <mergeCell ref="AO115:AW115"/>
    <mergeCell ref="AP116:AT116"/>
    <mergeCell ref="AP117:AT117"/>
    <mergeCell ref="AP118:AT118"/>
    <mergeCell ref="AO114:AW114"/>
    <mergeCell ref="AP94:AT94"/>
    <mergeCell ref="AP95:AT95"/>
    <mergeCell ref="AO93:AW93"/>
    <mergeCell ref="AP96:AT96"/>
    <mergeCell ref="AO98:AW100"/>
    <mergeCell ref="AO111:AW111"/>
    <mergeCell ref="AP112:AT112"/>
    <mergeCell ref="AO102:AW102"/>
    <mergeCell ref="AO107:AW107"/>
    <mergeCell ref="AP109:AT109"/>
    <mergeCell ref="AP104:AT104"/>
    <mergeCell ref="AP103:AT103"/>
    <mergeCell ref="AP105:AV105"/>
    <mergeCell ref="AP108:AT108"/>
    <mergeCell ref="AE83:AM84"/>
    <mergeCell ref="AO64:AW64"/>
    <mergeCell ref="AO65:AW65"/>
    <mergeCell ref="AP92:AV92"/>
    <mergeCell ref="AO66:AW66"/>
    <mergeCell ref="AO67:AW67"/>
    <mergeCell ref="AO87:AW87"/>
    <mergeCell ref="AP88:AT88"/>
    <mergeCell ref="AO74:AW74"/>
    <mergeCell ref="AP76:AT76"/>
    <mergeCell ref="AP77:AT77"/>
    <mergeCell ref="AP78:AT78"/>
    <mergeCell ref="AP75:AT75"/>
    <mergeCell ref="AO90:AW90"/>
    <mergeCell ref="AO69:AW69"/>
    <mergeCell ref="AP70:AT70"/>
    <mergeCell ref="AP71:AT71"/>
    <mergeCell ref="AP72:AT72"/>
    <mergeCell ref="AO83:AW84"/>
    <mergeCell ref="AF69:AJ69"/>
    <mergeCell ref="AP79:AV79"/>
    <mergeCell ref="AE68:AM68"/>
    <mergeCell ref="AF65:AJ65"/>
    <mergeCell ref="AP86:AV86"/>
    <mergeCell ref="C56:I57"/>
    <mergeCell ref="A56:B57"/>
    <mergeCell ref="V61:AC62"/>
    <mergeCell ref="U61:U62"/>
    <mergeCell ref="U63:U64"/>
    <mergeCell ref="V63:AC64"/>
    <mergeCell ref="A62:I64"/>
    <mergeCell ref="A61:I61"/>
    <mergeCell ref="B59:F59"/>
    <mergeCell ref="B60:F60"/>
    <mergeCell ref="A58:I58"/>
    <mergeCell ref="W56:AC57"/>
    <mergeCell ref="U58:AC59"/>
    <mergeCell ref="D1:J1"/>
    <mergeCell ref="D9:J9"/>
    <mergeCell ref="D8:J8"/>
    <mergeCell ref="D7:J7"/>
    <mergeCell ref="A12:B18"/>
    <mergeCell ref="A19:B24"/>
    <mergeCell ref="A10:B11"/>
    <mergeCell ref="C10:J11"/>
    <mergeCell ref="C20:J20"/>
    <mergeCell ref="C14:J14"/>
    <mergeCell ref="C17:J17"/>
    <mergeCell ref="C16:J16"/>
    <mergeCell ref="A3:C3"/>
    <mergeCell ref="A4:C4"/>
    <mergeCell ref="A5:C5"/>
    <mergeCell ref="A1:C1"/>
    <mergeCell ref="A2:C2"/>
    <mergeCell ref="D3:J3"/>
    <mergeCell ref="D2:J2"/>
    <mergeCell ref="A6:C6"/>
    <mergeCell ref="A7:C7"/>
    <mergeCell ref="A8:C8"/>
    <mergeCell ref="A9:C9"/>
    <mergeCell ref="C22:J22"/>
    <mergeCell ref="C21:J21"/>
    <mergeCell ref="M21:AA21"/>
    <mergeCell ref="A55:I55"/>
    <mergeCell ref="K55:S55"/>
    <mergeCell ref="U55:AC55"/>
    <mergeCell ref="C19:J19"/>
    <mergeCell ref="M4:AA4"/>
    <mergeCell ref="D6:J6"/>
    <mergeCell ref="D5:J5"/>
    <mergeCell ref="D4:J4"/>
    <mergeCell ref="C18:J18"/>
    <mergeCell ref="C13:J13"/>
    <mergeCell ref="C12:J12"/>
    <mergeCell ref="M5:AA5"/>
    <mergeCell ref="M15:AA15"/>
    <mergeCell ref="M17:AA17"/>
    <mergeCell ref="A25:B26"/>
    <mergeCell ref="C25:J26"/>
    <mergeCell ref="A38:I39"/>
    <mergeCell ref="U41:AC42"/>
    <mergeCell ref="AE79:AM82"/>
    <mergeCell ref="AE56:AF57"/>
    <mergeCell ref="U56:V57"/>
    <mergeCell ref="AF70:AJ70"/>
    <mergeCell ref="AF71:AJ71"/>
    <mergeCell ref="AF72:AJ72"/>
    <mergeCell ref="AE74:AM74"/>
    <mergeCell ref="AF75:AJ75"/>
    <mergeCell ref="AF76:AJ76"/>
    <mergeCell ref="AF77:AJ77"/>
    <mergeCell ref="U65:U67"/>
    <mergeCell ref="V65:AC67"/>
    <mergeCell ref="U60:AC60"/>
    <mergeCell ref="AG56:AM57"/>
    <mergeCell ref="U75:AC75"/>
    <mergeCell ref="U74:AC74"/>
    <mergeCell ref="U73:AC73"/>
    <mergeCell ref="U77:AC77"/>
    <mergeCell ref="U82:AC82"/>
    <mergeCell ref="U79:AC79"/>
    <mergeCell ref="U76:AD76"/>
    <mergeCell ref="M3:AA3"/>
    <mergeCell ref="U69:AC69"/>
    <mergeCell ref="L81:P81"/>
    <mergeCell ref="K56:L57"/>
    <mergeCell ref="M56:S57"/>
    <mergeCell ref="K66:S67"/>
    <mergeCell ref="L75:P75"/>
    <mergeCell ref="L72:P72"/>
    <mergeCell ref="K74:S74"/>
    <mergeCell ref="K80:S80"/>
    <mergeCell ref="L78:P78"/>
    <mergeCell ref="L62:P62"/>
    <mergeCell ref="L63:P63"/>
    <mergeCell ref="L64:P64"/>
    <mergeCell ref="K71:S71"/>
    <mergeCell ref="U39:AC40"/>
    <mergeCell ref="A92:I96"/>
    <mergeCell ref="A97:I99"/>
    <mergeCell ref="BT60:CB60"/>
    <mergeCell ref="BT66:CB66"/>
    <mergeCell ref="BT67:CB67"/>
    <mergeCell ref="BT68:CB68"/>
    <mergeCell ref="BS66:BS67"/>
    <mergeCell ref="A80:I81"/>
    <mergeCell ref="A82:I82"/>
    <mergeCell ref="A83:I83"/>
    <mergeCell ref="A72:I72"/>
    <mergeCell ref="B84:F84"/>
    <mergeCell ref="B85:F85"/>
    <mergeCell ref="B86:F86"/>
    <mergeCell ref="B88:F88"/>
    <mergeCell ref="B89:F89"/>
    <mergeCell ref="B67:F67"/>
    <mergeCell ref="B68:H68"/>
    <mergeCell ref="B69:F69"/>
    <mergeCell ref="B70:F70"/>
    <mergeCell ref="K77:S77"/>
    <mergeCell ref="A90:H90"/>
    <mergeCell ref="A91:I91"/>
    <mergeCell ref="AE64:AM64"/>
    <mergeCell ref="DH1:DN2"/>
    <mergeCell ref="DP1:ED2"/>
    <mergeCell ref="EE1:EL2"/>
    <mergeCell ref="BT94:CB94"/>
    <mergeCell ref="M16:AA16"/>
    <mergeCell ref="M14:AA14"/>
    <mergeCell ref="AE39:AM40"/>
    <mergeCell ref="AD9:AN10"/>
    <mergeCell ref="AE13:AM14"/>
    <mergeCell ref="K39:S40"/>
    <mergeCell ref="BS10:CB10"/>
    <mergeCell ref="BS88:BS89"/>
    <mergeCell ref="BT88:CB88"/>
    <mergeCell ref="BT89:CB89"/>
    <mergeCell ref="BT69:CB69"/>
    <mergeCell ref="BT70:CB70"/>
    <mergeCell ref="AE11:AM12"/>
    <mergeCell ref="AE58:AM58"/>
    <mergeCell ref="AE59:AM60"/>
    <mergeCell ref="AE61:AM62"/>
    <mergeCell ref="AO56:AP57"/>
    <mergeCell ref="AQ56:AW57"/>
    <mergeCell ref="AO58:AW59"/>
    <mergeCell ref="AO60:AW60"/>
    <mergeCell ref="CZ1:DG2"/>
    <mergeCell ref="CC1:CY2"/>
    <mergeCell ref="AY72:BH72"/>
    <mergeCell ref="BT78:CB78"/>
    <mergeCell ref="BT79:CB79"/>
    <mergeCell ref="BT80:CB80"/>
    <mergeCell ref="BT81:CB81"/>
    <mergeCell ref="BT62:CB63"/>
    <mergeCell ref="BS74:BS75"/>
    <mergeCell ref="BS77:BS78"/>
    <mergeCell ref="BF9:BP10"/>
    <mergeCell ref="BF15:BP16"/>
    <mergeCell ref="BS1:CB6"/>
    <mergeCell ref="BS7:CB7"/>
    <mergeCell ref="BS45:BS46"/>
    <mergeCell ref="BT50:CB51"/>
    <mergeCell ref="BT53:CB54"/>
    <mergeCell ref="BT57:CB58"/>
    <mergeCell ref="BT71:CB71"/>
    <mergeCell ref="BT72:CB72"/>
    <mergeCell ref="BT74:CB74"/>
    <mergeCell ref="BT75:CB75"/>
    <mergeCell ref="BT77:CB77"/>
    <mergeCell ref="AR9:BB10"/>
    <mergeCell ref="N2:AA2"/>
    <mergeCell ref="M18:AA18"/>
    <mergeCell ref="BS113:BS114"/>
    <mergeCell ref="BT84:CB84"/>
    <mergeCell ref="BS53:BS54"/>
    <mergeCell ref="BS84:BS85"/>
    <mergeCell ref="BT85:CB86"/>
    <mergeCell ref="AO62:AX62"/>
    <mergeCell ref="AE41:AM42"/>
    <mergeCell ref="AY41:BG42"/>
    <mergeCell ref="AO39:AW40"/>
    <mergeCell ref="AY39:BG40"/>
    <mergeCell ref="BI39:BQ40"/>
    <mergeCell ref="AO61:AW61"/>
    <mergeCell ref="AD15:AN16"/>
    <mergeCell ref="AR15:BB16"/>
    <mergeCell ref="AS13:BA14"/>
    <mergeCell ref="AF66:AJ66"/>
    <mergeCell ref="U70:AC71"/>
    <mergeCell ref="V108:AA108"/>
    <mergeCell ref="U97:Z97"/>
    <mergeCell ref="V95:Z95"/>
    <mergeCell ref="AE55:AM55"/>
    <mergeCell ref="AO55:AW55"/>
    <mergeCell ref="U120:AC121"/>
    <mergeCell ref="U117:AC119"/>
    <mergeCell ref="U96:Z96"/>
    <mergeCell ref="V111:Z111"/>
    <mergeCell ref="V112:Z112"/>
    <mergeCell ref="U91:AC91"/>
    <mergeCell ref="V92:Z92"/>
    <mergeCell ref="U109:AC109"/>
    <mergeCell ref="U78:AC78"/>
    <mergeCell ref="U80:AC80"/>
    <mergeCell ref="U100:AC100"/>
    <mergeCell ref="V101:Z101"/>
    <mergeCell ref="U87:AC89"/>
    <mergeCell ref="U94:AC94"/>
    <mergeCell ref="V106:Z106"/>
    <mergeCell ref="V110:Z110"/>
    <mergeCell ref="U103:AC103"/>
    <mergeCell ref="V104:Z104"/>
    <mergeCell ref="V105:Z105"/>
    <mergeCell ref="V98:AB98"/>
    <mergeCell ref="V83:Z83"/>
    <mergeCell ref="V84:Z84"/>
    <mergeCell ref="V85:Z85"/>
    <mergeCell ref="U114:AC116"/>
  </mergeCells>
  <conditionalFormatting sqref="A12:B18">
    <cfRule type="expression" dxfId="14" priority="141">
      <formula>$A$19="REJECT"</formula>
    </cfRule>
    <cfRule type="expression" dxfId="13" priority="142">
      <formula>$A$19="BLANK"</formula>
    </cfRule>
    <cfRule type="expression" dxfId="12" priority="143">
      <formula>$A$19="CHECK"</formula>
    </cfRule>
    <cfRule type="expression" dxfId="11" priority="144">
      <formula>$A$19="EQ"</formula>
    </cfRule>
  </conditionalFormatting>
  <conditionalFormatting sqref="A1:XFD1048576">
    <cfRule type="beginsWith" dxfId="10" priority="1" operator="beginsWith" text="REJECT">
      <formula>LEFT(A1,LEN("REJECT"))="REJECT"</formula>
    </cfRule>
    <cfRule type="beginsWith" dxfId="9" priority="2" operator="beginsWith" text="CHECK">
      <formula>LEFT(A1,LEN("CHECK"))="CHECK"</formula>
    </cfRule>
    <cfRule type="beginsWith" dxfId="8" priority="3" operator="beginsWith" text="EQ">
      <formula>LEFT(A1,LEN("EQ"))="EQ"</formula>
    </cfRule>
    <cfRule type="beginsWith" dxfId="7" priority="4" operator="beginsWith" text="BLANK">
      <formula>LEFT(A1,LEN("BLANK"))="BLANK"</formula>
    </cfRule>
  </conditionalFormatting>
  <dataValidations count="13">
    <dataValidation type="list" allowBlank="1" showInputMessage="1" showErrorMessage="1" sqref="C25:J26" xr:uid="{187A201D-DD73-4DB7-90DC-651E9627400E}">
      <formula1>"mm, Inch"</formula1>
    </dataValidation>
    <dataValidation type="list" allowBlank="1" showInputMessage="1" showErrorMessage="1" sqref="M3:AA3" xr:uid="{EE3AADC3-683B-4490-98CB-05A3E261D1E2}">
      <formula1>"Cells with drop down lists are highlighted with a thick border. An initial setting is shown., Drop down options can be identified by the heavy border. Delete will clear the entry."</formula1>
    </dataValidation>
    <dataValidation type="list" allowBlank="1" showInputMessage="1" showErrorMessage="1" sqref="G59" xr:uid="{2EA0F4DA-6F54-4319-911B-756E97D0FFB3}">
      <formula1>"Steel, Aluminum, Other"</formula1>
    </dataValidation>
    <dataValidation type="list" allowBlank="1" showInputMessage="1" showErrorMessage="1" sqref="G67" xr:uid="{F1B65FDB-53EC-441A-B9DD-26A60EC4AF31}">
      <formula1>"Welded, Bolted"</formula1>
    </dataValidation>
    <dataValidation type="list" allowBlank="1" showInputMessage="1" showErrorMessage="1" sqref="G73 AA104 AA110 AA83 Q62 AK75 AK70 BE85 AU76 AU94 BE96 G87" xr:uid="{0D05C727-6B6F-4BCC-8041-59CB7FBA84F7}">
      <formula1>"Round, Square"</formula1>
    </dataValidation>
    <dataValidation type="list" allowBlank="1" showInputMessage="1" showErrorMessage="1" sqref="G84" xr:uid="{6EE522C5-474D-4E86-9C86-6A84E1688A8B}">
      <formula1>"Standard, Custom"</formula1>
    </dataValidation>
    <dataValidation type="list" allowBlank="1" showInputMessage="1" showErrorMessage="1" sqref="AA96" xr:uid="{CF4426C8-94F5-4114-BB6F-6D15A41A611A}">
      <formula1>"Above, Below"</formula1>
    </dataValidation>
    <dataValidation type="list" allowBlank="1" showInputMessage="1" showErrorMessage="1" sqref="AA95" xr:uid="{13A9A602-DCCC-44A6-8B98-751A95C80524}">
      <formula1>"A, B, C"</formula1>
    </dataValidation>
    <dataValidation type="list" allowBlank="1" showInputMessage="1" showErrorMessage="1" sqref="AU75" xr:uid="{7573D30C-29A2-4046-8171-4757526E5D28}">
      <formula1>"Straight, Bent"</formula1>
    </dataValidation>
    <dataValidation type="list" allowBlank="1" showInputMessage="1" showErrorMessage="1" sqref="AU103 AU108 BE78 BO74" xr:uid="{8D31A27F-876A-4B03-A09B-4FC7757176A6}">
      <formula1>"Rearward, Forward"</formula1>
    </dataValidation>
    <dataValidation type="list" showInputMessage="1" showErrorMessage="1" sqref="D9:J9" xr:uid="{FBD317E0-6D03-424F-A2EB-E098FBFF2E72}">
      <formula1>"Select Drop Down, Internal Combustion, Electric Vehicle"</formula1>
    </dataValidation>
    <dataValidation type="list" allowBlank="1" showInputMessage="1" showErrorMessage="1" sqref="AK69:AL69" xr:uid="{5E74E888-E4EB-4120-B010-7D393438875B}">
      <formula1>"Straight, Bent / Multi Tube"</formula1>
    </dataValidation>
    <dataValidation type="list" allowBlank="1" showInputMessage="1" showErrorMessage="1" sqref="BN85:BP85" xr:uid="{F51D1BD2-F98D-4430-A3D6-10A15FE64418}">
      <formula1>"Select drop down:, No rear wing., Wing not mounted to MHB., Wing mounted to MHB nodes, Mounted on MHB with Brace."</formula1>
    </dataValidation>
  </dataValidations>
  <pageMargins left="0.7" right="0.7" top="0.75" bottom="0.75" header="0.3" footer="0.3"/>
  <pageSetup paperSize="24" scale="4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495B9-0C3A-4AB4-BAAF-1EC24D9775A9}">
  <dimension ref="A1:BA60"/>
  <sheetViews>
    <sheetView workbookViewId="0">
      <selection activeCell="B1" sqref="B1"/>
    </sheetView>
  </sheetViews>
  <sheetFormatPr defaultColWidth="9.1796875" defaultRowHeight="14.5" x14ac:dyDescent="0.35"/>
  <cols>
    <col min="1" max="5" width="9.1796875" style="33"/>
    <col min="6" max="6" width="9.1796875" style="33" customWidth="1"/>
    <col min="7" max="16384" width="9.1796875" style="33"/>
  </cols>
  <sheetData>
    <row r="1" spans="1:53" ht="15" customHeight="1" x14ac:dyDescent="0.35">
      <c r="D1" s="23"/>
      <c r="E1" s="23"/>
      <c r="F1" s="23"/>
      <c r="G1" s="23"/>
      <c r="H1" s="23"/>
      <c r="I1" s="23"/>
      <c r="J1" s="23"/>
      <c r="K1" s="23"/>
      <c r="L1" s="23"/>
      <c r="M1" s="23"/>
      <c r="N1" s="25"/>
      <c r="O1" s="26"/>
      <c r="P1" s="20"/>
      <c r="Q1" s="20"/>
      <c r="R1" s="20"/>
      <c r="S1" s="20"/>
      <c r="T1" s="20"/>
      <c r="U1" s="20"/>
      <c r="V1" s="20"/>
      <c r="W1" s="23"/>
      <c r="X1" s="20"/>
      <c r="Y1" s="20"/>
      <c r="Z1" s="20"/>
      <c r="AA1" s="20"/>
      <c r="AB1" s="20"/>
      <c r="AC1" s="20"/>
      <c r="AD1" s="20"/>
      <c r="AE1" s="20"/>
      <c r="AF1" s="20"/>
      <c r="AG1" s="23"/>
      <c r="AH1" s="20"/>
      <c r="AI1" s="20"/>
      <c r="AJ1" s="20"/>
      <c r="AK1" s="20"/>
      <c r="AL1" s="20"/>
      <c r="AM1" s="20"/>
      <c r="AN1" s="20"/>
      <c r="AO1" s="20"/>
      <c r="AP1" s="20"/>
      <c r="AQ1" s="23"/>
      <c r="AR1" s="20"/>
      <c r="AS1" s="20"/>
      <c r="AT1" s="20"/>
      <c r="AU1" s="20"/>
      <c r="AV1" s="20"/>
      <c r="AW1" s="20"/>
      <c r="AX1" s="20"/>
      <c r="AY1" s="20"/>
      <c r="AZ1" s="20"/>
      <c r="BA1" s="23"/>
    </row>
    <row r="2" spans="1:53" ht="15" customHeight="1" x14ac:dyDescent="0.35">
      <c r="D2" s="43"/>
      <c r="E2" s="43"/>
      <c r="F2" s="43"/>
      <c r="G2" s="43"/>
      <c r="H2" s="43"/>
      <c r="I2" s="43"/>
      <c r="J2" s="43"/>
      <c r="K2" s="43"/>
      <c r="L2" s="43"/>
      <c r="M2" s="23"/>
      <c r="N2" s="44"/>
      <c r="O2" s="45"/>
      <c r="P2" s="39"/>
      <c r="Q2" s="39"/>
      <c r="R2" s="39"/>
      <c r="S2" s="39"/>
      <c r="T2" s="39"/>
      <c r="U2" s="39"/>
      <c r="V2" s="39"/>
      <c r="W2" s="23"/>
      <c r="X2" s="39"/>
      <c r="Y2" s="39"/>
      <c r="Z2" s="39"/>
      <c r="AA2" s="39"/>
      <c r="AB2" s="39"/>
      <c r="AC2" s="39"/>
      <c r="AD2" s="39"/>
      <c r="AE2" s="39"/>
      <c r="AF2" s="39"/>
      <c r="AG2" s="23"/>
      <c r="AH2" s="39"/>
      <c r="AI2" s="39"/>
      <c r="AJ2" s="39"/>
      <c r="AK2" s="39"/>
      <c r="AL2" s="39"/>
      <c r="AM2" s="39"/>
      <c r="AN2" s="39"/>
      <c r="AO2" s="39"/>
      <c r="AP2" s="39"/>
      <c r="AQ2" s="23"/>
      <c r="AR2" s="39"/>
      <c r="AS2" s="39"/>
      <c r="AT2" s="39"/>
      <c r="AU2" s="39"/>
      <c r="AV2" s="39"/>
      <c r="AW2" s="39"/>
      <c r="AX2" s="39"/>
      <c r="AY2" s="39"/>
      <c r="AZ2" s="39"/>
      <c r="BA2" s="23"/>
    </row>
    <row r="3" spans="1:53" ht="15" customHeight="1" x14ac:dyDescent="0.35">
      <c r="D3" s="43"/>
      <c r="E3" s="43"/>
      <c r="F3" s="43"/>
      <c r="G3" s="43"/>
      <c r="H3" s="43"/>
      <c r="I3" s="43"/>
      <c r="J3" s="43"/>
      <c r="K3" s="43"/>
      <c r="L3" s="43"/>
      <c r="M3" s="23"/>
      <c r="N3" s="44"/>
      <c r="O3" s="45"/>
      <c r="P3" s="39"/>
      <c r="Q3" s="39"/>
      <c r="R3" s="39"/>
      <c r="S3" s="39"/>
      <c r="T3" s="39"/>
      <c r="U3" s="39"/>
      <c r="V3" s="39"/>
      <c r="W3" s="23"/>
      <c r="X3" s="39"/>
      <c r="Y3" s="39"/>
      <c r="Z3" s="39"/>
      <c r="AA3" s="39"/>
      <c r="AB3" s="39"/>
      <c r="AC3" s="39"/>
      <c r="AD3" s="39"/>
      <c r="AE3" s="39"/>
      <c r="AF3" s="39"/>
      <c r="AG3" s="23"/>
      <c r="AH3" s="39"/>
      <c r="AI3" s="39"/>
      <c r="AJ3" s="39"/>
      <c r="AK3" s="39"/>
      <c r="AL3" s="39"/>
      <c r="AM3" s="39"/>
      <c r="AN3" s="39"/>
      <c r="AO3" s="39"/>
      <c r="AP3" s="39"/>
      <c r="AQ3" s="23"/>
      <c r="AR3" s="39"/>
      <c r="AS3" s="39"/>
      <c r="AT3" s="39"/>
      <c r="AU3" s="39"/>
      <c r="AV3" s="39"/>
      <c r="AW3" s="39"/>
      <c r="AX3" s="39"/>
      <c r="AY3" s="39"/>
      <c r="AZ3" s="39"/>
      <c r="BA3" s="23"/>
    </row>
    <row r="4" spans="1:53" ht="15" customHeight="1" x14ac:dyDescent="0.35">
      <c r="D4" s="43"/>
      <c r="E4" s="43"/>
      <c r="F4" s="43"/>
      <c r="G4" s="43"/>
      <c r="H4" s="43"/>
      <c r="I4" s="43"/>
      <c r="J4" s="43"/>
      <c r="K4" s="43"/>
      <c r="L4" s="43"/>
      <c r="M4" s="23"/>
      <c r="N4" s="44"/>
      <c r="O4" s="45"/>
      <c r="P4" s="39"/>
      <c r="Q4" s="39"/>
      <c r="R4" s="39"/>
      <c r="S4" s="39"/>
      <c r="T4" s="39"/>
      <c r="U4" s="39"/>
      <c r="V4" s="39"/>
      <c r="W4" s="23"/>
      <c r="X4" s="39"/>
      <c r="Y4" s="39"/>
      <c r="Z4" s="39"/>
      <c r="AA4" s="39"/>
      <c r="AB4" s="39"/>
      <c r="AC4" s="39"/>
      <c r="AD4" s="39"/>
      <c r="AE4" s="39"/>
      <c r="AF4" s="39"/>
      <c r="AG4" s="23"/>
      <c r="AH4" s="39"/>
      <c r="AI4" s="39"/>
      <c r="AJ4" s="39"/>
      <c r="AK4" s="39"/>
      <c r="AL4" s="39"/>
      <c r="AM4" s="39"/>
      <c r="AN4" s="39"/>
      <c r="AO4" s="39"/>
      <c r="AP4" s="39"/>
      <c r="AQ4" s="23"/>
      <c r="AR4" s="39"/>
      <c r="AS4" s="39"/>
      <c r="AT4" s="39"/>
      <c r="AU4" s="39"/>
      <c r="AV4" s="39"/>
      <c r="AW4" s="39"/>
      <c r="AX4" s="39"/>
      <c r="AY4" s="39"/>
      <c r="AZ4" s="39"/>
      <c r="BA4" s="23"/>
    </row>
    <row r="5" spans="1:53" ht="15" customHeight="1" x14ac:dyDescent="0.35">
      <c r="D5" s="43"/>
      <c r="E5" s="43"/>
      <c r="F5" s="43"/>
      <c r="G5" s="43"/>
      <c r="H5" s="43"/>
      <c r="I5" s="43"/>
      <c r="J5" s="43"/>
      <c r="K5" s="43"/>
      <c r="L5" s="43"/>
      <c r="M5" s="23"/>
      <c r="N5" s="44"/>
      <c r="O5" s="45"/>
      <c r="P5" s="39"/>
      <c r="Q5" s="39"/>
      <c r="R5" s="39"/>
      <c r="S5" s="39"/>
      <c r="T5" s="39"/>
      <c r="U5" s="39"/>
      <c r="V5" s="39"/>
      <c r="W5" s="23"/>
      <c r="X5" s="39"/>
      <c r="Y5" s="39"/>
      <c r="Z5" s="39"/>
      <c r="AA5" s="39"/>
      <c r="AB5" s="39"/>
      <c r="AC5" s="39"/>
      <c r="AD5" s="39"/>
      <c r="AE5" s="39"/>
      <c r="AF5" s="39"/>
      <c r="AG5" s="23"/>
      <c r="AH5" s="39"/>
      <c r="AI5" s="39"/>
      <c r="AJ5" s="39"/>
      <c r="AK5" s="39"/>
      <c r="AL5" s="39"/>
      <c r="AM5" s="39"/>
      <c r="AN5" s="39"/>
      <c r="AO5" s="39"/>
      <c r="AP5" s="39"/>
      <c r="AQ5" s="23"/>
      <c r="AR5" s="39"/>
      <c r="AS5" s="39"/>
      <c r="AT5" s="39"/>
      <c r="AU5" s="39"/>
      <c r="AV5" s="39"/>
      <c r="AW5" s="39"/>
      <c r="AX5" s="39"/>
      <c r="AY5" s="39"/>
      <c r="AZ5" s="39"/>
      <c r="BA5" s="23"/>
    </row>
    <row r="6" spans="1:53" ht="15" customHeight="1" x14ac:dyDescent="0.35">
      <c r="A6" s="190" t="str">
        <f>IF(A9="SELECT DROP DOWN","BLANK","EQ")</f>
        <v>BLANK</v>
      </c>
      <c r="B6" s="190"/>
      <c r="C6" s="190"/>
      <c r="D6" s="43"/>
      <c r="E6" s="43"/>
      <c r="F6" s="43"/>
      <c r="G6" s="43"/>
      <c r="H6" s="43"/>
      <c r="I6" s="43"/>
      <c r="J6" s="43"/>
      <c r="K6" s="43"/>
      <c r="L6" s="43"/>
      <c r="M6" s="23"/>
      <c r="N6" s="44"/>
      <c r="O6" s="45"/>
      <c r="P6" s="39"/>
      <c r="Q6" s="39"/>
      <c r="R6" s="39"/>
      <c r="S6" s="39"/>
      <c r="T6" s="39"/>
      <c r="U6" s="39"/>
      <c r="V6" s="39"/>
      <c r="W6" s="23"/>
      <c r="X6" s="39"/>
      <c r="Y6" s="39"/>
      <c r="Z6" s="39"/>
      <c r="AA6" s="39"/>
      <c r="AB6" s="39"/>
      <c r="AC6" s="39"/>
      <c r="AD6" s="39"/>
      <c r="AE6" s="39"/>
      <c r="AF6" s="39"/>
      <c r="AG6" s="23"/>
      <c r="AH6" s="39"/>
      <c r="AI6" s="39"/>
      <c r="AJ6" s="39"/>
      <c r="AK6" s="39"/>
      <c r="AL6" s="39"/>
      <c r="AM6" s="39"/>
      <c r="AN6" s="39"/>
      <c r="AO6" s="39"/>
      <c r="AP6" s="39"/>
      <c r="AQ6" s="23"/>
      <c r="AR6" s="39"/>
      <c r="AS6" s="39"/>
      <c r="AT6" s="39"/>
      <c r="AU6" s="39"/>
      <c r="AV6" s="39"/>
      <c r="AW6" s="39"/>
      <c r="AX6" s="39"/>
      <c r="AY6" s="39"/>
      <c r="AZ6" s="39"/>
      <c r="BA6" s="23"/>
    </row>
    <row r="7" spans="1:53" ht="15" customHeight="1" x14ac:dyDescent="0.35">
      <c r="A7" s="198" t="s">
        <v>259</v>
      </c>
      <c r="B7" s="198"/>
      <c r="C7" s="198"/>
      <c r="D7" s="43"/>
      <c r="E7" s="43"/>
      <c r="F7" s="43"/>
      <c r="G7" s="43"/>
      <c r="H7" s="43"/>
      <c r="I7" s="43"/>
      <c r="J7" s="43"/>
      <c r="K7" s="43"/>
      <c r="L7" s="43"/>
      <c r="M7" s="23"/>
      <c r="N7" s="44"/>
      <c r="O7" s="45"/>
      <c r="P7" s="39"/>
      <c r="Q7" s="39"/>
      <c r="R7" s="39"/>
      <c r="S7" s="39"/>
      <c r="T7" s="39"/>
      <c r="U7" s="39"/>
      <c r="V7" s="39"/>
      <c r="W7" s="23"/>
      <c r="X7" s="39"/>
      <c r="Y7" s="39"/>
      <c r="Z7" s="39"/>
      <c r="AA7" s="39"/>
      <c r="AB7" s="39"/>
      <c r="AC7" s="39"/>
      <c r="AD7" s="39"/>
      <c r="AE7" s="39"/>
      <c r="AF7" s="39"/>
      <c r="AG7" s="23"/>
      <c r="AH7" s="39"/>
      <c r="AI7" s="39"/>
      <c r="AJ7" s="39"/>
      <c r="AK7" s="39"/>
      <c r="AL7" s="39"/>
      <c r="AM7" s="39"/>
      <c r="AN7" s="39"/>
      <c r="AO7" s="39"/>
      <c r="AP7" s="39"/>
      <c r="AQ7" s="23"/>
      <c r="AR7" s="39"/>
      <c r="AS7" s="39"/>
      <c r="AT7" s="39"/>
      <c r="AU7" s="39"/>
      <c r="AV7" s="39"/>
      <c r="AW7" s="39"/>
      <c r="AX7" s="39"/>
      <c r="AY7" s="39"/>
      <c r="AZ7" s="39"/>
      <c r="BA7" s="23"/>
    </row>
    <row r="8" spans="1:53" ht="15" customHeight="1" thickBot="1" x14ac:dyDescent="0.4">
      <c r="A8" s="199"/>
      <c r="B8" s="199"/>
      <c r="C8" s="199"/>
      <c r="D8" s="43"/>
      <c r="E8" s="43"/>
      <c r="F8" s="43"/>
      <c r="G8" s="43"/>
      <c r="H8" s="43"/>
      <c r="I8" s="43"/>
      <c r="J8" s="43"/>
      <c r="K8" s="43"/>
      <c r="L8" s="43"/>
      <c r="M8" s="23"/>
      <c r="N8" s="44"/>
      <c r="O8" s="45"/>
      <c r="P8" s="39"/>
      <c r="Q8" s="39"/>
      <c r="R8" s="39"/>
      <c r="S8" s="39"/>
      <c r="T8" s="39"/>
      <c r="U8" s="39"/>
      <c r="V8" s="39"/>
      <c r="W8" s="23"/>
      <c r="X8" s="39"/>
      <c r="Y8" s="39"/>
      <c r="Z8" s="39"/>
      <c r="AA8" s="39"/>
      <c r="AB8" s="39"/>
      <c r="AC8" s="39"/>
      <c r="AD8" s="39"/>
      <c r="AE8" s="39"/>
      <c r="AF8" s="39"/>
      <c r="AG8" s="23"/>
      <c r="AH8" s="39"/>
      <c r="AI8" s="39"/>
      <c r="AJ8" s="39"/>
      <c r="AK8" s="39"/>
      <c r="AL8" s="39"/>
      <c r="AM8" s="39"/>
      <c r="AN8" s="39"/>
      <c r="AO8" s="39"/>
      <c r="AP8" s="39"/>
      <c r="AQ8" s="23"/>
      <c r="AR8" s="39"/>
      <c r="AS8" s="39"/>
      <c r="AT8" s="39"/>
      <c r="AU8" s="39"/>
      <c r="AV8" s="39"/>
      <c r="AW8" s="39"/>
      <c r="AX8" s="39"/>
      <c r="AY8" s="39"/>
      <c r="AZ8" s="39"/>
      <c r="BA8" s="23"/>
    </row>
    <row r="9" spans="1:53" ht="15" customHeight="1" thickBot="1" x14ac:dyDescent="0.4">
      <c r="A9" s="194" t="s">
        <v>358</v>
      </c>
      <c r="B9" s="195"/>
      <c r="C9" s="196"/>
      <c r="D9" s="43"/>
      <c r="E9" s="43"/>
      <c r="F9" s="43"/>
      <c r="G9" s="43"/>
      <c r="H9" s="43"/>
      <c r="I9" s="43"/>
      <c r="J9" s="43"/>
      <c r="K9" s="43"/>
      <c r="L9" s="43"/>
      <c r="M9" s="23"/>
      <c r="N9" s="44"/>
      <c r="O9" s="45"/>
      <c r="P9" s="39"/>
      <c r="Q9" s="39"/>
      <c r="R9" s="39"/>
      <c r="S9" s="39"/>
      <c r="T9" s="39"/>
      <c r="U9" s="39"/>
      <c r="V9" s="39"/>
      <c r="W9" s="23"/>
      <c r="X9" s="39"/>
      <c r="Y9" s="39"/>
      <c r="Z9" s="39"/>
      <c r="AA9" s="39"/>
      <c r="AB9" s="39"/>
      <c r="AC9" s="39"/>
      <c r="AD9" s="39"/>
      <c r="AE9" s="39"/>
      <c r="AF9" s="39"/>
      <c r="AG9" s="23"/>
      <c r="AH9" s="39"/>
      <c r="AI9" s="39"/>
      <c r="AJ9" s="39"/>
      <c r="AK9" s="39"/>
      <c r="AL9" s="39"/>
      <c r="AM9" s="39"/>
      <c r="AN9" s="39"/>
      <c r="AO9" s="39"/>
      <c r="AP9" s="39"/>
      <c r="AQ9" s="23"/>
      <c r="AR9" s="39"/>
      <c r="AS9" s="39"/>
      <c r="AT9" s="39"/>
      <c r="AU9" s="39"/>
      <c r="AV9" s="39"/>
      <c r="AW9" s="39"/>
      <c r="AX9" s="39"/>
      <c r="AY9" s="39"/>
      <c r="AZ9" s="39"/>
      <c r="BA9" s="23"/>
    </row>
    <row r="10" spans="1:53" ht="15" customHeight="1" x14ac:dyDescent="0.35">
      <c r="D10" s="43"/>
      <c r="E10" s="43"/>
      <c r="F10" s="43"/>
      <c r="G10" s="43"/>
      <c r="H10" s="43"/>
      <c r="I10" s="43"/>
      <c r="J10" s="43"/>
      <c r="K10" s="43"/>
      <c r="L10" s="43"/>
      <c r="M10" s="23"/>
      <c r="N10" s="44"/>
      <c r="O10" s="45"/>
      <c r="P10" s="39"/>
      <c r="Q10" s="39"/>
      <c r="R10" s="39"/>
      <c r="S10" s="39"/>
      <c r="T10" s="39"/>
      <c r="U10" s="39"/>
      <c r="V10" s="39"/>
      <c r="W10" s="23"/>
      <c r="X10" s="39"/>
      <c r="Y10" s="39"/>
      <c r="Z10" s="39"/>
      <c r="AA10" s="39"/>
      <c r="AB10" s="39"/>
      <c r="AC10" s="39"/>
      <c r="AD10" s="39"/>
      <c r="AE10" s="39"/>
      <c r="AF10" s="39"/>
      <c r="AG10" s="23"/>
      <c r="AH10" s="39"/>
      <c r="AI10" s="39"/>
      <c r="AJ10" s="39"/>
      <c r="AK10" s="39"/>
      <c r="AL10" s="39"/>
      <c r="AM10" s="39"/>
      <c r="AN10" s="39"/>
      <c r="AO10" s="39"/>
      <c r="AP10" s="39"/>
      <c r="AQ10" s="23"/>
      <c r="AR10" s="39"/>
      <c r="AS10" s="39"/>
      <c r="AT10" s="39"/>
      <c r="AU10" s="39"/>
      <c r="AV10" s="39"/>
      <c r="AW10" s="39"/>
      <c r="AX10" s="39"/>
      <c r="AY10" s="39"/>
      <c r="AZ10" s="39"/>
      <c r="BA10" s="23"/>
    </row>
    <row r="11" spans="1:53" ht="15" customHeight="1" x14ac:dyDescent="0.35">
      <c r="A11" s="65"/>
      <c r="B11" s="65"/>
      <c r="C11" s="65"/>
      <c r="D11" s="43"/>
      <c r="E11" s="43"/>
      <c r="F11" s="43"/>
      <c r="G11" s="43"/>
      <c r="H11" s="43"/>
      <c r="I11" s="43"/>
      <c r="J11" s="43"/>
      <c r="K11" s="43"/>
      <c r="L11" s="43"/>
      <c r="M11" s="23"/>
      <c r="N11" s="44"/>
      <c r="O11" s="45"/>
      <c r="P11" s="39"/>
      <c r="Q11" s="39"/>
      <c r="R11" s="39"/>
      <c r="S11" s="39"/>
      <c r="T11" s="39"/>
      <c r="U11" s="39"/>
      <c r="V11" s="39"/>
      <c r="W11" s="23"/>
      <c r="X11" s="39"/>
      <c r="Y11" s="39"/>
      <c r="Z11" s="39"/>
      <c r="AA11" s="39"/>
      <c r="AB11" s="39"/>
      <c r="AC11" s="39"/>
      <c r="AD11" s="39"/>
      <c r="AE11" s="39"/>
      <c r="AF11" s="39"/>
      <c r="AG11" s="23"/>
      <c r="AH11" s="39"/>
      <c r="AI11" s="39"/>
      <c r="AJ11" s="39"/>
      <c r="AK11" s="39"/>
      <c r="AL11" s="39"/>
      <c r="AM11" s="39"/>
      <c r="AN11" s="39"/>
      <c r="AO11" s="39"/>
      <c r="AP11" s="39"/>
      <c r="AQ11" s="23"/>
      <c r="AR11" s="39"/>
      <c r="AS11" s="39"/>
      <c r="AT11" s="39"/>
      <c r="AU11" s="39"/>
      <c r="AV11" s="39"/>
      <c r="AW11" s="39"/>
      <c r="AX11" s="39"/>
      <c r="AY11" s="39"/>
      <c r="AZ11" s="39"/>
      <c r="BA11" s="23"/>
    </row>
    <row r="12" spans="1:53" ht="15" customHeight="1" x14ac:dyDescent="0.35">
      <c r="A12" s="190" t="str">
        <f>IF(A15="SELECT DROP DOWN","BLANK","EQ")</f>
        <v>BLANK</v>
      </c>
      <c r="B12" s="190"/>
      <c r="C12" s="190"/>
      <c r="D12" s="43"/>
      <c r="E12" s="43"/>
      <c r="F12" s="43"/>
      <c r="G12" s="43"/>
      <c r="H12" s="43"/>
      <c r="I12" s="43"/>
      <c r="J12" s="43"/>
      <c r="K12" s="43"/>
      <c r="L12" s="43"/>
      <c r="M12" s="23"/>
      <c r="N12" s="44"/>
      <c r="O12" s="45"/>
      <c r="P12" s="39"/>
      <c r="Q12" s="39"/>
      <c r="R12" s="39"/>
      <c r="S12" s="39"/>
      <c r="T12" s="39"/>
      <c r="U12" s="39"/>
      <c r="V12" s="39"/>
      <c r="W12" s="23"/>
      <c r="X12" s="39"/>
      <c r="Y12" s="39"/>
      <c r="Z12" s="39"/>
      <c r="AA12" s="39"/>
      <c r="AB12" s="39"/>
      <c r="AC12" s="39"/>
      <c r="AD12" s="39"/>
      <c r="AE12" s="39"/>
      <c r="AF12" s="39"/>
      <c r="AG12" s="23"/>
      <c r="AH12" s="39"/>
      <c r="AI12" s="39"/>
      <c r="AJ12" s="39"/>
      <c r="AK12" s="39"/>
      <c r="AL12" s="39"/>
      <c r="AM12" s="39"/>
      <c r="AN12" s="39"/>
      <c r="AO12" s="39"/>
      <c r="AP12" s="39"/>
      <c r="AQ12" s="23"/>
      <c r="AR12" s="39"/>
      <c r="AS12" s="39"/>
      <c r="AT12" s="39"/>
      <c r="AU12" s="39"/>
      <c r="AV12" s="39"/>
      <c r="AW12" s="39"/>
      <c r="AX12" s="39"/>
      <c r="AY12" s="39"/>
      <c r="AZ12" s="39"/>
      <c r="BA12" s="23"/>
    </row>
    <row r="13" spans="1:53" ht="15" customHeight="1" x14ac:dyDescent="0.35">
      <c r="A13" s="198" t="s">
        <v>258</v>
      </c>
      <c r="B13" s="198"/>
      <c r="C13" s="198"/>
      <c r="D13" s="118" t="s">
        <v>195</v>
      </c>
      <c r="E13" s="118"/>
      <c r="F13" s="118"/>
      <c r="G13" s="118"/>
      <c r="H13" s="118"/>
      <c r="I13" s="118"/>
      <c r="J13" s="118"/>
      <c r="K13" s="118"/>
      <c r="L13" s="118"/>
      <c r="M13" s="23"/>
      <c r="N13" s="118" t="s">
        <v>195</v>
      </c>
      <c r="O13" s="118"/>
      <c r="P13" s="118"/>
      <c r="Q13" s="118"/>
      <c r="R13" s="118"/>
      <c r="S13" s="118"/>
      <c r="T13" s="118"/>
      <c r="U13" s="118"/>
      <c r="V13" s="118"/>
      <c r="W13" s="23"/>
      <c r="X13" s="118" t="s">
        <v>195</v>
      </c>
      <c r="Y13" s="118"/>
      <c r="Z13" s="118"/>
      <c r="AA13" s="118"/>
      <c r="AB13" s="118"/>
      <c r="AC13" s="118"/>
      <c r="AD13" s="118"/>
      <c r="AE13" s="118"/>
      <c r="AF13" s="118"/>
      <c r="AG13" s="23"/>
      <c r="AH13" s="118" t="s">
        <v>195</v>
      </c>
      <c r="AI13" s="118"/>
      <c r="AJ13" s="118"/>
      <c r="AK13" s="118"/>
      <c r="AL13" s="118"/>
      <c r="AM13" s="118"/>
      <c r="AN13" s="118"/>
      <c r="AO13" s="118"/>
      <c r="AP13" s="118"/>
      <c r="AQ13" s="23"/>
      <c r="AR13" s="118" t="s">
        <v>195</v>
      </c>
      <c r="AS13" s="118"/>
      <c r="AT13" s="118"/>
      <c r="AU13" s="118"/>
      <c r="AV13" s="118"/>
      <c r="AW13" s="118"/>
      <c r="AX13" s="118"/>
      <c r="AY13" s="118"/>
      <c r="AZ13" s="118"/>
      <c r="BA13" s="23"/>
    </row>
    <row r="14" spans="1:53" ht="15" customHeight="1" thickBot="1" x14ac:dyDescent="0.4">
      <c r="A14" s="199"/>
      <c r="B14" s="199"/>
      <c r="C14" s="199"/>
      <c r="D14" s="118"/>
      <c r="E14" s="118"/>
      <c r="F14" s="118"/>
      <c r="G14" s="118"/>
      <c r="H14" s="118"/>
      <c r="I14" s="118"/>
      <c r="J14" s="118"/>
      <c r="K14" s="118"/>
      <c r="L14" s="118"/>
      <c r="M14" s="23"/>
      <c r="N14" s="118"/>
      <c r="O14" s="118"/>
      <c r="P14" s="118"/>
      <c r="Q14" s="118"/>
      <c r="R14" s="118"/>
      <c r="S14" s="118"/>
      <c r="T14" s="118"/>
      <c r="U14" s="118"/>
      <c r="V14" s="118"/>
      <c r="W14" s="23"/>
      <c r="X14" s="118"/>
      <c r="Y14" s="118"/>
      <c r="Z14" s="118"/>
      <c r="AA14" s="118"/>
      <c r="AB14" s="118"/>
      <c r="AC14" s="118"/>
      <c r="AD14" s="118"/>
      <c r="AE14" s="118"/>
      <c r="AF14" s="118"/>
      <c r="AG14" s="23"/>
      <c r="AH14" s="118"/>
      <c r="AI14" s="118"/>
      <c r="AJ14" s="118"/>
      <c r="AK14" s="118"/>
      <c r="AL14" s="118"/>
      <c r="AM14" s="118"/>
      <c r="AN14" s="118"/>
      <c r="AO14" s="118"/>
      <c r="AP14" s="118"/>
      <c r="AQ14" s="23"/>
      <c r="AR14" s="118"/>
      <c r="AS14" s="118"/>
      <c r="AT14" s="118"/>
      <c r="AU14" s="118"/>
      <c r="AV14" s="118"/>
      <c r="AW14" s="118"/>
      <c r="AX14" s="118"/>
      <c r="AY14" s="118"/>
      <c r="AZ14" s="118"/>
      <c r="BA14" s="23"/>
    </row>
    <row r="15" spans="1:53" ht="15" customHeight="1" thickBot="1" x14ac:dyDescent="0.4">
      <c r="A15" s="194" t="s">
        <v>358</v>
      </c>
      <c r="B15" s="195"/>
      <c r="C15" s="196"/>
      <c r="D15" s="43"/>
      <c r="E15" s="43"/>
      <c r="F15" s="43"/>
      <c r="G15" s="43"/>
      <c r="H15" s="43"/>
      <c r="I15" s="43"/>
      <c r="J15" s="43"/>
      <c r="K15" s="43"/>
      <c r="L15" s="43"/>
      <c r="M15" s="23"/>
      <c r="N15" s="44"/>
      <c r="O15" s="45"/>
      <c r="P15" s="39"/>
      <c r="Q15" s="39"/>
      <c r="R15" s="39"/>
      <c r="S15" s="39"/>
      <c r="T15" s="39"/>
      <c r="U15" s="39"/>
      <c r="V15" s="39"/>
      <c r="W15" s="23"/>
      <c r="X15" s="43"/>
      <c r="Y15" s="43"/>
      <c r="Z15" s="43"/>
      <c r="AA15" s="43"/>
      <c r="AB15" s="43"/>
      <c r="AC15" s="43"/>
      <c r="AD15" s="43"/>
      <c r="AE15" s="43"/>
      <c r="AF15" s="43"/>
      <c r="AG15" s="23"/>
      <c r="AH15" s="49"/>
      <c r="AI15" s="49"/>
      <c r="AJ15" s="49"/>
      <c r="AK15" s="49"/>
      <c r="AL15" s="49"/>
      <c r="AM15" s="49"/>
      <c r="AN15" s="49"/>
      <c r="AO15" s="49"/>
      <c r="AP15" s="49"/>
      <c r="AQ15" s="23"/>
      <c r="AR15" s="39"/>
      <c r="AS15" s="39"/>
      <c r="AT15" s="39"/>
      <c r="AU15" s="39"/>
      <c r="AV15" s="39"/>
      <c r="AW15" s="39"/>
      <c r="AX15" s="39"/>
      <c r="AY15" s="39"/>
      <c r="AZ15" s="39"/>
      <c r="BA15" s="23"/>
    </row>
    <row r="16" spans="1:53" ht="15" customHeight="1" x14ac:dyDescent="0.35">
      <c r="A16" s="66"/>
      <c r="B16" s="66"/>
      <c r="C16" s="66"/>
      <c r="D16" s="43"/>
      <c r="E16" s="43"/>
      <c r="F16" s="43"/>
      <c r="G16" s="43"/>
      <c r="H16" s="43"/>
      <c r="I16" s="43"/>
      <c r="J16" s="43"/>
      <c r="K16" s="43"/>
      <c r="L16" s="43"/>
      <c r="M16" s="23"/>
      <c r="N16" s="44"/>
      <c r="O16" s="45"/>
      <c r="P16" s="39"/>
      <c r="Q16" s="39"/>
      <c r="R16" s="39"/>
      <c r="S16" s="39"/>
      <c r="T16" s="39"/>
      <c r="U16" s="39"/>
      <c r="V16" s="39"/>
      <c r="W16" s="23"/>
      <c r="X16" s="43"/>
      <c r="Y16" s="43"/>
      <c r="Z16" s="43"/>
      <c r="AA16" s="43"/>
      <c r="AB16" s="43"/>
      <c r="AC16" s="43"/>
      <c r="AD16" s="43"/>
      <c r="AE16" s="43"/>
      <c r="AF16" s="43"/>
      <c r="AG16" s="23"/>
      <c r="AH16" s="49"/>
      <c r="AI16" s="49"/>
      <c r="AJ16" s="49"/>
      <c r="AK16" s="49"/>
      <c r="AL16" s="49"/>
      <c r="AM16" s="49"/>
      <c r="AN16" s="49"/>
      <c r="AO16" s="49"/>
      <c r="AP16" s="49"/>
      <c r="AQ16" s="23"/>
      <c r="AR16" s="39"/>
      <c r="AS16" s="39"/>
      <c r="AT16" s="39"/>
      <c r="AU16" s="39"/>
      <c r="AV16" s="39"/>
      <c r="AW16" s="39"/>
      <c r="AX16" s="39"/>
      <c r="AY16" s="39"/>
      <c r="AZ16" s="39"/>
      <c r="BA16" s="23"/>
    </row>
    <row r="17" spans="1:53" ht="15" customHeight="1" x14ac:dyDescent="0.35">
      <c r="A17" s="197" t="str">
        <f>IF(COUNTIF(A7:A16,"YES"),"FILL OUT THIS TAB.",IF(COUNTIF(A7:A16,"Select Drop Down"),"","NO ACTION NEEDED."))</f>
        <v/>
      </c>
      <c r="B17" s="197"/>
      <c r="C17" s="197"/>
      <c r="D17" s="43"/>
      <c r="E17" s="43"/>
      <c r="F17" s="43"/>
      <c r="G17" s="43"/>
      <c r="H17" s="43"/>
      <c r="I17" s="43"/>
      <c r="J17" s="43"/>
      <c r="K17" s="43"/>
      <c r="L17" s="43"/>
      <c r="M17" s="23"/>
      <c r="N17" s="44"/>
      <c r="O17" s="45"/>
      <c r="P17" s="39"/>
      <c r="Q17" s="39"/>
      <c r="R17" s="39"/>
      <c r="S17" s="39"/>
      <c r="T17" s="39"/>
      <c r="U17" s="39"/>
      <c r="V17" s="39"/>
      <c r="W17" s="23"/>
      <c r="X17" s="39"/>
      <c r="Y17" s="39"/>
      <c r="Z17" s="39"/>
      <c r="AA17" s="39"/>
      <c r="AB17" s="39"/>
      <c r="AC17" s="39"/>
      <c r="AD17" s="39"/>
      <c r="AE17" s="39"/>
      <c r="AF17" s="39"/>
      <c r="AG17" s="23"/>
      <c r="AH17" s="39"/>
      <c r="AI17" s="39"/>
      <c r="AJ17" s="39"/>
      <c r="AK17" s="39"/>
      <c r="AL17" s="39"/>
      <c r="AM17" s="39"/>
      <c r="AN17" s="39"/>
      <c r="AO17" s="39"/>
      <c r="AP17" s="39"/>
      <c r="AQ17" s="23"/>
      <c r="AR17" s="39"/>
      <c r="AS17" s="39"/>
      <c r="AT17" s="39"/>
      <c r="AU17" s="39"/>
      <c r="AV17" s="39"/>
      <c r="AW17" s="39"/>
      <c r="AX17" s="39"/>
      <c r="AY17" s="39"/>
      <c r="AZ17" s="39"/>
      <c r="BA17" s="23"/>
    </row>
    <row r="18" spans="1:53" ht="15" customHeight="1" x14ac:dyDescent="0.35">
      <c r="D18" s="43"/>
      <c r="E18" s="43"/>
      <c r="F18" s="43"/>
      <c r="G18" s="43"/>
      <c r="H18" s="43"/>
      <c r="I18" s="43"/>
      <c r="J18" s="43"/>
      <c r="K18" s="43"/>
      <c r="L18" s="43"/>
      <c r="M18" s="23"/>
      <c r="N18" s="44"/>
      <c r="O18" s="45"/>
      <c r="P18" s="39"/>
      <c r="Q18" s="39"/>
      <c r="R18" s="39"/>
      <c r="S18" s="39"/>
      <c r="T18" s="39"/>
      <c r="U18" s="39"/>
      <c r="V18" s="39"/>
      <c r="W18" s="23"/>
      <c r="X18" s="39"/>
      <c r="Y18" s="39"/>
      <c r="Z18" s="39"/>
      <c r="AA18" s="39"/>
      <c r="AB18" s="39"/>
      <c r="AC18" s="39"/>
      <c r="AD18" s="39"/>
      <c r="AE18" s="39"/>
      <c r="AF18" s="39"/>
      <c r="AG18" s="23"/>
      <c r="AH18" s="39"/>
      <c r="AI18" s="39"/>
      <c r="AJ18" s="39"/>
      <c r="AK18" s="39"/>
      <c r="AL18" s="39"/>
      <c r="AM18" s="39"/>
      <c r="AN18" s="39"/>
      <c r="AO18" s="39"/>
      <c r="AP18" s="39"/>
      <c r="AQ18" s="23"/>
      <c r="AR18" s="39"/>
      <c r="AS18" s="39"/>
      <c r="AT18" s="39"/>
      <c r="AU18" s="39"/>
      <c r="AV18" s="39"/>
      <c r="AW18" s="39"/>
      <c r="AX18" s="39"/>
      <c r="AY18" s="39"/>
      <c r="AZ18" s="39"/>
      <c r="BA18" s="23"/>
    </row>
    <row r="19" spans="1:53" ht="15" customHeight="1" x14ac:dyDescent="0.35">
      <c r="A19" s="192" t="str">
        <f>'T.2.5-6 Steel Tube Chassis'!C25</f>
        <v>Inch</v>
      </c>
      <c r="B19" s="192"/>
      <c r="C19" s="192"/>
      <c r="D19" s="43"/>
      <c r="E19" s="43"/>
      <c r="F19" s="43"/>
      <c r="G19" s="43"/>
      <c r="H19" s="43"/>
      <c r="I19" s="43"/>
      <c r="J19" s="43"/>
      <c r="K19" s="43"/>
      <c r="L19" s="43"/>
      <c r="M19" s="23"/>
      <c r="N19" s="44"/>
      <c r="O19" s="45"/>
      <c r="P19" s="39"/>
      <c r="Q19" s="39"/>
      <c r="R19" s="39"/>
      <c r="S19" s="39"/>
      <c r="T19" s="39"/>
      <c r="U19" s="39"/>
      <c r="V19" s="39"/>
      <c r="W19" s="23"/>
      <c r="X19" s="39"/>
      <c r="Y19" s="39"/>
      <c r="Z19" s="39"/>
      <c r="AA19" s="39"/>
      <c r="AB19" s="39"/>
      <c r="AC19" s="39"/>
      <c r="AD19" s="39"/>
      <c r="AE19" s="39"/>
      <c r="AF19" s="39"/>
      <c r="AG19" s="23"/>
      <c r="AH19" s="39"/>
      <c r="AI19" s="39"/>
      <c r="AJ19" s="39"/>
      <c r="AK19" s="39"/>
      <c r="AL19" s="39"/>
      <c r="AM19" s="39"/>
      <c r="AN19" s="39"/>
      <c r="AO19" s="39"/>
      <c r="AP19" s="39"/>
      <c r="AQ19" s="23"/>
      <c r="AR19" s="39"/>
      <c r="AS19" s="39"/>
      <c r="AT19" s="39"/>
      <c r="AU19" s="39"/>
      <c r="AV19" s="39"/>
      <c r="AW19" s="39"/>
      <c r="AX19" s="39"/>
      <c r="AY19" s="39"/>
      <c r="AZ19" s="39"/>
      <c r="BA19" s="23"/>
    </row>
    <row r="20" spans="1:53" ht="15" customHeight="1" x14ac:dyDescent="0.35">
      <c r="A20" s="192"/>
      <c r="B20" s="192"/>
      <c r="C20" s="192"/>
      <c r="D20" s="43"/>
      <c r="E20" s="43"/>
      <c r="F20" s="43"/>
      <c r="G20" s="43"/>
      <c r="H20" s="43"/>
      <c r="I20" s="43"/>
      <c r="J20" s="43"/>
      <c r="K20" s="43"/>
      <c r="L20" s="43"/>
      <c r="M20" s="23"/>
      <c r="N20" s="44"/>
      <c r="O20" s="45"/>
      <c r="P20" s="39"/>
      <c r="Q20" s="39"/>
      <c r="R20" s="39"/>
      <c r="S20" s="39"/>
      <c r="T20" s="39"/>
      <c r="U20" s="39"/>
      <c r="V20" s="39"/>
      <c r="W20" s="23"/>
      <c r="X20" s="39"/>
      <c r="Y20" s="39"/>
      <c r="Z20" s="39"/>
      <c r="AA20" s="39"/>
      <c r="AB20" s="39"/>
      <c r="AC20" s="39"/>
      <c r="AD20" s="39"/>
      <c r="AE20" s="39"/>
      <c r="AF20" s="39"/>
      <c r="AG20" s="23"/>
      <c r="AH20" s="39"/>
      <c r="AI20" s="39"/>
      <c r="AJ20" s="39"/>
      <c r="AK20" s="39"/>
      <c r="AL20" s="39"/>
      <c r="AM20" s="39"/>
      <c r="AN20" s="39"/>
      <c r="AO20" s="39"/>
      <c r="AP20" s="39"/>
      <c r="AQ20" s="23"/>
      <c r="AR20" s="39"/>
      <c r="AS20" s="39"/>
      <c r="AT20" s="39"/>
      <c r="AU20" s="39"/>
      <c r="AV20" s="39"/>
      <c r="AW20" s="39"/>
      <c r="AX20" s="39"/>
      <c r="AY20" s="39"/>
      <c r="AZ20" s="39"/>
      <c r="BA20" s="23"/>
    </row>
    <row r="21" spans="1:53" ht="15" customHeight="1" x14ac:dyDescent="0.35">
      <c r="A21" s="99"/>
      <c r="B21" s="99"/>
      <c r="C21" s="99"/>
      <c r="D21" s="43"/>
      <c r="E21" s="43"/>
      <c r="F21" s="43"/>
      <c r="G21" s="43"/>
      <c r="H21" s="43"/>
      <c r="I21" s="43"/>
      <c r="J21" s="43"/>
      <c r="K21" s="43"/>
      <c r="L21" s="43"/>
      <c r="M21" s="23"/>
      <c r="N21" s="44"/>
      <c r="O21" s="45"/>
      <c r="P21" s="39"/>
      <c r="Q21" s="39"/>
      <c r="R21" s="39"/>
      <c r="S21" s="39"/>
      <c r="T21" s="39"/>
      <c r="U21" s="39"/>
      <c r="V21" s="39"/>
      <c r="W21" s="23"/>
      <c r="X21" s="39"/>
      <c r="Y21" s="39"/>
      <c r="Z21" s="39"/>
      <c r="AA21" s="39"/>
      <c r="AB21" s="39"/>
      <c r="AC21" s="39"/>
      <c r="AD21" s="39"/>
      <c r="AE21" s="39"/>
      <c r="AF21" s="39"/>
      <c r="AG21" s="23"/>
      <c r="AH21" s="39"/>
      <c r="AI21" s="39"/>
      <c r="AJ21" s="39"/>
      <c r="AK21" s="39"/>
      <c r="AL21" s="39"/>
      <c r="AM21" s="39"/>
      <c r="AN21" s="39"/>
      <c r="AO21" s="39"/>
      <c r="AP21" s="39"/>
      <c r="AQ21" s="23"/>
      <c r="AR21" s="39"/>
      <c r="AS21" s="39"/>
      <c r="AT21" s="39"/>
      <c r="AU21" s="39"/>
      <c r="AV21" s="39"/>
      <c r="AW21" s="39"/>
      <c r="AX21" s="39"/>
      <c r="AY21" s="39"/>
      <c r="AZ21" s="39"/>
      <c r="BA21" s="23"/>
    </row>
    <row r="22" spans="1:53" ht="15" customHeight="1" x14ac:dyDescent="0.35">
      <c r="D22" s="39"/>
      <c r="E22" s="39"/>
      <c r="F22" s="39"/>
      <c r="G22" s="39"/>
      <c r="H22" s="39"/>
      <c r="I22" s="39"/>
      <c r="J22" s="39"/>
      <c r="K22" s="39"/>
      <c r="L22" s="39"/>
      <c r="M22" s="20"/>
      <c r="N22" s="44"/>
      <c r="O22" s="40"/>
      <c r="P22" s="39"/>
      <c r="Q22" s="39"/>
      <c r="R22" s="39"/>
      <c r="S22" s="39"/>
      <c r="T22" s="39"/>
      <c r="U22" s="39"/>
      <c r="V22" s="39"/>
      <c r="W22" s="20"/>
      <c r="X22" s="39"/>
      <c r="Y22" s="39"/>
      <c r="Z22" s="39"/>
      <c r="AA22" s="39"/>
      <c r="AB22" s="39"/>
      <c r="AC22" s="39"/>
      <c r="AD22" s="39"/>
      <c r="AE22" s="39"/>
      <c r="AF22" s="39"/>
      <c r="AG22" s="20"/>
      <c r="AH22" s="39"/>
      <c r="AI22" s="39"/>
      <c r="AJ22" s="39"/>
      <c r="AK22" s="39"/>
      <c r="AL22" s="39"/>
      <c r="AM22" s="39"/>
      <c r="AN22" s="39"/>
      <c r="AO22" s="39"/>
      <c r="AP22" s="39"/>
      <c r="AQ22" s="20"/>
      <c r="AR22" s="39"/>
      <c r="AS22" s="39"/>
      <c r="AT22" s="39"/>
      <c r="AU22" s="39"/>
      <c r="AV22" s="39"/>
      <c r="AW22" s="39"/>
      <c r="AX22" s="39"/>
      <c r="AY22" s="39"/>
      <c r="AZ22" s="39"/>
      <c r="BA22" s="20"/>
    </row>
    <row r="23" spans="1:53" ht="15" customHeight="1" x14ac:dyDescent="0.35">
      <c r="A23" s="193" t="str">
        <f>IF(OR(COUNTIF(A6:C12,"BLANK"),COUNTIF(D30:AS31,"BLANK")),"BLANK",IF(COUNTIF(D30:AS31,"REJECT"),"REJECT",IF(COUNTIF(D30:AS31,"CHECK"),"CHECK","EQ")))</f>
        <v>BLANK</v>
      </c>
      <c r="B23" s="193"/>
      <c r="C23" s="193"/>
      <c r="D23" s="39"/>
      <c r="E23" s="39"/>
      <c r="F23" s="39"/>
      <c r="G23" s="39"/>
      <c r="H23" s="39"/>
      <c r="I23" s="39"/>
      <c r="J23" s="39"/>
      <c r="K23" s="39"/>
      <c r="L23" s="39"/>
      <c r="M23" s="20"/>
      <c r="N23" s="44"/>
      <c r="O23" s="40"/>
      <c r="P23" s="39"/>
      <c r="Q23" s="39"/>
      <c r="R23" s="39"/>
      <c r="S23" s="39"/>
      <c r="T23" s="39"/>
      <c r="U23" s="39"/>
      <c r="V23" s="39"/>
      <c r="W23" s="20"/>
      <c r="X23" s="39"/>
      <c r="Y23" s="39"/>
      <c r="Z23" s="39"/>
      <c r="AA23" s="39"/>
      <c r="AB23" s="39"/>
      <c r="AC23" s="39"/>
      <c r="AD23" s="39"/>
      <c r="AE23" s="39"/>
      <c r="AF23" s="39"/>
      <c r="AG23" s="20"/>
      <c r="AH23" s="39"/>
      <c r="AI23" s="39"/>
      <c r="AJ23" s="39"/>
      <c r="AK23" s="39"/>
      <c r="AL23" s="39"/>
      <c r="AM23" s="39"/>
      <c r="AN23" s="39"/>
      <c r="AO23" s="39"/>
      <c r="AP23" s="39"/>
      <c r="AQ23" s="20"/>
      <c r="AR23" s="39"/>
      <c r="AS23" s="39"/>
      <c r="AT23" s="39"/>
      <c r="AU23" s="39"/>
      <c r="AV23" s="39"/>
      <c r="AW23" s="39"/>
      <c r="AX23" s="39"/>
      <c r="AY23" s="39"/>
      <c r="AZ23" s="39"/>
      <c r="BA23" s="20"/>
    </row>
    <row r="24" spans="1:53" ht="15" customHeight="1" x14ac:dyDescent="0.35">
      <c r="A24" s="193"/>
      <c r="B24" s="193"/>
      <c r="C24" s="193"/>
      <c r="D24" s="39"/>
      <c r="E24" s="39"/>
      <c r="F24" s="39"/>
      <c r="G24" s="39"/>
      <c r="H24" s="39"/>
      <c r="I24" s="39"/>
      <c r="J24" s="39"/>
      <c r="K24" s="39"/>
      <c r="L24" s="39"/>
      <c r="M24" s="24"/>
      <c r="N24" s="46"/>
      <c r="O24" s="47"/>
      <c r="P24" s="47"/>
      <c r="Q24" s="46"/>
      <c r="R24" s="39"/>
      <c r="S24" s="39"/>
      <c r="T24" s="39"/>
      <c r="U24" s="39"/>
      <c r="V24" s="39"/>
      <c r="W24" s="24"/>
      <c r="X24" s="39"/>
      <c r="Y24" s="39"/>
      <c r="Z24" s="39"/>
      <c r="AA24" s="39"/>
      <c r="AB24" s="39"/>
      <c r="AC24" s="39"/>
      <c r="AD24" s="39"/>
      <c r="AE24" s="39"/>
      <c r="AF24" s="39"/>
      <c r="AG24" s="24"/>
      <c r="AH24" s="39"/>
      <c r="AI24" s="39"/>
      <c r="AJ24" s="39"/>
      <c r="AK24" s="39"/>
      <c r="AL24" s="39"/>
      <c r="AM24" s="39"/>
      <c r="AN24" s="39"/>
      <c r="AO24" s="39"/>
      <c r="AP24" s="39"/>
      <c r="AQ24" s="24"/>
      <c r="AR24" s="39"/>
      <c r="AS24" s="39"/>
      <c r="AT24" s="39"/>
      <c r="AU24" s="39"/>
      <c r="AV24" s="39"/>
      <c r="AW24" s="39"/>
      <c r="AX24" s="39"/>
      <c r="AY24" s="39"/>
      <c r="AZ24" s="39"/>
      <c r="BA24" s="24"/>
    </row>
    <row r="25" spans="1:53" ht="15" customHeight="1" x14ac:dyDescent="0.35">
      <c r="A25" s="193"/>
      <c r="B25" s="193"/>
      <c r="C25" s="193"/>
      <c r="D25" s="39"/>
      <c r="E25" s="39"/>
      <c r="F25" s="39"/>
      <c r="G25" s="39"/>
      <c r="H25" s="39"/>
      <c r="I25" s="39"/>
      <c r="J25" s="39"/>
      <c r="K25" s="39"/>
      <c r="L25" s="39"/>
      <c r="M25" s="24"/>
      <c r="N25" s="46"/>
      <c r="O25" s="47"/>
      <c r="P25" s="47"/>
      <c r="Q25" s="46"/>
      <c r="R25" s="39"/>
      <c r="S25" s="39"/>
      <c r="T25" s="39"/>
      <c r="U25" s="39"/>
      <c r="V25" s="39"/>
      <c r="W25" s="24"/>
      <c r="X25" s="39"/>
      <c r="Y25" s="39"/>
      <c r="Z25" s="39"/>
      <c r="AA25" s="39"/>
      <c r="AB25" s="39"/>
      <c r="AC25" s="39"/>
      <c r="AD25" s="39"/>
      <c r="AE25" s="39"/>
      <c r="AF25" s="39"/>
      <c r="AG25" s="24"/>
      <c r="AH25" s="39"/>
      <c r="AI25" s="39"/>
      <c r="AJ25" s="39"/>
      <c r="AK25" s="39"/>
      <c r="AL25" s="39"/>
      <c r="AM25" s="39"/>
      <c r="AN25" s="39"/>
      <c r="AO25" s="39"/>
      <c r="AP25" s="39"/>
      <c r="AQ25" s="24"/>
      <c r="AR25" s="39"/>
      <c r="AS25" s="39"/>
      <c r="AT25" s="39"/>
      <c r="AU25" s="39"/>
      <c r="AV25" s="39"/>
      <c r="AW25" s="39"/>
      <c r="AX25" s="39"/>
      <c r="AY25" s="39"/>
      <c r="AZ25" s="39"/>
      <c r="BA25" s="24"/>
    </row>
    <row r="26" spans="1:53" ht="15" customHeight="1" x14ac:dyDescent="0.35">
      <c r="A26" s="193"/>
      <c r="B26" s="193"/>
      <c r="C26" s="193"/>
      <c r="D26" s="39"/>
      <c r="E26" s="39"/>
      <c r="F26" s="39"/>
      <c r="G26" s="39"/>
      <c r="H26" s="39"/>
      <c r="I26" s="39"/>
      <c r="J26" s="39"/>
      <c r="K26" s="39"/>
      <c r="L26" s="39"/>
      <c r="M26" s="24"/>
      <c r="N26" s="46"/>
      <c r="O26" s="47"/>
      <c r="P26" s="47"/>
      <c r="Q26" s="46"/>
      <c r="R26" s="39"/>
      <c r="S26" s="39"/>
      <c r="T26" s="39"/>
      <c r="U26" s="39"/>
      <c r="V26" s="39"/>
      <c r="W26" s="24"/>
      <c r="X26" s="39"/>
      <c r="Y26" s="39"/>
      <c r="Z26" s="39"/>
      <c r="AA26" s="39"/>
      <c r="AB26" s="39"/>
      <c r="AC26" s="39"/>
      <c r="AD26" s="39"/>
      <c r="AE26" s="39"/>
      <c r="AF26" s="39"/>
      <c r="AG26" s="24"/>
      <c r="AH26" s="39"/>
      <c r="AI26" s="39"/>
      <c r="AJ26" s="39"/>
      <c r="AK26" s="39"/>
      <c r="AL26" s="39"/>
      <c r="AM26" s="39"/>
      <c r="AN26" s="39"/>
      <c r="AO26" s="39"/>
      <c r="AP26" s="39"/>
      <c r="AQ26" s="24"/>
      <c r="AR26" s="39"/>
      <c r="AS26" s="39"/>
      <c r="AT26" s="39"/>
      <c r="AU26" s="39"/>
      <c r="AV26" s="39"/>
      <c r="AW26" s="39"/>
      <c r="AX26" s="39"/>
      <c r="AY26" s="39"/>
      <c r="AZ26" s="39"/>
      <c r="BA26" s="24"/>
    </row>
    <row r="27" spans="1:53" ht="15" customHeight="1" x14ac:dyDescent="0.35">
      <c r="A27" s="193"/>
      <c r="B27" s="193"/>
      <c r="C27" s="193"/>
      <c r="D27" s="39"/>
      <c r="E27" s="39"/>
      <c r="F27" s="39"/>
      <c r="G27" s="39"/>
      <c r="H27" s="39"/>
      <c r="I27" s="39"/>
      <c r="J27" s="39"/>
      <c r="K27" s="39"/>
      <c r="L27" s="39"/>
      <c r="M27" s="20"/>
      <c r="N27" s="48"/>
      <c r="O27" s="40"/>
      <c r="P27" s="39"/>
      <c r="Q27" s="39"/>
      <c r="R27" s="39"/>
      <c r="S27" s="39"/>
      <c r="T27" s="39"/>
      <c r="U27" s="39"/>
      <c r="V27" s="39"/>
      <c r="W27" s="20"/>
      <c r="X27" s="39"/>
      <c r="Y27" s="39"/>
      <c r="Z27" s="39"/>
      <c r="AA27" s="39"/>
      <c r="AB27" s="39"/>
      <c r="AC27" s="39"/>
      <c r="AD27" s="39"/>
      <c r="AE27" s="39"/>
      <c r="AF27" s="39"/>
      <c r="AG27" s="20"/>
      <c r="AH27" s="39"/>
      <c r="AI27" s="39"/>
      <c r="AJ27" s="39"/>
      <c r="AK27" s="39"/>
      <c r="AL27" s="39"/>
      <c r="AM27" s="39"/>
      <c r="AN27" s="39"/>
      <c r="AO27" s="39"/>
      <c r="AP27" s="39"/>
      <c r="AQ27" s="20"/>
      <c r="AR27" s="39"/>
      <c r="AS27" s="39"/>
      <c r="AT27" s="39"/>
      <c r="AU27" s="39"/>
      <c r="AV27" s="39"/>
      <c r="AW27" s="39"/>
      <c r="AX27" s="39"/>
      <c r="AY27" s="39"/>
      <c r="AZ27" s="39"/>
      <c r="BA27" s="20"/>
    </row>
    <row r="28" spans="1:53" ht="15" customHeight="1" x14ac:dyDescent="0.35">
      <c r="A28" s="193"/>
      <c r="B28" s="193"/>
      <c r="C28" s="193"/>
      <c r="D28" s="100"/>
      <c r="E28" s="100"/>
      <c r="F28" s="100"/>
      <c r="G28" s="100"/>
      <c r="H28" s="100"/>
      <c r="I28" s="100"/>
      <c r="J28" s="100"/>
      <c r="K28" s="100"/>
      <c r="L28" s="100"/>
      <c r="M28" s="20"/>
      <c r="N28" s="101"/>
      <c r="O28" s="102"/>
      <c r="P28" s="100"/>
      <c r="Q28" s="100"/>
      <c r="R28" s="100"/>
      <c r="S28" s="100"/>
      <c r="T28" s="100"/>
      <c r="U28" s="100"/>
      <c r="V28" s="100"/>
      <c r="W28" s="20"/>
      <c r="X28" s="100"/>
      <c r="Y28" s="100"/>
      <c r="Z28" s="100"/>
      <c r="AA28" s="100"/>
      <c r="AB28" s="100"/>
      <c r="AC28" s="100"/>
      <c r="AD28" s="100"/>
      <c r="AE28" s="100"/>
      <c r="AF28" s="100"/>
      <c r="AG28" s="20"/>
      <c r="AH28" s="100"/>
      <c r="AI28" s="100"/>
      <c r="AJ28" s="100"/>
      <c r="AK28" s="100"/>
      <c r="AL28" s="100"/>
      <c r="AM28" s="100"/>
      <c r="AN28" s="100"/>
      <c r="AO28" s="100"/>
      <c r="AP28" s="100"/>
      <c r="AQ28" s="20"/>
      <c r="AR28" s="100"/>
      <c r="AS28" s="100"/>
      <c r="AT28" s="100"/>
      <c r="AU28" s="100"/>
      <c r="AV28" s="100"/>
      <c r="AW28" s="100"/>
      <c r="AX28" s="100"/>
      <c r="AY28" s="100"/>
      <c r="AZ28" s="100"/>
      <c r="BA28" s="20"/>
    </row>
    <row r="29" spans="1:53" ht="15" customHeight="1" x14ac:dyDescent="0.35">
      <c r="A29" s="193"/>
      <c r="B29" s="193"/>
      <c r="C29" s="193"/>
      <c r="D29" s="121" t="s">
        <v>361</v>
      </c>
      <c r="E29" s="121"/>
      <c r="F29" s="121"/>
      <c r="G29" s="121"/>
      <c r="H29" s="121"/>
      <c r="I29" s="121"/>
      <c r="J29" s="121"/>
      <c r="K29" s="121"/>
      <c r="L29" s="121"/>
      <c r="M29" s="20"/>
      <c r="N29" s="121" t="s">
        <v>361</v>
      </c>
      <c r="O29" s="121"/>
      <c r="P29" s="121"/>
      <c r="Q29" s="121"/>
      <c r="R29" s="121"/>
      <c r="S29" s="121"/>
      <c r="T29" s="121"/>
      <c r="U29" s="121"/>
      <c r="V29" s="121"/>
      <c r="W29" s="20"/>
      <c r="X29" s="121" t="s">
        <v>361</v>
      </c>
      <c r="Y29" s="121"/>
      <c r="Z29" s="121"/>
      <c r="AA29" s="121"/>
      <c r="AB29" s="121"/>
      <c r="AC29" s="121"/>
      <c r="AD29" s="121"/>
      <c r="AE29" s="121"/>
      <c r="AF29" s="121"/>
      <c r="AG29" s="20"/>
      <c r="AH29" s="121" t="s">
        <v>361</v>
      </c>
      <c r="AI29" s="121"/>
      <c r="AJ29" s="121"/>
      <c r="AK29" s="121"/>
      <c r="AL29" s="121"/>
      <c r="AM29" s="121"/>
      <c r="AN29" s="121"/>
      <c r="AO29" s="121"/>
      <c r="AP29" s="121"/>
      <c r="AQ29" s="20"/>
      <c r="AR29" s="121" t="s">
        <v>361</v>
      </c>
      <c r="AS29" s="121"/>
      <c r="AT29" s="121"/>
      <c r="AU29" s="121"/>
      <c r="AV29" s="121"/>
      <c r="AW29" s="121"/>
      <c r="AX29" s="121"/>
      <c r="AY29" s="121"/>
      <c r="AZ29" s="121"/>
      <c r="BA29" s="20"/>
    </row>
    <row r="30" spans="1:53" ht="15" customHeight="1" x14ac:dyDescent="0.35">
      <c r="A30" s="193"/>
      <c r="B30" s="193"/>
      <c r="C30" s="193"/>
      <c r="D30" s="125" t="str">
        <f>IF(COUNTIF(D33:L54,"BLANK"),"BLANK",IF(COUNTIF(D33:L54,"REJECT"),"REJECT",IF(COUNTIF(D33:L54,"CHECK"),"CHECK","EQ")))</f>
        <v>EQ</v>
      </c>
      <c r="E30" s="125"/>
      <c r="F30" s="125" t="s">
        <v>190</v>
      </c>
      <c r="G30" s="125"/>
      <c r="H30" s="125"/>
      <c r="I30" s="125"/>
      <c r="J30" s="125"/>
      <c r="K30" s="125"/>
      <c r="L30" s="125"/>
      <c r="N30" s="125" t="str">
        <f>IF(COUNTIF(N33:V54,"BLANK"),"BLANK",IF(COUNTIF(N33:V54,"REJECT"),"REJECT",IF(COUNTIF(N33:V54,"CHECK"),"CHECK","EQ")))</f>
        <v>EQ</v>
      </c>
      <c r="O30" s="125"/>
      <c r="P30" s="125" t="s">
        <v>190</v>
      </c>
      <c r="Q30" s="125"/>
      <c r="R30" s="125"/>
      <c r="S30" s="125"/>
      <c r="T30" s="125"/>
      <c r="U30" s="125"/>
      <c r="V30" s="125"/>
      <c r="W30" s="34"/>
      <c r="X30" s="125" t="str">
        <f>IF(COUNTIF(X33:AF54,"BLANK"),"BLANK",IF(COUNTIF(X33:AF54,"REJECT"),"REJECT",IF(COUNTIF(X33:AF54,"CHECK"),"CHECK","EQ")))</f>
        <v>EQ</v>
      </c>
      <c r="Y30" s="125"/>
      <c r="Z30" s="125" t="s">
        <v>190</v>
      </c>
      <c r="AA30" s="125"/>
      <c r="AB30" s="125"/>
      <c r="AC30" s="125"/>
      <c r="AD30" s="125"/>
      <c r="AE30" s="125"/>
      <c r="AF30" s="125"/>
      <c r="AG30" s="34"/>
      <c r="AH30" s="125" t="str">
        <f>IF(COUNTIF(AH33:AP54,"BLANK"),"BLANK",IF(COUNTIF(AH33:AP54,"REJECT"),"REJECT",IF(COUNTIF(AH33:AP54,"CHECK"),"CHECK","EQ")))</f>
        <v>EQ</v>
      </c>
      <c r="AI30" s="125"/>
      <c r="AJ30" s="125" t="s">
        <v>190</v>
      </c>
      <c r="AK30" s="125"/>
      <c r="AL30" s="125"/>
      <c r="AM30" s="125"/>
      <c r="AN30" s="125"/>
      <c r="AO30" s="125"/>
      <c r="AP30" s="125"/>
      <c r="AQ30" s="34"/>
      <c r="AR30" s="125" t="str">
        <f>IF(COUNTIF(AR33:AZ54,"BLANK"),"BLANK",IF(COUNTIF(AR33:AZ54,"REJECT"),"REJECT",IF(COUNTIF(AR33:AZ54,"CHECK"),"CHECK","EQ")))</f>
        <v>EQ</v>
      </c>
      <c r="AS30" s="125"/>
      <c r="AT30" s="125" t="s">
        <v>190</v>
      </c>
      <c r="AU30" s="125"/>
      <c r="AV30" s="125"/>
      <c r="AW30" s="125"/>
      <c r="AX30" s="125"/>
      <c r="AY30" s="125"/>
      <c r="AZ30" s="125"/>
      <c r="BA30" s="34"/>
    </row>
    <row r="31" spans="1:53" ht="15" customHeight="1" x14ac:dyDescent="0.35">
      <c r="A31" s="193"/>
      <c r="B31" s="193"/>
      <c r="C31" s="193"/>
      <c r="D31" s="125"/>
      <c r="E31" s="125"/>
      <c r="F31" s="125"/>
      <c r="G31" s="125"/>
      <c r="H31" s="125"/>
      <c r="I31" s="125"/>
      <c r="J31" s="125"/>
      <c r="K31" s="125"/>
      <c r="L31" s="125"/>
      <c r="N31" s="125"/>
      <c r="O31" s="125"/>
      <c r="P31" s="125"/>
      <c r="Q31" s="125"/>
      <c r="R31" s="125"/>
      <c r="S31" s="125"/>
      <c r="T31" s="125"/>
      <c r="U31" s="125"/>
      <c r="V31" s="125"/>
      <c r="W31" s="34"/>
      <c r="X31" s="125"/>
      <c r="Y31" s="125"/>
      <c r="Z31" s="125"/>
      <c r="AA31" s="125"/>
      <c r="AB31" s="125"/>
      <c r="AC31" s="125"/>
      <c r="AD31" s="125"/>
      <c r="AE31" s="125"/>
      <c r="AF31" s="125"/>
      <c r="AG31" s="34"/>
      <c r="AH31" s="125"/>
      <c r="AI31" s="125"/>
      <c r="AJ31" s="125"/>
      <c r="AK31" s="125"/>
      <c r="AL31" s="125"/>
      <c r="AM31" s="125"/>
      <c r="AN31" s="125"/>
      <c r="AO31" s="125"/>
      <c r="AP31" s="125"/>
      <c r="AQ31" s="34"/>
      <c r="AR31" s="125"/>
      <c r="AS31" s="125"/>
      <c r="AT31" s="125"/>
      <c r="AU31" s="125"/>
      <c r="AV31" s="125"/>
      <c r="AW31" s="125"/>
      <c r="AX31" s="125"/>
      <c r="AY31" s="125"/>
      <c r="AZ31" s="125"/>
      <c r="BA31" s="34"/>
    </row>
    <row r="32" spans="1:53" ht="15" customHeight="1" x14ac:dyDescent="0.35">
      <c r="D32" s="110" t="str">
        <f>IF($A$19="mm","Note: Units are given in Pa, not MPa or GPa.","Note: Units are given in psi, not ksi.")</f>
        <v>Note: Units are given in psi, not ksi.</v>
      </c>
      <c r="E32" s="110"/>
      <c r="F32" s="110"/>
      <c r="G32" s="110"/>
      <c r="H32" s="110"/>
      <c r="I32" s="110"/>
      <c r="J32" s="110"/>
      <c r="K32" s="110"/>
      <c r="L32" s="110"/>
      <c r="N32" s="110" t="str">
        <f>IF($A$19="mm","Note: Units are given in Pa, not MPa or GPa.","Note: Units are given in psi, not ksi.")</f>
        <v>Note: Units are given in psi, not ksi.</v>
      </c>
      <c r="O32" s="110"/>
      <c r="P32" s="110"/>
      <c r="Q32" s="110"/>
      <c r="R32" s="110"/>
      <c r="S32" s="110"/>
      <c r="T32" s="110"/>
      <c r="U32" s="110"/>
      <c r="V32" s="110"/>
      <c r="W32" s="34"/>
      <c r="X32" s="110" t="str">
        <f>IF($A$19="mm","Note: Units are given in Pa, not MPa or GPa.","Note: Units are given in psi, not ksi.")</f>
        <v>Note: Units are given in psi, not ksi.</v>
      </c>
      <c r="Y32" s="110"/>
      <c r="Z32" s="110"/>
      <c r="AA32" s="110"/>
      <c r="AB32" s="110"/>
      <c r="AC32" s="110"/>
      <c r="AD32" s="110"/>
      <c r="AE32" s="110"/>
      <c r="AF32" s="110"/>
      <c r="AG32" s="34"/>
      <c r="AH32" s="110" t="str">
        <f>IF($A$19="mm","Note: Units are given in Pa, not MPa or GPa.","Note: Units are given in psi, not ksi.")</f>
        <v>Note: Units are given in psi, not ksi.</v>
      </c>
      <c r="AI32" s="110"/>
      <c r="AJ32" s="110"/>
      <c r="AK32" s="110"/>
      <c r="AL32" s="110"/>
      <c r="AM32" s="110"/>
      <c r="AN32" s="110"/>
      <c r="AO32" s="110"/>
      <c r="AP32" s="110"/>
      <c r="AQ32" s="34"/>
      <c r="AR32" s="110" t="str">
        <f>IF($A$19="mm","Note: Units are given in Pa, not MPa or GPa.","Note: Units are given in psi, not ksi.")</f>
        <v>Note: Units are given in psi, not ksi.</v>
      </c>
      <c r="AS32" s="110"/>
      <c r="AT32" s="110"/>
      <c r="AU32" s="110"/>
      <c r="AV32" s="110"/>
      <c r="AW32" s="110"/>
      <c r="AX32" s="110"/>
      <c r="AY32" s="110"/>
      <c r="AZ32" s="110"/>
      <c r="BA32" s="34"/>
    </row>
    <row r="33" spans="1:53" ht="15" customHeight="1" x14ac:dyDescent="0.35">
      <c r="A33" s="189">
        <f>'T.2.5-6 Steel Tube Chassis'!$M$1</f>
        <v>2019</v>
      </c>
      <c r="B33" s="190"/>
      <c r="C33" s="190"/>
      <c r="D33" s="108" t="str">
        <f>IF(COUNTIF(L34:L53,"BLANK"),"BLANK",IF(COUNTIF(L34:L53,"REJECT"),"REJECT",IF(COUNTIF(L34:L53,"CHECK"),"CHECK","EQ")))</f>
        <v>EQ</v>
      </c>
      <c r="E33" s="108"/>
      <c r="F33" s="108"/>
      <c r="G33" s="108"/>
      <c r="H33" s="108"/>
      <c r="I33" s="108"/>
      <c r="J33" s="108"/>
      <c r="K33" s="108"/>
      <c r="L33" s="108"/>
      <c r="N33" s="108" t="str">
        <f>IF(COUNTIF(V34:V53,"BLANK"),"BLANK",IF(COUNTIF(V34:V53,"REJECT"),"REJECT",IF(COUNTIF(V34:V53,"CHECK"),"CHECK","EQ")))</f>
        <v>EQ</v>
      </c>
      <c r="O33" s="108"/>
      <c r="P33" s="108"/>
      <c r="Q33" s="108"/>
      <c r="R33" s="108"/>
      <c r="S33" s="108"/>
      <c r="T33" s="108"/>
      <c r="U33" s="108"/>
      <c r="V33" s="108"/>
      <c r="W33" s="34"/>
      <c r="X33" s="108" t="str">
        <f>IF(COUNTIF(AF34:AF53,"BLANK"),"BLANK",IF(COUNTIF(AF34:AF53,"REJECT"),"REJECT",IF(COUNTIF(AF34:AF53,"CHECK"),"CHECK","EQ")))</f>
        <v>EQ</v>
      </c>
      <c r="Y33" s="108"/>
      <c r="Z33" s="108"/>
      <c r="AA33" s="108"/>
      <c r="AB33" s="108"/>
      <c r="AC33" s="108"/>
      <c r="AD33" s="108"/>
      <c r="AE33" s="108"/>
      <c r="AF33" s="108"/>
      <c r="AG33" s="34"/>
      <c r="AH33" s="108" t="str">
        <f>IF(COUNTIF(AP34:AP53,"BLANK"),"BLANK",IF(COUNTIF(AP34:AP53,"REJECT"),"REJECT",IF(COUNTIF(AP34:AP53,"CHECK"),"CHECK","EQ")))</f>
        <v>EQ</v>
      </c>
      <c r="AI33" s="108"/>
      <c r="AJ33" s="108"/>
      <c r="AK33" s="108"/>
      <c r="AL33" s="108"/>
      <c r="AM33" s="108"/>
      <c r="AN33" s="108"/>
      <c r="AO33" s="108"/>
      <c r="AP33" s="108"/>
      <c r="AQ33" s="34"/>
      <c r="AR33" s="108" t="str">
        <f>IF(COUNTIF(AZ34:AZ53,"BLANK"),"BLANK",IF(COUNTIF(AZ34:AZ53,"REJECT"),"REJECT",IF(COUNTIF(AZ34:AZ53,"CHECK"),"CHECK","EQ")))</f>
        <v>EQ</v>
      </c>
      <c r="AS33" s="108"/>
      <c r="AT33" s="108"/>
      <c r="AU33" s="108"/>
      <c r="AV33" s="108"/>
      <c r="AW33" s="108"/>
      <c r="AX33" s="108"/>
      <c r="AY33" s="108"/>
      <c r="AZ33" s="108"/>
      <c r="BA33" s="34"/>
    </row>
    <row r="34" spans="1:53" ht="15" customHeight="1" x14ac:dyDescent="0.35">
      <c r="A34" s="187">
        <f>'T.2.5-6 Steel Tube Chassis'!$D$1</f>
        <v>0</v>
      </c>
      <c r="B34" s="187"/>
      <c r="C34" s="187"/>
      <c r="D34" s="58"/>
      <c r="E34" s="58"/>
      <c r="F34" s="58"/>
      <c r="G34" s="58"/>
      <c r="H34" s="58"/>
      <c r="I34" s="184" t="s">
        <v>263</v>
      </c>
      <c r="J34" s="184" t="s">
        <v>264</v>
      </c>
      <c r="K34" s="58"/>
      <c r="L34" s="58" t="s">
        <v>196</v>
      </c>
      <c r="N34" s="58"/>
      <c r="O34" s="58"/>
      <c r="P34" s="58"/>
      <c r="Q34" s="58"/>
      <c r="R34" s="58"/>
      <c r="S34" s="184" t="s">
        <v>263</v>
      </c>
      <c r="T34" s="184" t="s">
        <v>264</v>
      </c>
      <c r="U34" s="58"/>
      <c r="V34" s="58" t="s">
        <v>196</v>
      </c>
      <c r="W34" s="34"/>
      <c r="X34" s="58"/>
      <c r="Y34" s="58"/>
      <c r="Z34" s="58"/>
      <c r="AA34" s="58"/>
      <c r="AB34" s="58"/>
      <c r="AC34" s="184" t="s">
        <v>263</v>
      </c>
      <c r="AD34" s="184" t="s">
        <v>264</v>
      </c>
      <c r="AE34" s="58"/>
      <c r="AF34" s="58" t="s">
        <v>196</v>
      </c>
      <c r="AG34" s="34"/>
      <c r="AH34" s="58"/>
      <c r="AI34" s="58"/>
      <c r="AJ34" s="58"/>
      <c r="AK34" s="58"/>
      <c r="AL34" s="58"/>
      <c r="AM34" s="184" t="s">
        <v>263</v>
      </c>
      <c r="AN34" s="184" t="s">
        <v>264</v>
      </c>
      <c r="AO34" s="58"/>
      <c r="AP34" s="58" t="s">
        <v>196</v>
      </c>
      <c r="AQ34" s="34"/>
      <c r="AR34" s="58"/>
      <c r="AS34" s="58"/>
      <c r="AT34" s="58"/>
      <c r="AU34" s="58"/>
      <c r="AV34" s="58"/>
      <c r="AW34" s="184" t="s">
        <v>263</v>
      </c>
      <c r="AX34" s="184" t="s">
        <v>264</v>
      </c>
      <c r="AY34" s="58"/>
      <c r="AZ34" s="58" t="s">
        <v>196</v>
      </c>
      <c r="BA34" s="34"/>
    </row>
    <row r="35" spans="1:53" ht="15" customHeight="1" thickBot="1" x14ac:dyDescent="0.4">
      <c r="A35" s="191">
        <f>'T.2.5-6 Steel Tube Chassis'!$D$2</f>
        <v>0</v>
      </c>
      <c r="B35" s="191"/>
      <c r="C35" s="191"/>
      <c r="D35" s="58"/>
      <c r="E35" s="58"/>
      <c r="F35" s="58"/>
      <c r="G35" s="58"/>
      <c r="H35" s="58"/>
      <c r="I35" s="185"/>
      <c r="J35" s="184"/>
      <c r="K35" s="58"/>
      <c r="L35" s="58" t="s">
        <v>196</v>
      </c>
      <c r="N35" s="58"/>
      <c r="O35" s="58"/>
      <c r="P35" s="58"/>
      <c r="Q35" s="58"/>
      <c r="R35" s="58"/>
      <c r="S35" s="185"/>
      <c r="T35" s="184"/>
      <c r="U35" s="58"/>
      <c r="V35" s="58" t="s">
        <v>196</v>
      </c>
      <c r="W35" s="34"/>
      <c r="X35" s="58"/>
      <c r="Y35" s="58"/>
      <c r="Z35" s="58"/>
      <c r="AA35" s="58"/>
      <c r="AB35" s="58"/>
      <c r="AC35" s="185"/>
      <c r="AD35" s="184"/>
      <c r="AE35" s="58"/>
      <c r="AF35" s="58" t="s">
        <v>196</v>
      </c>
      <c r="AG35" s="34"/>
      <c r="AH35" s="58"/>
      <c r="AI35" s="58"/>
      <c r="AJ35" s="58"/>
      <c r="AK35" s="58"/>
      <c r="AL35" s="58"/>
      <c r="AM35" s="185"/>
      <c r="AN35" s="184"/>
      <c r="AO35" s="58"/>
      <c r="AP35" s="58" t="s">
        <v>196</v>
      </c>
      <c r="AQ35" s="34"/>
      <c r="AR35" s="58"/>
      <c r="AS35" s="58"/>
      <c r="AT35" s="58"/>
      <c r="AU35" s="58"/>
      <c r="AV35" s="58"/>
      <c r="AW35" s="185"/>
      <c r="AX35" s="184"/>
      <c r="AY35" s="58"/>
      <c r="AZ35" s="58" t="s">
        <v>196</v>
      </c>
      <c r="BA35" s="34"/>
    </row>
    <row r="36" spans="1:53" ht="15" customHeight="1" thickBot="1" x14ac:dyDescent="0.4">
      <c r="A36" s="187">
        <f>'T.2.5-6 Steel Tube Chassis'!$D$3</f>
        <v>0</v>
      </c>
      <c r="B36" s="187"/>
      <c r="C36" s="187"/>
      <c r="D36" s="65"/>
      <c r="E36" s="105" t="s">
        <v>191</v>
      </c>
      <c r="F36" s="105"/>
      <c r="G36" s="105"/>
      <c r="H36" s="105"/>
      <c r="I36" s="7" t="s">
        <v>4</v>
      </c>
      <c r="J36" s="63" t="str">
        <f>IF(I36="","",I36)</f>
        <v>Round</v>
      </c>
      <c r="K36" s="65"/>
      <c r="L36" s="58" t="s">
        <v>196</v>
      </c>
      <c r="N36" s="65"/>
      <c r="O36" s="105" t="s">
        <v>191</v>
      </c>
      <c r="P36" s="105"/>
      <c r="Q36" s="105"/>
      <c r="R36" s="105"/>
      <c r="S36" s="7" t="s">
        <v>4</v>
      </c>
      <c r="T36" s="63" t="str">
        <f>IF(S36="","",S36)</f>
        <v>Round</v>
      </c>
      <c r="U36" s="65"/>
      <c r="V36" s="58" t="s">
        <v>196</v>
      </c>
      <c r="W36" s="34"/>
      <c r="X36" s="65"/>
      <c r="Y36" s="105" t="s">
        <v>191</v>
      </c>
      <c r="Z36" s="105"/>
      <c r="AA36" s="105"/>
      <c r="AB36" s="105"/>
      <c r="AC36" s="7" t="s">
        <v>4</v>
      </c>
      <c r="AD36" s="63" t="str">
        <f>IF(AC36="","",AC36)</f>
        <v>Round</v>
      </c>
      <c r="AE36" s="65"/>
      <c r="AF36" s="58" t="s">
        <v>196</v>
      </c>
      <c r="AG36" s="34"/>
      <c r="AH36" s="65"/>
      <c r="AI36" s="105" t="s">
        <v>191</v>
      </c>
      <c r="AJ36" s="105"/>
      <c r="AK36" s="105"/>
      <c r="AL36" s="105"/>
      <c r="AM36" s="7" t="s">
        <v>4</v>
      </c>
      <c r="AN36" s="63" t="str">
        <f>IF(AM36="","",AM36)</f>
        <v>Round</v>
      </c>
      <c r="AO36" s="65"/>
      <c r="AP36" s="58" t="s">
        <v>196</v>
      </c>
      <c r="AQ36" s="34"/>
      <c r="AR36" s="65"/>
      <c r="AS36" s="105" t="s">
        <v>191</v>
      </c>
      <c r="AT36" s="105"/>
      <c r="AU36" s="105"/>
      <c r="AV36" s="105"/>
      <c r="AW36" s="7" t="s">
        <v>4</v>
      </c>
      <c r="AX36" s="63" t="str">
        <f>IF(AW36="","",AW36)</f>
        <v>Round</v>
      </c>
      <c r="AY36" s="65"/>
      <c r="AZ36" s="58" t="s">
        <v>196</v>
      </c>
      <c r="BA36" s="34"/>
    </row>
    <row r="37" spans="1:53" ht="15" customHeight="1" x14ac:dyDescent="0.35">
      <c r="A37" s="187">
        <f>'T.2.5-6 Steel Tube Chassis'!$D$4</f>
        <v>0</v>
      </c>
      <c r="B37" s="187"/>
      <c r="C37" s="187"/>
      <c r="D37" s="65"/>
      <c r="E37" s="105" t="s">
        <v>33</v>
      </c>
      <c r="F37" s="105"/>
      <c r="G37" s="105"/>
      <c r="H37" s="105"/>
      <c r="I37" s="36"/>
      <c r="J37" s="63" t="str">
        <f>IF(I37="","",I37)</f>
        <v/>
      </c>
      <c r="K37" s="59" t="str">
        <f>IF($A$19="mm","mm","in")</f>
        <v>in</v>
      </c>
      <c r="L37" s="58" t="str">
        <f>IF(AND(NOT(A17="FILL OUT THIS TAB."),J41="",I38=""),"EQ",IF(OR(I38="",I37=""),"BLANK",IF($A$19="mm",IF(I37&gt;=1.1938,"EQ","REJECT"),IF(I37&gt;=0.047,"EQ","REJECT"))))</f>
        <v>EQ</v>
      </c>
      <c r="N37" s="65"/>
      <c r="O37" s="105" t="s">
        <v>33</v>
      </c>
      <c r="P37" s="105"/>
      <c r="Q37" s="105"/>
      <c r="R37" s="105"/>
      <c r="S37" s="36"/>
      <c r="T37" s="63" t="str">
        <f>IF(S37="","",S37)</f>
        <v/>
      </c>
      <c r="U37" s="59" t="str">
        <f>IF($A$19="mm","mm","in")</f>
        <v>in</v>
      </c>
      <c r="V37" s="93" t="str">
        <f>IF(AND(NOT(K17="FILL OUT THIS TAB."),T41="",S38=""),"EQ",IF(OR(S38="",S37=""),"BLANK",IF($A$19="mm",IF(S37&gt;=1.1938,"EQ","REJECT"),IF(S37&gt;=0.047,"EQ","REJECT"))))</f>
        <v>EQ</v>
      </c>
      <c r="W37" s="34"/>
      <c r="X37" s="65"/>
      <c r="Y37" s="105" t="s">
        <v>33</v>
      </c>
      <c r="Z37" s="105"/>
      <c r="AA37" s="105"/>
      <c r="AB37" s="105"/>
      <c r="AC37" s="36"/>
      <c r="AD37" s="63" t="str">
        <f>IF(AC37="","",AC37)</f>
        <v/>
      </c>
      <c r="AE37" s="59" t="str">
        <f>IF($A$19="mm","mm","in")</f>
        <v>in</v>
      </c>
      <c r="AF37" s="93" t="str">
        <f>IF(AND(NOT(U17="FILL OUT THIS TAB."),AD41="",AC38=""),"EQ",IF(OR(AC38="",AC37=""),"BLANK",IF($A$19="mm",IF(AC37&gt;=1.1938,"EQ","REJECT"),IF(AC37&gt;=0.047,"EQ","REJECT"))))</f>
        <v>EQ</v>
      </c>
      <c r="AG37" s="34"/>
      <c r="AH37" s="65"/>
      <c r="AI37" s="105" t="s">
        <v>33</v>
      </c>
      <c r="AJ37" s="105"/>
      <c r="AK37" s="105"/>
      <c r="AL37" s="105"/>
      <c r="AM37" s="36"/>
      <c r="AN37" s="63" t="str">
        <f>IF(AM37="","",AM37)</f>
        <v/>
      </c>
      <c r="AO37" s="59" t="str">
        <f>IF($A$19="mm","mm","in")</f>
        <v>in</v>
      </c>
      <c r="AP37" s="93" t="str">
        <f>IF(AND(NOT(AE17="FILL OUT THIS TAB."),AN41="",AM38=""),"EQ",IF(OR(AM38="",AM37=""),"BLANK",IF($A$19="mm",IF(AM37&gt;=1.1938,"EQ","REJECT"),IF(AM37&gt;=0.047,"EQ","REJECT"))))</f>
        <v>EQ</v>
      </c>
      <c r="AQ37" s="34"/>
      <c r="AR37" s="65"/>
      <c r="AS37" s="105" t="s">
        <v>33</v>
      </c>
      <c r="AT37" s="105"/>
      <c r="AU37" s="105"/>
      <c r="AV37" s="105"/>
      <c r="AW37" s="36"/>
      <c r="AX37" s="63" t="str">
        <f>IF(AW37="","",AW37)</f>
        <v/>
      </c>
      <c r="AY37" s="59" t="str">
        <f>IF($A$19="mm","mm","in")</f>
        <v>in</v>
      </c>
      <c r="AZ37" s="93" t="str">
        <f>IF(AND(NOT(AO17="FILL OUT THIS TAB."),AX41="",AW38=""),"EQ",IF(OR(AW38="",AW37=""),"BLANK",IF($A$19="mm",IF(AW37&gt;=1.1938,"EQ","REJECT"),IF(AW37&gt;=0.047,"EQ","REJECT"))))</f>
        <v>EQ</v>
      </c>
      <c r="BA37" s="34"/>
    </row>
    <row r="38" spans="1:53" ht="15" customHeight="1" x14ac:dyDescent="0.35">
      <c r="A38" s="187" t="str">
        <f>'T.2.5-6 Steel Tube Chassis'!$D$9</f>
        <v>Select Drop Down</v>
      </c>
      <c r="B38" s="187"/>
      <c r="C38" s="187"/>
      <c r="D38" s="60"/>
      <c r="E38" s="105" t="str">
        <f>IF(I36="Round","Outer Diameter:","Square side:")</f>
        <v>Outer Diameter:</v>
      </c>
      <c r="F38" s="105"/>
      <c r="G38" s="105"/>
      <c r="H38" s="105"/>
      <c r="I38" s="36"/>
      <c r="J38" s="63" t="str">
        <f>IF(I38="","",I38)</f>
        <v/>
      </c>
      <c r="K38" s="59" t="str">
        <f>IF($A$19="mm","mm","in")</f>
        <v>in</v>
      </c>
      <c r="L38" s="58" t="str">
        <f>IF(AND(NOT(A17="FILL OUT THIS TAB."),J41="",I37=""),"EQ",IF(OR(I37="",,I38=""),"BLANK",IF($A$19="mm",IF(I38&gt;=25,"EQ","REJECT"),IF(I38&gt;=0.984,"EQ","REJECT"))))</f>
        <v>EQ</v>
      </c>
      <c r="N38" s="60"/>
      <c r="O38" s="105" t="str">
        <f>IF(S36="Round","Outer Diameter:","Square side:")</f>
        <v>Outer Diameter:</v>
      </c>
      <c r="P38" s="105"/>
      <c r="Q38" s="105"/>
      <c r="R38" s="105"/>
      <c r="S38" s="36"/>
      <c r="T38" s="63" t="str">
        <f>IF(S38="","",S38)</f>
        <v/>
      </c>
      <c r="U38" s="59" t="str">
        <f>IF($A$19="mm","mm","in")</f>
        <v>in</v>
      </c>
      <c r="V38" s="93" t="str">
        <f>IF(AND(NOT(K17="FILL OUT THIS TAB."),T41="",S37=""),"EQ",IF(OR(S37="",,S38=""),"BLANK",IF($A$19="mm",IF(S38&gt;=25,"EQ","REJECT"),IF(S38&gt;=0.984,"EQ","REJECT"))))</f>
        <v>EQ</v>
      </c>
      <c r="W38" s="34"/>
      <c r="X38" s="60"/>
      <c r="Y38" s="105" t="str">
        <f>IF(AC36="Round","Outer Diameter:","Square side:")</f>
        <v>Outer Diameter:</v>
      </c>
      <c r="Z38" s="105"/>
      <c r="AA38" s="105"/>
      <c r="AB38" s="105"/>
      <c r="AC38" s="36"/>
      <c r="AD38" s="63" t="str">
        <f>IF(AC38="","",AC38)</f>
        <v/>
      </c>
      <c r="AE38" s="59" t="str">
        <f>IF($A$19="mm","mm","in")</f>
        <v>in</v>
      </c>
      <c r="AF38" s="93" t="str">
        <f>IF(AND(NOT(U17="FILL OUT THIS TAB."),AD41="",AC37=""),"EQ",IF(OR(AC37="",,AC38=""),"BLANK",IF($A$19="mm",IF(AC38&gt;=25,"EQ","REJECT"),IF(AC38&gt;=0.984,"EQ","REJECT"))))</f>
        <v>EQ</v>
      </c>
      <c r="AG38" s="34"/>
      <c r="AH38" s="60"/>
      <c r="AI38" s="105" t="str">
        <f>IF(AM36="Round","Outer Diameter:","Square side:")</f>
        <v>Outer Diameter:</v>
      </c>
      <c r="AJ38" s="105"/>
      <c r="AK38" s="105"/>
      <c r="AL38" s="105"/>
      <c r="AM38" s="36"/>
      <c r="AN38" s="63" t="str">
        <f>IF(AM38="","",AM38)</f>
        <v/>
      </c>
      <c r="AO38" s="59" t="str">
        <f>IF($A$19="mm","mm","in")</f>
        <v>in</v>
      </c>
      <c r="AP38" s="93" t="str">
        <f>IF(AND(NOT(AE17="FILL OUT THIS TAB."),AN41="",AM37=""),"EQ",IF(OR(AM37="",,AM38=""),"BLANK",IF($A$19="mm",IF(AM38&gt;=25,"EQ","REJECT"),IF(AM38&gt;=0.984,"EQ","REJECT"))))</f>
        <v>EQ</v>
      </c>
      <c r="AQ38" s="34"/>
      <c r="AR38" s="60"/>
      <c r="AS38" s="105" t="str">
        <f>IF(AW36="Round","Outer Diameter:","Square side:")</f>
        <v>Outer Diameter:</v>
      </c>
      <c r="AT38" s="105"/>
      <c r="AU38" s="105"/>
      <c r="AV38" s="105"/>
      <c r="AW38" s="36"/>
      <c r="AX38" s="63" t="str">
        <f>IF(AW38="","",AW38)</f>
        <v/>
      </c>
      <c r="AY38" s="59" t="str">
        <f>IF($A$19="mm","mm","in")</f>
        <v>in</v>
      </c>
      <c r="AZ38" s="93" t="str">
        <f>IF(AND(NOT(AO17="FILL OUT THIS TAB."),AX41="",AW37=""),"EQ",IF(OR(AW37="",,AW38=""),"BLANK",IF($A$19="mm",IF(AW38&gt;=25,"EQ","REJECT"),IF(AW38&gt;=0.984,"EQ","REJECT"))))</f>
        <v>EQ</v>
      </c>
      <c r="BA38" s="34"/>
    </row>
    <row r="39" spans="1:53" ht="15" customHeight="1" x14ac:dyDescent="0.35">
      <c r="D39" s="60"/>
      <c r="E39" s="105" t="s">
        <v>193</v>
      </c>
      <c r="F39" s="105"/>
      <c r="G39" s="105"/>
      <c r="H39" s="105"/>
      <c r="I39" s="67" t="str">
        <f>IF(OR(I37="",I38=""),"",IF(I36="Square",I38^2-(I38-2*I37)^2,PI()*((I38/2)^2-((I38-2*I37)/2)^2)))</f>
        <v/>
      </c>
      <c r="J39" s="68" t="s">
        <v>265</v>
      </c>
      <c r="K39" s="59" t="str">
        <f>IF($A$19="mm","mm^2","in^2")</f>
        <v>in^2</v>
      </c>
      <c r="L39" s="58" t="s">
        <v>196</v>
      </c>
      <c r="N39" s="60"/>
      <c r="O39" s="105" t="s">
        <v>193</v>
      </c>
      <c r="P39" s="105"/>
      <c r="Q39" s="105"/>
      <c r="R39" s="105"/>
      <c r="S39" s="67" t="str">
        <f>IF(OR(S37="",S38=""),"",IF(S36="Square",S38^2-(S38-2*S37)^2,PI()*((S38/2)^2-((S38-2*S37)/2)^2)))</f>
        <v/>
      </c>
      <c r="T39" s="68" t="s">
        <v>265</v>
      </c>
      <c r="U39" s="59" t="str">
        <f>IF($A$19="mm","mm^2","in^2")</f>
        <v>in^2</v>
      </c>
      <c r="V39" s="58" t="s">
        <v>196</v>
      </c>
      <c r="W39" s="34"/>
      <c r="X39" s="60"/>
      <c r="Y39" s="105" t="s">
        <v>193</v>
      </c>
      <c r="Z39" s="105"/>
      <c r="AA39" s="105"/>
      <c r="AB39" s="105"/>
      <c r="AC39" s="67" t="str">
        <f>IF(OR(AC37="",AC38=""),"",IF(AC36="Square",AC38^2-(AC38-2*AC37)^2,PI()*((AC38/2)^2-((AC38-2*AC37)/2)^2)))</f>
        <v/>
      </c>
      <c r="AD39" s="68" t="s">
        <v>265</v>
      </c>
      <c r="AE39" s="59" t="str">
        <f>IF($A$19="mm","mm^2","in^2")</f>
        <v>in^2</v>
      </c>
      <c r="AF39" s="58" t="s">
        <v>196</v>
      </c>
      <c r="AG39" s="34"/>
      <c r="AH39" s="60"/>
      <c r="AI39" s="105" t="s">
        <v>193</v>
      </c>
      <c r="AJ39" s="105"/>
      <c r="AK39" s="105"/>
      <c r="AL39" s="105"/>
      <c r="AM39" s="67" t="str">
        <f>IF(OR(AM37="",AM38=""),"",IF(AM36="Square",AM38^2-(AM38-2*AM37)^2,PI()*((AM38/2)^2-((AM38-2*AM37)/2)^2)))</f>
        <v/>
      </c>
      <c r="AN39" s="68" t="s">
        <v>265</v>
      </c>
      <c r="AO39" s="59" t="str">
        <f>IF($A$19="mm","mm^2","in^2")</f>
        <v>in^2</v>
      </c>
      <c r="AP39" s="58" t="s">
        <v>196</v>
      </c>
      <c r="AQ39" s="34"/>
      <c r="AR39" s="60"/>
      <c r="AS39" s="105" t="s">
        <v>193</v>
      </c>
      <c r="AT39" s="105"/>
      <c r="AU39" s="105"/>
      <c r="AV39" s="105"/>
      <c r="AW39" s="67" t="str">
        <f>IF(OR(AW37="",AW38=""),"",IF(AW36="Square",AW38^2-(AW38-2*AW37)^2,PI()*((AW38/2)^2-((AW38-2*AW37)/2)^2)))</f>
        <v/>
      </c>
      <c r="AX39" s="68" t="s">
        <v>265</v>
      </c>
      <c r="AY39" s="59" t="str">
        <f>IF($A$19="mm","mm^2","in^2")</f>
        <v>in^2</v>
      </c>
      <c r="AZ39" s="58" t="s">
        <v>196</v>
      </c>
      <c r="BA39" s="34"/>
    </row>
    <row r="40" spans="1:53" ht="15" customHeight="1" x14ac:dyDescent="0.35">
      <c r="A40" s="188" t="s">
        <v>262</v>
      </c>
      <c r="B40" s="188"/>
      <c r="C40" s="188"/>
      <c r="D40" s="62"/>
      <c r="E40" s="105" t="s">
        <v>194</v>
      </c>
      <c r="F40" s="105"/>
      <c r="G40" s="105"/>
      <c r="H40" s="105"/>
      <c r="I40" s="67" t="str">
        <f>IF(OR(I37="",I38=""),"",IF(I36="Square",(I38^4-(I38-2*I37)^4)/12,(PI()/4)*((I38/2)^4-((I38-2*I37)/2)^4)))</f>
        <v/>
      </c>
      <c r="J40" s="68" t="s">
        <v>265</v>
      </c>
      <c r="K40" s="59" t="str">
        <f>IF($A$19="mm","mm^4","in^4")</f>
        <v>in^4</v>
      </c>
      <c r="L40" s="58" t="s">
        <v>196</v>
      </c>
      <c r="N40" s="62"/>
      <c r="O40" s="105" t="s">
        <v>194</v>
      </c>
      <c r="P40" s="105"/>
      <c r="Q40" s="105"/>
      <c r="R40" s="105"/>
      <c r="S40" s="67" t="str">
        <f>IF(OR(S37="",S38=""),"",IF(S36="Square",(S38^4-(S38-2*S37)^4)/12,(PI()/4)*((S38/2)^4-((S38-2*S37)/2)^4)))</f>
        <v/>
      </c>
      <c r="T40" s="68" t="s">
        <v>265</v>
      </c>
      <c r="U40" s="59" t="str">
        <f>IF($A$19="mm","mm^4","in^4")</f>
        <v>in^4</v>
      </c>
      <c r="V40" s="58" t="s">
        <v>196</v>
      </c>
      <c r="W40" s="34"/>
      <c r="X40" s="62"/>
      <c r="Y40" s="105" t="s">
        <v>194</v>
      </c>
      <c r="Z40" s="105"/>
      <c r="AA40" s="105"/>
      <c r="AB40" s="105"/>
      <c r="AC40" s="67" t="str">
        <f>IF(OR(AC37="",AC38=""),"",IF(AC36="Square",(AC38^4-(AC38-2*AC37)^4)/12,(PI()/4)*((AC38/2)^4-((AC38-2*AC37)/2)^4)))</f>
        <v/>
      </c>
      <c r="AD40" s="68" t="s">
        <v>265</v>
      </c>
      <c r="AE40" s="59" t="str">
        <f>IF($A$19="mm","mm^4","in^4")</f>
        <v>in^4</v>
      </c>
      <c r="AF40" s="58" t="s">
        <v>196</v>
      </c>
      <c r="AG40" s="34"/>
      <c r="AH40" s="62"/>
      <c r="AI40" s="105" t="s">
        <v>194</v>
      </c>
      <c r="AJ40" s="105"/>
      <c r="AK40" s="105"/>
      <c r="AL40" s="105"/>
      <c r="AM40" s="67" t="str">
        <f>IF(OR(AM37="",AM38=""),"",IF(AM36="Square",(AM38^4-(AM38-2*AM37)^4)/12,(PI()/4)*((AM38/2)^4-((AM38-2*AM37)/2)^4)))</f>
        <v/>
      </c>
      <c r="AN40" s="68" t="s">
        <v>265</v>
      </c>
      <c r="AO40" s="59" t="str">
        <f>IF($A$19="mm","mm^4","in^4")</f>
        <v>in^4</v>
      </c>
      <c r="AP40" s="58" t="s">
        <v>196</v>
      </c>
      <c r="AQ40" s="34"/>
      <c r="AR40" s="62"/>
      <c r="AS40" s="105" t="s">
        <v>194</v>
      </c>
      <c r="AT40" s="105"/>
      <c r="AU40" s="105"/>
      <c r="AV40" s="105"/>
      <c r="AW40" s="67" t="str">
        <f>IF(OR(AW37="",AW38=""),"",IF(AW36="Square",(AW38^4-(AW38-2*AW37)^4)/12,(PI()/4)*((AW38/2)^4-((AW38-2*AW37)/2)^4)))</f>
        <v/>
      </c>
      <c r="AX40" s="68" t="s">
        <v>265</v>
      </c>
      <c r="AY40" s="59" t="str">
        <f>IF($A$19="mm","mm^4","in^4")</f>
        <v>in^4</v>
      </c>
      <c r="AZ40" s="58" t="s">
        <v>196</v>
      </c>
      <c r="BA40" s="34"/>
    </row>
    <row r="41" spans="1:53" ht="15" customHeight="1" x14ac:dyDescent="0.35">
      <c r="A41" s="188"/>
      <c r="B41" s="188"/>
      <c r="C41" s="188"/>
      <c r="D41" s="62"/>
      <c r="E41" s="105" t="s">
        <v>251</v>
      </c>
      <c r="F41" s="105"/>
      <c r="G41" s="105"/>
      <c r="H41" s="105"/>
      <c r="I41" s="105"/>
      <c r="J41" s="32"/>
      <c r="K41" s="59" t="str">
        <f>IF($A$19="mm","mm^2","in^2")</f>
        <v>in^2</v>
      </c>
      <c r="L41" s="58" t="str">
        <f>IF(AND(NOT(A17="FILL OUT THIS TAB."),I$39="",J$41="",J$42="",J$43="",J$44=""),"EQ",IF(J41="","BLANK","EQ"))</f>
        <v>EQ</v>
      </c>
      <c r="N41" s="62"/>
      <c r="O41" s="105" t="s">
        <v>251</v>
      </c>
      <c r="P41" s="105"/>
      <c r="Q41" s="105"/>
      <c r="R41" s="105"/>
      <c r="S41" s="105"/>
      <c r="T41" s="32"/>
      <c r="U41" s="59" t="str">
        <f>IF($A$19="mm","mm^2","in^2")</f>
        <v>in^2</v>
      </c>
      <c r="V41" s="58" t="str">
        <f>IF(AND(S$39="",T$41="",T$42="",T$43="",T$44=""),"EQ",IF(T41="","BLANK","EQ"))</f>
        <v>EQ</v>
      </c>
      <c r="W41" s="34"/>
      <c r="X41" s="62"/>
      <c r="Y41" s="105" t="s">
        <v>251</v>
      </c>
      <c r="Z41" s="105"/>
      <c r="AA41" s="105"/>
      <c r="AB41" s="105"/>
      <c r="AC41" s="105"/>
      <c r="AD41" s="32"/>
      <c r="AE41" s="59" t="str">
        <f>IF($A$19="mm","mm^2","in^2")</f>
        <v>in^2</v>
      </c>
      <c r="AF41" s="58" t="str">
        <f>IF(AND(AC$39="",AD$41="",AD$42="",AD$43="",AD$44=""),"EQ",IF(AD41="","BLANK","EQ"))</f>
        <v>EQ</v>
      </c>
      <c r="AG41" s="34"/>
      <c r="AH41" s="62"/>
      <c r="AI41" s="105" t="s">
        <v>251</v>
      </c>
      <c r="AJ41" s="105"/>
      <c r="AK41" s="105"/>
      <c r="AL41" s="105"/>
      <c r="AM41" s="105"/>
      <c r="AN41" s="32"/>
      <c r="AO41" s="59" t="str">
        <f>IF($A$19="mm","mm^2","in^2")</f>
        <v>in^2</v>
      </c>
      <c r="AP41" s="58" t="str">
        <f>IF(AND(AM$39="",AN$41="",AN$42="",AN$43="",AN$44=""),"EQ",IF(AN41="","BLANK","EQ"))</f>
        <v>EQ</v>
      </c>
      <c r="AQ41" s="34"/>
      <c r="AR41" s="62"/>
      <c r="AS41" s="105" t="s">
        <v>251</v>
      </c>
      <c r="AT41" s="105"/>
      <c r="AU41" s="105"/>
      <c r="AV41" s="105"/>
      <c r="AW41" s="105"/>
      <c r="AX41" s="32"/>
      <c r="AY41" s="59" t="str">
        <f>IF($A$19="mm","mm^2","in^2")</f>
        <v>in^2</v>
      </c>
      <c r="AZ41" s="58" t="str">
        <f>IF(AND(AW$39="",AX$41="",AX$42="",AX$43="",AX$44=""),"EQ",IF(AX41="","BLANK","EQ"))</f>
        <v>EQ</v>
      </c>
      <c r="BA41" s="34"/>
    </row>
    <row r="42" spans="1:53" ht="15" customHeight="1" x14ac:dyDescent="0.35">
      <c r="A42" s="188"/>
      <c r="B42" s="188"/>
      <c r="C42" s="188"/>
      <c r="D42" s="62"/>
      <c r="E42" s="105" t="s">
        <v>252</v>
      </c>
      <c r="F42" s="105"/>
      <c r="G42" s="105"/>
      <c r="H42" s="105"/>
      <c r="I42" s="105"/>
      <c r="J42" s="32"/>
      <c r="K42" s="59" t="str">
        <f>IF($A$19="mm","mm^4","in^4")</f>
        <v>in^4</v>
      </c>
      <c r="L42" s="58" t="str">
        <f>IF(AND(NOT(A17="FILL OUT THIS TAB."),I$39="",J$41="",J$42="",J$43="",J$44=""),"EQ",IF(J42="","BLANK","EQ"))</f>
        <v>EQ</v>
      </c>
      <c r="N42" s="62"/>
      <c r="O42" s="105" t="s">
        <v>252</v>
      </c>
      <c r="P42" s="105"/>
      <c r="Q42" s="105"/>
      <c r="R42" s="105"/>
      <c r="S42" s="105"/>
      <c r="T42" s="32"/>
      <c r="U42" s="59" t="str">
        <f>IF($A$19="mm","mm^4","in^4")</f>
        <v>in^4</v>
      </c>
      <c r="V42" s="58" t="str">
        <f>IF(AND(S$39="",T$41="",T$42="",T$43="",T$44=""),"EQ",IF(T42="","BLANK","EQ"))</f>
        <v>EQ</v>
      </c>
      <c r="W42" s="34"/>
      <c r="X42" s="62"/>
      <c r="Y42" s="105" t="s">
        <v>252</v>
      </c>
      <c r="Z42" s="105"/>
      <c r="AA42" s="105"/>
      <c r="AB42" s="105"/>
      <c r="AC42" s="105"/>
      <c r="AD42" s="32"/>
      <c r="AE42" s="59" t="str">
        <f>IF($A$19="mm","mm^4","in^4")</f>
        <v>in^4</v>
      </c>
      <c r="AF42" s="58" t="str">
        <f>IF(AND(AC$39="",AD$41="",AD$42="",AD$43="",AD$44=""),"EQ",IF(AD42="","BLANK","EQ"))</f>
        <v>EQ</v>
      </c>
      <c r="AG42" s="34"/>
      <c r="AH42" s="62"/>
      <c r="AI42" s="105" t="s">
        <v>252</v>
      </c>
      <c r="AJ42" s="105"/>
      <c r="AK42" s="105"/>
      <c r="AL42" s="105"/>
      <c r="AM42" s="105"/>
      <c r="AN42" s="32"/>
      <c r="AO42" s="59" t="str">
        <f>IF($A$19="mm","mm^4","in^4")</f>
        <v>in^4</v>
      </c>
      <c r="AP42" s="58" t="str">
        <f>IF(AND(AM$39="",AN$41="",AN$42="",AN$43="",AN$44=""),"EQ",IF(AN42="","BLANK","EQ"))</f>
        <v>EQ</v>
      </c>
      <c r="AQ42" s="34"/>
      <c r="AR42" s="62"/>
      <c r="AS42" s="105" t="s">
        <v>252</v>
      </c>
      <c r="AT42" s="105"/>
      <c r="AU42" s="105"/>
      <c r="AV42" s="105"/>
      <c r="AW42" s="105"/>
      <c r="AX42" s="32"/>
      <c r="AY42" s="59" t="str">
        <f>IF($A$19="mm","mm^4","in^4")</f>
        <v>in^4</v>
      </c>
      <c r="AZ42" s="58" t="str">
        <f>IF(AND(AW$39="",AX$41="",AX$42="",AX$43="",AX$44=""),"EQ",IF(AX42="","BLANK","EQ"))</f>
        <v>EQ</v>
      </c>
      <c r="BA42" s="34"/>
    </row>
    <row r="43" spans="1:53" ht="15" customHeight="1" x14ac:dyDescent="0.35">
      <c r="A43" s="188"/>
      <c r="B43" s="188"/>
      <c r="C43" s="188"/>
      <c r="D43" s="62"/>
      <c r="E43" s="105" t="s">
        <v>253</v>
      </c>
      <c r="F43" s="105"/>
      <c r="G43" s="105"/>
      <c r="H43" s="105"/>
      <c r="I43" s="105"/>
      <c r="J43" s="32"/>
      <c r="K43" s="59" t="str">
        <f>IF($A$19="mm","mm^2","in^2")</f>
        <v>in^2</v>
      </c>
      <c r="L43" s="58" t="str">
        <f>IF(AND(NOT(A17="FILL OUT THIS TAB."),I$39="",J$41="",J$42="",J$43="",J$44=""),"EQ",IF(J43="","BLANK",IF(J43&lt;I39,"EQ","REJECT")))</f>
        <v>EQ</v>
      </c>
      <c r="N43" s="62"/>
      <c r="O43" s="105" t="s">
        <v>253</v>
      </c>
      <c r="P43" s="105"/>
      <c r="Q43" s="105"/>
      <c r="R43" s="105"/>
      <c r="S43" s="105"/>
      <c r="T43" s="32"/>
      <c r="U43" s="59" t="str">
        <f>IF($A$19="mm","mm^2","in^2")</f>
        <v>in^2</v>
      </c>
      <c r="V43" s="58" t="str">
        <f>IF(AND(S$39="",T$41="",T$42="",T$43="",T$44=""),"EQ",IF(T43="","BLANK",IF(T43&lt;S39,"EQ","REJECT")))</f>
        <v>EQ</v>
      </c>
      <c r="W43" s="34"/>
      <c r="X43" s="62"/>
      <c r="Y43" s="105" t="s">
        <v>253</v>
      </c>
      <c r="Z43" s="105"/>
      <c r="AA43" s="105"/>
      <c r="AB43" s="105"/>
      <c r="AC43" s="105"/>
      <c r="AD43" s="32"/>
      <c r="AE43" s="59" t="str">
        <f>IF($A$19="mm","mm^2","in^2")</f>
        <v>in^2</v>
      </c>
      <c r="AF43" s="58" t="str">
        <f>IF(AND(AC$39="",AD$41="",AD$42="",AD$43="",AD$44=""),"EQ",IF(AD43="","BLANK",IF(AD43&lt;AC39,"EQ","REJECT")))</f>
        <v>EQ</v>
      </c>
      <c r="AG43" s="34"/>
      <c r="AH43" s="62"/>
      <c r="AI43" s="105" t="s">
        <v>253</v>
      </c>
      <c r="AJ43" s="105"/>
      <c r="AK43" s="105"/>
      <c r="AL43" s="105"/>
      <c r="AM43" s="105"/>
      <c r="AN43" s="32"/>
      <c r="AO43" s="59" t="str">
        <f>IF($A$19="mm","mm^2","in^2")</f>
        <v>in^2</v>
      </c>
      <c r="AP43" s="58" t="str">
        <f>IF(AND(AM$39="",AN$41="",AN$42="",AN$43="",AN$44=""),"EQ",IF(AN43="","BLANK",IF(AN43&lt;AM39,"EQ","REJECT")))</f>
        <v>EQ</v>
      </c>
      <c r="AQ43" s="34"/>
      <c r="AR43" s="62"/>
      <c r="AS43" s="105" t="s">
        <v>253</v>
      </c>
      <c r="AT43" s="105"/>
      <c r="AU43" s="105"/>
      <c r="AV43" s="105"/>
      <c r="AW43" s="105"/>
      <c r="AX43" s="32"/>
      <c r="AY43" s="59" t="str">
        <f>IF($A$19="mm","mm^2","in^2")</f>
        <v>in^2</v>
      </c>
      <c r="AZ43" s="58" t="str">
        <f>IF(AND(AW$39="",AX$41="",AX$42="",AX$43="",AX$44=""),"EQ",IF(AX43="","BLANK",IF(AX43&lt;AW39,"EQ","REJECT")))</f>
        <v>EQ</v>
      </c>
      <c r="BA43" s="34"/>
    </row>
    <row r="44" spans="1:53" ht="15" customHeight="1" x14ac:dyDescent="0.35">
      <c r="A44" s="188"/>
      <c r="B44" s="188"/>
      <c r="C44" s="188"/>
      <c r="D44" s="62"/>
      <c r="E44" s="105" t="s">
        <v>254</v>
      </c>
      <c r="F44" s="105"/>
      <c r="G44" s="105"/>
      <c r="H44" s="105"/>
      <c r="I44" s="105"/>
      <c r="J44" s="36"/>
      <c r="K44" s="59" t="str">
        <f>IF($A$19="mm","mm^4","in^4")</f>
        <v>in^4</v>
      </c>
      <c r="L44" s="58" t="str">
        <f>IF(AND(NOT(A17="FILL OUT THIS TAB."),I$39="",J$41="",J$42="",J$43="",J$44=""),"EQ",IF(J44="","BLANK",IF(J44&lt;I40,"EQ","REJECT")))</f>
        <v>EQ</v>
      </c>
      <c r="N44" s="62"/>
      <c r="O44" s="105" t="s">
        <v>254</v>
      </c>
      <c r="P44" s="105"/>
      <c r="Q44" s="105"/>
      <c r="R44" s="105"/>
      <c r="S44" s="105"/>
      <c r="T44" s="36"/>
      <c r="U44" s="59" t="str">
        <f>IF($A$19="mm","mm^4","in^4")</f>
        <v>in^4</v>
      </c>
      <c r="V44" s="58" t="str">
        <f>IF(AND(S$39="",T$41="",T$42="",T$43="",T$44=""),"EQ",IF(T44="","BLANK",IF(T44&lt;S40,"EQ","REJECT")))</f>
        <v>EQ</v>
      </c>
      <c r="W44" s="34"/>
      <c r="X44" s="62"/>
      <c r="Y44" s="105" t="s">
        <v>254</v>
      </c>
      <c r="Z44" s="105"/>
      <c r="AA44" s="105"/>
      <c r="AB44" s="105"/>
      <c r="AC44" s="105"/>
      <c r="AD44" s="36"/>
      <c r="AE44" s="59" t="str">
        <f>IF($A$19="mm","mm^4","in^4")</f>
        <v>in^4</v>
      </c>
      <c r="AF44" s="58" t="str">
        <f>IF(AND(AC$39="",AD$41="",AD$42="",AD$43="",AD$44=""),"EQ",IF(AD44="","BLANK",IF(AD44&lt;AC40,"EQ","REJECT")))</f>
        <v>EQ</v>
      </c>
      <c r="AG44" s="34"/>
      <c r="AH44" s="62"/>
      <c r="AI44" s="105" t="s">
        <v>254</v>
      </c>
      <c r="AJ44" s="105"/>
      <c r="AK44" s="105"/>
      <c r="AL44" s="105"/>
      <c r="AM44" s="105"/>
      <c r="AN44" s="36"/>
      <c r="AO44" s="59" t="str">
        <f>IF($A$19="mm","mm^4","in^4")</f>
        <v>in^4</v>
      </c>
      <c r="AP44" s="58" t="str">
        <f>IF(AND(AM$39="",AN$41="",AN$42="",AN$43="",AN$44=""),"EQ",IF(AN44="","BLANK",IF(AN44&lt;AM40,"EQ","REJECT")))</f>
        <v>EQ</v>
      </c>
      <c r="AQ44" s="34"/>
      <c r="AR44" s="62"/>
      <c r="AS44" s="105" t="s">
        <v>254</v>
      </c>
      <c r="AT44" s="105"/>
      <c r="AU44" s="105"/>
      <c r="AV44" s="105"/>
      <c r="AW44" s="105"/>
      <c r="AX44" s="36"/>
      <c r="AY44" s="59" t="str">
        <f>IF($A$19="mm","mm^4","in^4")</f>
        <v>in^4</v>
      </c>
      <c r="AZ44" s="58" t="str">
        <f>IF(AND(AW$39="",AX$41="",AX$42="",AX$43="",AX$44=""),"EQ",IF(AX44="","BLANK",IF(AX44&lt;AW40,"EQ","REJECT")))</f>
        <v>EQ</v>
      </c>
      <c r="BA44" s="34"/>
    </row>
    <row r="45" spans="1:53" s="50" customFormat="1" ht="15" customHeight="1" x14ac:dyDescent="0.35">
      <c r="A45" s="188"/>
      <c r="B45" s="188"/>
      <c r="C45" s="188"/>
      <c r="D45" s="61" t="s">
        <v>192</v>
      </c>
      <c r="E45" s="105" t="s">
        <v>266</v>
      </c>
      <c r="F45" s="105"/>
      <c r="G45" s="105"/>
      <c r="H45" s="105"/>
      <c r="I45" s="67">
        <f>IF($A$19="mm",200*10^9,29000*10^3)</f>
        <v>29000000</v>
      </c>
      <c r="J45" s="67">
        <f>IF($A$19="mm",200*10^9,29000*10^3)</f>
        <v>29000000</v>
      </c>
      <c r="K45" s="59" t="str">
        <f>IF($A$19="mm","Pa","psi")</f>
        <v>psi</v>
      </c>
      <c r="L45" s="58" t="s">
        <v>196</v>
      </c>
      <c r="M45" s="33"/>
      <c r="N45" s="61" t="s">
        <v>192</v>
      </c>
      <c r="O45" s="105" t="s">
        <v>266</v>
      </c>
      <c r="P45" s="105"/>
      <c r="Q45" s="105"/>
      <c r="R45" s="105"/>
      <c r="S45" s="67">
        <f>IF($A$19="mm",200*10^9,29000*10^3)</f>
        <v>29000000</v>
      </c>
      <c r="T45" s="67">
        <f>IF($A$19="mm",200*10^9,29000*10^3)</f>
        <v>29000000</v>
      </c>
      <c r="U45" s="94" t="str">
        <f>IF($A$19="mm","Pa","psi")</f>
        <v>psi</v>
      </c>
      <c r="V45" s="58" t="s">
        <v>196</v>
      </c>
      <c r="W45" s="34"/>
      <c r="X45" s="61" t="s">
        <v>192</v>
      </c>
      <c r="Y45" s="105" t="s">
        <v>266</v>
      </c>
      <c r="Z45" s="105"/>
      <c r="AA45" s="105"/>
      <c r="AB45" s="105"/>
      <c r="AC45" s="67">
        <f>IF($A$19="mm",200*10^9,29000*10^3)</f>
        <v>29000000</v>
      </c>
      <c r="AD45" s="67">
        <f>IF($A$19="mm",200*10^9,29000*10^3)</f>
        <v>29000000</v>
      </c>
      <c r="AE45" s="94" t="str">
        <f>IF($A$19="mm","Pa","psi")</f>
        <v>psi</v>
      </c>
      <c r="AF45" s="58" t="s">
        <v>196</v>
      </c>
      <c r="AG45" s="34"/>
      <c r="AH45" s="61" t="s">
        <v>192</v>
      </c>
      <c r="AI45" s="105" t="s">
        <v>266</v>
      </c>
      <c r="AJ45" s="105"/>
      <c r="AK45" s="105"/>
      <c r="AL45" s="105"/>
      <c r="AM45" s="67">
        <f>IF($A$19="mm",200*10^9,29000*10^3)</f>
        <v>29000000</v>
      </c>
      <c r="AN45" s="67">
        <f>IF($A$19="mm",200*10^9,29000*10^3)</f>
        <v>29000000</v>
      </c>
      <c r="AO45" s="94" t="str">
        <f>IF($A$19="mm","Pa","psi")</f>
        <v>psi</v>
      </c>
      <c r="AP45" s="58" t="s">
        <v>196</v>
      </c>
      <c r="AQ45" s="34"/>
      <c r="AR45" s="61" t="s">
        <v>192</v>
      </c>
      <c r="AS45" s="105" t="s">
        <v>266</v>
      </c>
      <c r="AT45" s="105"/>
      <c r="AU45" s="105"/>
      <c r="AV45" s="105"/>
      <c r="AW45" s="67">
        <f>IF($A$19="mm",200*10^9,29000*10^3)</f>
        <v>29000000</v>
      </c>
      <c r="AX45" s="67">
        <f>IF($A$19="mm",200*10^9,29000*10^3)</f>
        <v>29000000</v>
      </c>
      <c r="AY45" s="94" t="str">
        <f>IF($A$19="mm","Pa","psi")</f>
        <v>psi</v>
      </c>
      <c r="AZ45" s="58" t="s">
        <v>196</v>
      </c>
      <c r="BA45" s="34"/>
    </row>
    <row r="46" spans="1:53" s="50" customFormat="1" ht="15" customHeight="1" x14ac:dyDescent="0.35">
      <c r="A46" s="188"/>
      <c r="B46" s="188"/>
      <c r="C46" s="188"/>
      <c r="D46" s="62"/>
      <c r="E46" s="105" t="s">
        <v>267</v>
      </c>
      <c r="F46" s="105"/>
      <c r="G46" s="105"/>
      <c r="H46" s="105"/>
      <c r="I46" s="67">
        <f>IF($A$19="mm",305*10^6,44.2*10^3)</f>
        <v>44200</v>
      </c>
      <c r="J46" s="67">
        <f>IF($A$19="mm",180*10^6,26*10^3)</f>
        <v>26000</v>
      </c>
      <c r="K46" s="94" t="str">
        <f>IF($A$19="mm","Pa","psi")</f>
        <v>psi</v>
      </c>
      <c r="L46" s="58" t="s">
        <v>196</v>
      </c>
      <c r="N46" s="62"/>
      <c r="O46" s="105" t="s">
        <v>267</v>
      </c>
      <c r="P46" s="105"/>
      <c r="Q46" s="105"/>
      <c r="R46" s="105"/>
      <c r="S46" s="67">
        <f>IF($A$19="mm",305*10^6,44.2*10^3)</f>
        <v>44200</v>
      </c>
      <c r="T46" s="67">
        <f>IF($A$19="mm",180*10^6,26*10^3)</f>
        <v>26000</v>
      </c>
      <c r="U46" s="94" t="str">
        <f>IF($A$19="mm","Pa","psi")</f>
        <v>psi</v>
      </c>
      <c r="V46" s="58" t="s">
        <v>196</v>
      </c>
      <c r="W46" s="34"/>
      <c r="X46" s="62"/>
      <c r="Y46" s="105" t="s">
        <v>267</v>
      </c>
      <c r="Z46" s="105"/>
      <c r="AA46" s="105"/>
      <c r="AB46" s="105"/>
      <c r="AC46" s="67">
        <f>IF($A$19="mm",305*10^6,44.2*10^3)</f>
        <v>44200</v>
      </c>
      <c r="AD46" s="67">
        <f>IF($A$19="mm",180*10^6,26*10^3)</f>
        <v>26000</v>
      </c>
      <c r="AE46" s="94" t="str">
        <f>IF($A$19="mm","Pa","psi")</f>
        <v>psi</v>
      </c>
      <c r="AF46" s="58" t="s">
        <v>196</v>
      </c>
      <c r="AG46" s="34"/>
      <c r="AH46" s="62"/>
      <c r="AI46" s="105" t="s">
        <v>267</v>
      </c>
      <c r="AJ46" s="105"/>
      <c r="AK46" s="105"/>
      <c r="AL46" s="105"/>
      <c r="AM46" s="67">
        <f>IF($A$19="mm",305*10^6,44.2*10^3)</f>
        <v>44200</v>
      </c>
      <c r="AN46" s="67">
        <f>IF($A$19="mm",180*10^6,26*10^3)</f>
        <v>26000</v>
      </c>
      <c r="AO46" s="94" t="str">
        <f>IF($A$19="mm","Pa","psi")</f>
        <v>psi</v>
      </c>
      <c r="AP46" s="58" t="s">
        <v>196</v>
      </c>
      <c r="AQ46" s="34"/>
      <c r="AR46" s="62"/>
      <c r="AS46" s="105" t="s">
        <v>267</v>
      </c>
      <c r="AT46" s="105"/>
      <c r="AU46" s="105"/>
      <c r="AV46" s="105"/>
      <c r="AW46" s="67">
        <f>IF($A$19="mm",305*10^6,44.2*10^3)</f>
        <v>44200</v>
      </c>
      <c r="AX46" s="67">
        <f>IF($A$19="mm",180*10^6,26*10^3)</f>
        <v>26000</v>
      </c>
      <c r="AY46" s="94" t="str">
        <f>IF($A$19="mm","Pa","psi")</f>
        <v>psi</v>
      </c>
      <c r="AZ46" s="58" t="s">
        <v>196</v>
      </c>
      <c r="BA46" s="34"/>
    </row>
    <row r="47" spans="1:53" ht="15.75" customHeight="1" x14ac:dyDescent="0.35">
      <c r="A47" s="188"/>
      <c r="B47" s="188"/>
      <c r="C47" s="188"/>
      <c r="D47" s="62"/>
      <c r="E47" s="183" t="s">
        <v>268</v>
      </c>
      <c r="F47" s="183"/>
      <c r="G47" s="183"/>
      <c r="H47" s="183"/>
      <c r="I47" s="67">
        <f>IF($A$19="mm",365*10^6,52.9*10^3)</f>
        <v>52900</v>
      </c>
      <c r="J47" s="67">
        <f>IF($A$19="mm",300*10^6,43.5*10^3)</f>
        <v>43500</v>
      </c>
      <c r="K47" s="94" t="str">
        <f>IF($A$19="mm","Pa","psi")</f>
        <v>psi</v>
      </c>
      <c r="L47" s="58" t="s">
        <v>196</v>
      </c>
      <c r="M47" s="50"/>
      <c r="N47" s="62"/>
      <c r="O47" s="183" t="s">
        <v>268</v>
      </c>
      <c r="P47" s="183"/>
      <c r="Q47" s="183"/>
      <c r="R47" s="183"/>
      <c r="S47" s="67">
        <f>IF($A$19="mm",365*10^6,52.9*10^3)</f>
        <v>52900</v>
      </c>
      <c r="T47" s="67">
        <f>IF($A$19="mm",300*10^6,43.5*10^3)</f>
        <v>43500</v>
      </c>
      <c r="U47" s="94" t="str">
        <f>IF($A$19="mm","Pa","psi")</f>
        <v>psi</v>
      </c>
      <c r="V47" s="58" t="s">
        <v>196</v>
      </c>
      <c r="W47" s="34"/>
      <c r="X47" s="62"/>
      <c r="Y47" s="183" t="s">
        <v>268</v>
      </c>
      <c r="Z47" s="183"/>
      <c r="AA47" s="183"/>
      <c r="AB47" s="183"/>
      <c r="AC47" s="67">
        <f>IF($A$19="mm",365*10^6,52.9*10^3)</f>
        <v>52900</v>
      </c>
      <c r="AD47" s="67">
        <f>IF($A$19="mm",300*10^6,43.5*10^3)</f>
        <v>43500</v>
      </c>
      <c r="AE47" s="94" t="str">
        <f>IF($A$19="mm","Pa","psi")</f>
        <v>psi</v>
      </c>
      <c r="AF47" s="58" t="s">
        <v>196</v>
      </c>
      <c r="AG47" s="34"/>
      <c r="AH47" s="62"/>
      <c r="AI47" s="183" t="s">
        <v>268</v>
      </c>
      <c r="AJ47" s="183"/>
      <c r="AK47" s="183"/>
      <c r="AL47" s="183"/>
      <c r="AM47" s="67">
        <f>IF($A$19="mm",365*10^6,52.9*10^3)</f>
        <v>52900</v>
      </c>
      <c r="AN47" s="67">
        <f>IF($A$19="mm",300*10^6,43.5*10^3)</f>
        <v>43500</v>
      </c>
      <c r="AO47" s="94" t="str">
        <f>IF($A$19="mm","Pa","psi")</f>
        <v>psi</v>
      </c>
      <c r="AP47" s="58" t="s">
        <v>196</v>
      </c>
      <c r="AQ47" s="34"/>
      <c r="AR47" s="62"/>
      <c r="AS47" s="183" t="s">
        <v>268</v>
      </c>
      <c r="AT47" s="183"/>
      <c r="AU47" s="183"/>
      <c r="AV47" s="183"/>
      <c r="AW47" s="67">
        <f>IF($A$19="mm",365*10^6,52.9*10^3)</f>
        <v>52900</v>
      </c>
      <c r="AX47" s="67">
        <f>IF($A$19="mm",300*10^6,43.5*10^3)</f>
        <v>43500</v>
      </c>
      <c r="AY47" s="94" t="str">
        <f>IF($A$19="mm","Pa","psi")</f>
        <v>psi</v>
      </c>
      <c r="AZ47" s="58" t="s">
        <v>196</v>
      </c>
      <c r="BA47" s="34"/>
    </row>
    <row r="48" spans="1:53" x14ac:dyDescent="0.35">
      <c r="A48" s="188"/>
      <c r="B48" s="188"/>
      <c r="C48" s="188"/>
      <c r="D48" s="186" t="s">
        <v>269</v>
      </c>
      <c r="E48" s="186"/>
      <c r="F48" s="183" t="s">
        <v>270</v>
      </c>
      <c r="G48" s="183"/>
      <c r="H48" s="183"/>
      <c r="I48" s="69" t="str">
        <f>IF(OR(I$37="",I$38=""),"",I45*I40)</f>
        <v/>
      </c>
      <c r="J48" s="69" t="str">
        <f>IF(OR(I$39="",J$42="",J$44=""),"",J45*J42+I45*J44)</f>
        <v/>
      </c>
      <c r="K48" s="70" t="str">
        <f>IF(OR(I48="",J48=""),"",J48/I48)</f>
        <v/>
      </c>
      <c r="L48" s="63" t="str">
        <f>IF(K48="","EQ",IF(K48&gt;=1,"EQ",IF(K48&gt;0.95,"CHECK","REJECT")))</f>
        <v>EQ</v>
      </c>
      <c r="N48" s="186" t="s">
        <v>269</v>
      </c>
      <c r="O48" s="186"/>
      <c r="P48" s="183" t="s">
        <v>270</v>
      </c>
      <c r="Q48" s="183"/>
      <c r="R48" s="183"/>
      <c r="S48" s="69" t="str">
        <f>IF(OR(S$38="",S$37=""),"",S45*S40)</f>
        <v/>
      </c>
      <c r="T48" s="69" t="str">
        <f>IF(OR(S$39="",T$42="",T$44=""),"",T45*T42+S45*T44)</f>
        <v/>
      </c>
      <c r="U48" s="70" t="str">
        <f>IF(OR(S48="",T48=""),"",T48/S48)</f>
        <v/>
      </c>
      <c r="V48" s="63" t="str">
        <f>IF(U48="","EQ",IF(U48&gt;=1,"EQ",IF(U48&gt;0.95,"CHECK","REJECT")))</f>
        <v>EQ</v>
      </c>
      <c r="W48" s="34"/>
      <c r="X48" s="186" t="s">
        <v>269</v>
      </c>
      <c r="Y48" s="186"/>
      <c r="Z48" s="183" t="s">
        <v>270</v>
      </c>
      <c r="AA48" s="183"/>
      <c r="AB48" s="183"/>
      <c r="AC48" s="69" t="str">
        <f>IF(OR(AC$38="",AC$37=""),"",AC45*AC40)</f>
        <v/>
      </c>
      <c r="AD48" s="69" t="str">
        <f>IF(OR(AC$39="",AD$42="",AD$44=""),"",AD45*AD42+AC45*AD44)</f>
        <v/>
      </c>
      <c r="AE48" s="70" t="str">
        <f>IF(OR(AC48="",AD48=""),"",AD48/AC48)</f>
        <v/>
      </c>
      <c r="AF48" s="63" t="str">
        <f>IF(AE48="","EQ",IF(AE48&gt;=1,"EQ",IF(AE48&gt;0.95,"CHECK","REJECT")))</f>
        <v>EQ</v>
      </c>
      <c r="AG48" s="34"/>
      <c r="AH48" s="186" t="s">
        <v>269</v>
      </c>
      <c r="AI48" s="186"/>
      <c r="AJ48" s="183" t="s">
        <v>270</v>
      </c>
      <c r="AK48" s="183"/>
      <c r="AL48" s="183"/>
      <c r="AM48" s="69" t="str">
        <f>IF(OR(AM$38="",AM$37=""),"",AM45*AM40)</f>
        <v/>
      </c>
      <c r="AN48" s="69" t="str">
        <f>IF(OR(AM$39="",AN$42="",AN$44=""),"",AN45*AN42+AM45*AN44)</f>
        <v/>
      </c>
      <c r="AO48" s="70" t="str">
        <f>IF(OR(AM48="",AN48=""),"",AN48/AM48)</f>
        <v/>
      </c>
      <c r="AP48" s="63" t="str">
        <f>IF(AO48="","EQ",IF(AO48&gt;=1,"EQ",IF(AO48&gt;0.95,"CHECK","REJECT")))</f>
        <v>EQ</v>
      </c>
      <c r="AQ48" s="34"/>
      <c r="AR48" s="186" t="s">
        <v>269</v>
      </c>
      <c r="AS48" s="186"/>
      <c r="AT48" s="183" t="s">
        <v>270</v>
      </c>
      <c r="AU48" s="183"/>
      <c r="AV48" s="183"/>
      <c r="AW48" s="69" t="str">
        <f>IF(OR(AW$38="",AW$37=""),"",AW45*AW40)</f>
        <v/>
      </c>
      <c r="AX48" s="69" t="str">
        <f>IF(OR(AW$39="",AX$42="",AX$44=""),"",AX45*AX42+AW45*AX44)</f>
        <v/>
      </c>
      <c r="AY48" s="70" t="str">
        <f>IF(OR(AW48="",AX48=""),"",AX48/AW48)</f>
        <v/>
      </c>
      <c r="AZ48" s="63" t="str">
        <f>IF(AY48="","EQ",IF(AY48&gt;=1,"EQ",IF(AY48&gt;0.95,"CHECK","REJECT")))</f>
        <v>EQ</v>
      </c>
      <c r="BA48" s="34"/>
    </row>
    <row r="49" spans="1:53" ht="15" customHeight="1" x14ac:dyDescent="0.35">
      <c r="A49" s="188"/>
      <c r="B49" s="188"/>
      <c r="C49" s="188"/>
      <c r="D49" s="64" t="s">
        <v>271</v>
      </c>
      <c r="E49" s="183" t="s">
        <v>272</v>
      </c>
      <c r="F49" s="183"/>
      <c r="G49" s="183"/>
      <c r="H49" s="183"/>
      <c r="I49" s="69" t="str">
        <f>IF(OR(I$38="",I$37=""),"",I46*I39)</f>
        <v/>
      </c>
      <c r="J49" s="69" t="str">
        <f>IF(OR(I$39="",J$41="",J$43=""),"",J46*J41+I46*J43)</f>
        <v/>
      </c>
      <c r="K49" s="70" t="str">
        <f t="shared" ref="K49:K53" si="0">IF(OR(I49="",J49=""),"",J49/I49)</f>
        <v/>
      </c>
      <c r="L49" s="63" t="str">
        <f t="shared" ref="L49:L53" si="1">IF(K49="","EQ",IF(K49&gt;=1,"EQ",IF(K49&gt;0.95,"CHECK","REJECT")))</f>
        <v>EQ</v>
      </c>
      <c r="N49" s="64" t="s">
        <v>271</v>
      </c>
      <c r="O49" s="183" t="s">
        <v>272</v>
      </c>
      <c r="P49" s="183"/>
      <c r="Q49" s="183"/>
      <c r="R49" s="183"/>
      <c r="S49" s="69" t="str">
        <f>IF(OR(S$38="",S$37=""),"",S46*S39)</f>
        <v/>
      </c>
      <c r="T49" s="69" t="str">
        <f>IF(OR(S$39="",T$41="",T$43=""),"",T46*T41+S46*T43)</f>
        <v/>
      </c>
      <c r="U49" s="70" t="str">
        <f t="shared" ref="U49:U50" si="2">IF(OR(S49="",T49=""),"",T49/S49)</f>
        <v/>
      </c>
      <c r="V49" s="63" t="str">
        <f t="shared" ref="V49:V53" si="3">IF(U49="","EQ",IF(U49&gt;=1,"EQ",IF(U49&gt;0.95,"CHECK","REJECT")))</f>
        <v>EQ</v>
      </c>
      <c r="W49" s="34"/>
      <c r="X49" s="64" t="s">
        <v>271</v>
      </c>
      <c r="Y49" s="183" t="s">
        <v>272</v>
      </c>
      <c r="Z49" s="183"/>
      <c r="AA49" s="183"/>
      <c r="AB49" s="183"/>
      <c r="AC49" s="69" t="str">
        <f>IF(OR(AC$38="",AC$37=""),"",AC46*AC39)</f>
        <v/>
      </c>
      <c r="AD49" s="69" t="str">
        <f>IF(OR(AC$39="",AD$41="",AD$43=""),"",AD46*AD41+AC46*AD43)</f>
        <v/>
      </c>
      <c r="AE49" s="70" t="str">
        <f t="shared" ref="AE49:AE50" si="4">IF(OR(AC49="",AD49=""),"",AD49/AC49)</f>
        <v/>
      </c>
      <c r="AF49" s="63" t="str">
        <f t="shared" ref="AF49:AF53" si="5">IF(AE49="","EQ",IF(AE49&gt;=1,"EQ",IF(AE49&gt;0.95,"CHECK","REJECT")))</f>
        <v>EQ</v>
      </c>
      <c r="AG49" s="34"/>
      <c r="AH49" s="64" t="s">
        <v>271</v>
      </c>
      <c r="AI49" s="183" t="s">
        <v>272</v>
      </c>
      <c r="AJ49" s="183"/>
      <c r="AK49" s="183"/>
      <c r="AL49" s="183"/>
      <c r="AM49" s="69" t="str">
        <f>IF(OR(AM$38="",AM$37=""),"",AM46*AM39)</f>
        <v/>
      </c>
      <c r="AN49" s="69" t="str">
        <f>IF(OR(AM$39="",AN$41="",AN$43=""),"",AN46*AN41+AM46*AN43)</f>
        <v/>
      </c>
      <c r="AO49" s="70" t="str">
        <f t="shared" ref="AO49:AO50" si="6">IF(OR(AM49="",AN49=""),"",AN49/AM49)</f>
        <v/>
      </c>
      <c r="AP49" s="63" t="str">
        <f t="shared" ref="AP49:AP53" si="7">IF(AO49="","EQ",IF(AO49&gt;=1,"EQ",IF(AO49&gt;0.95,"CHECK","REJECT")))</f>
        <v>EQ</v>
      </c>
      <c r="AQ49" s="34"/>
      <c r="AR49" s="64" t="s">
        <v>271</v>
      </c>
      <c r="AS49" s="183" t="s">
        <v>272</v>
      </c>
      <c r="AT49" s="183"/>
      <c r="AU49" s="183"/>
      <c r="AV49" s="183"/>
      <c r="AW49" s="69" t="str">
        <f>IF(OR(AW$38="",AW$37=""),"",AW46*AW39)</f>
        <v/>
      </c>
      <c r="AX49" s="69" t="str">
        <f>IF(OR(AW$39="",AX$41="",AX$43=""),"",AX46*AX41+AW46*AX43)</f>
        <v/>
      </c>
      <c r="AY49" s="70" t="str">
        <f t="shared" ref="AY49:AY50" si="8">IF(OR(AW49="",AX49=""),"",AX49/AW49)</f>
        <v/>
      </c>
      <c r="AZ49" s="63" t="str">
        <f t="shared" ref="AZ49:AZ53" si="9">IF(AY49="","EQ",IF(AY49&gt;=1,"EQ",IF(AY49&gt;0.95,"CHECK","REJECT")))</f>
        <v>EQ</v>
      </c>
      <c r="BA49" s="34"/>
    </row>
    <row r="50" spans="1:53" x14ac:dyDescent="0.35">
      <c r="A50" s="188"/>
      <c r="B50" s="188"/>
      <c r="C50" s="188"/>
      <c r="D50" s="64" t="s">
        <v>273</v>
      </c>
      <c r="E50" s="183" t="s">
        <v>274</v>
      </c>
      <c r="F50" s="183"/>
      <c r="G50" s="183"/>
      <c r="H50" s="183"/>
      <c r="I50" s="69" t="str">
        <f>IF(OR(I$38="",I$37=""),"",I47*I39)</f>
        <v/>
      </c>
      <c r="J50" s="69" t="str">
        <f>IF(OR(I$39="",J$41="",J$43=""),"",J47*J41+I47*J43)</f>
        <v/>
      </c>
      <c r="K50" s="70" t="str">
        <f t="shared" si="0"/>
        <v/>
      </c>
      <c r="L50" s="63" t="str">
        <f t="shared" si="1"/>
        <v>EQ</v>
      </c>
      <c r="N50" s="64" t="s">
        <v>273</v>
      </c>
      <c r="O50" s="183" t="s">
        <v>274</v>
      </c>
      <c r="P50" s="183"/>
      <c r="Q50" s="183"/>
      <c r="R50" s="183"/>
      <c r="S50" s="69" t="str">
        <f>IF(OR(S$38="",S$37=""),"",S47*S39)</f>
        <v/>
      </c>
      <c r="T50" s="69" t="str">
        <f>IF(OR(S$39="",T$41="",T$43=""),"",T47*T41+S47*T43)</f>
        <v/>
      </c>
      <c r="U50" s="70" t="str">
        <f t="shared" si="2"/>
        <v/>
      </c>
      <c r="V50" s="63" t="str">
        <f t="shared" si="3"/>
        <v>EQ</v>
      </c>
      <c r="W50" s="34"/>
      <c r="X50" s="64" t="s">
        <v>273</v>
      </c>
      <c r="Y50" s="183" t="s">
        <v>274</v>
      </c>
      <c r="Z50" s="183"/>
      <c r="AA50" s="183"/>
      <c r="AB50" s="183"/>
      <c r="AC50" s="69" t="str">
        <f>IF(OR(AC$38="",AC$37=""),"",AC47*AC39)</f>
        <v/>
      </c>
      <c r="AD50" s="69" t="str">
        <f>IF(OR(AC$39="",AD$41="",AD$43=""),"",AD47*AD41+AC47*AD43)</f>
        <v/>
      </c>
      <c r="AE50" s="70" t="str">
        <f t="shared" si="4"/>
        <v/>
      </c>
      <c r="AF50" s="63" t="str">
        <f t="shared" si="5"/>
        <v>EQ</v>
      </c>
      <c r="AG50" s="34"/>
      <c r="AH50" s="64" t="s">
        <v>273</v>
      </c>
      <c r="AI50" s="183" t="s">
        <v>274</v>
      </c>
      <c r="AJ50" s="183"/>
      <c r="AK50" s="183"/>
      <c r="AL50" s="183"/>
      <c r="AM50" s="69" t="str">
        <f>IF(OR(AM$38="",AM$37=""),"",AM47*AM39)</f>
        <v/>
      </c>
      <c r="AN50" s="69" t="str">
        <f>IF(OR(AM$39="",AN$41="",AN$43=""),"",AN47*AN41+AM47*AN43)</f>
        <v/>
      </c>
      <c r="AO50" s="70" t="str">
        <f t="shared" si="6"/>
        <v/>
      </c>
      <c r="AP50" s="63" t="str">
        <f t="shared" si="7"/>
        <v>EQ</v>
      </c>
      <c r="AQ50" s="34"/>
      <c r="AR50" s="64" t="s">
        <v>273</v>
      </c>
      <c r="AS50" s="183" t="s">
        <v>274</v>
      </c>
      <c r="AT50" s="183"/>
      <c r="AU50" s="183"/>
      <c r="AV50" s="183"/>
      <c r="AW50" s="69" t="str">
        <f>IF(OR(AW$38="",AW$37=""),"",AW47*AW39)</f>
        <v/>
      </c>
      <c r="AX50" s="69" t="str">
        <f>IF(OR(AW$39="",AX$41="",AX$43=""),"",AX47*AX41+AW47*AX43)</f>
        <v/>
      </c>
      <c r="AY50" s="70" t="str">
        <f t="shared" si="8"/>
        <v/>
      </c>
      <c r="AZ50" s="63" t="str">
        <f t="shared" si="9"/>
        <v>EQ</v>
      </c>
      <c r="BA50" s="34"/>
    </row>
    <row r="51" spans="1:53" x14ac:dyDescent="0.35">
      <c r="A51" s="188"/>
      <c r="B51" s="188"/>
      <c r="C51" s="188"/>
      <c r="D51" s="64" t="s">
        <v>275</v>
      </c>
      <c r="E51" s="183" t="s">
        <v>354</v>
      </c>
      <c r="F51" s="183"/>
      <c r="G51" s="183"/>
      <c r="H51" s="183"/>
      <c r="I51" s="69" t="str">
        <f>IF(OR(I$38="",I$37=""),"",4*I47*I40/(I38/2))</f>
        <v/>
      </c>
      <c r="J51" s="69" t="str">
        <f>IF(OR(I40="",J42="",J44=""),"",4*I47*(J44+J42)/(I38/2))</f>
        <v/>
      </c>
      <c r="K51" s="70" t="str">
        <f>IF(OR(I51="",J51=""),"",J51/I51)</f>
        <v/>
      </c>
      <c r="L51" s="63" t="str">
        <f t="shared" si="1"/>
        <v>EQ</v>
      </c>
      <c r="N51" s="64" t="s">
        <v>275</v>
      </c>
      <c r="O51" s="183" t="s">
        <v>354</v>
      </c>
      <c r="P51" s="183"/>
      <c r="Q51" s="183"/>
      <c r="R51" s="183"/>
      <c r="S51" s="69" t="str">
        <f>IF(OR(S$38="",S$37=""),"",4*S47*S40/(S38/2))</f>
        <v/>
      </c>
      <c r="T51" s="69" t="str">
        <f>IF(OR(S40="",T42="",T44=""),"",4*S47*(T44+T42)/(S38/2))</f>
        <v/>
      </c>
      <c r="U51" s="70" t="str">
        <f>IF(OR(S51="",T51=""),"",T51/S51)</f>
        <v/>
      </c>
      <c r="V51" s="63" t="str">
        <f t="shared" si="3"/>
        <v>EQ</v>
      </c>
      <c r="W51" s="34"/>
      <c r="X51" s="64" t="s">
        <v>275</v>
      </c>
      <c r="Y51" s="183" t="s">
        <v>354</v>
      </c>
      <c r="Z51" s="183"/>
      <c r="AA51" s="183"/>
      <c r="AB51" s="183"/>
      <c r="AC51" s="69" t="str">
        <f>IF(OR(AC$38="",AC$37=""),"",4*AC47*AC40/(AC38/2))</f>
        <v/>
      </c>
      <c r="AD51" s="69" t="str">
        <f>IF(OR(AC40="",AD42="",AD44=""),"",4*AC47*(AD44+AD42)/(AC38/2))</f>
        <v/>
      </c>
      <c r="AE51" s="70" t="str">
        <f>IF(OR(AC51="",AD51=""),"",AD51/AC51)</f>
        <v/>
      </c>
      <c r="AF51" s="63" t="str">
        <f t="shared" si="5"/>
        <v>EQ</v>
      </c>
      <c r="AG51" s="34"/>
      <c r="AH51" s="64" t="s">
        <v>275</v>
      </c>
      <c r="AI51" s="183" t="s">
        <v>354</v>
      </c>
      <c r="AJ51" s="183"/>
      <c r="AK51" s="183"/>
      <c r="AL51" s="183"/>
      <c r="AM51" s="69" t="str">
        <f>IF(OR(AM$38="",AM$37=""),"",4*AM47*AM40/(AM38/2))</f>
        <v/>
      </c>
      <c r="AN51" s="69" t="str">
        <f>IF(OR(AM40="",AN42="",AN44=""),"",4*AM47*(AN44+AN42)/(AM38/2))</f>
        <v/>
      </c>
      <c r="AO51" s="70" t="str">
        <f>IF(OR(AM51="",AN51=""),"",AN51/AM51)</f>
        <v/>
      </c>
      <c r="AP51" s="63" t="str">
        <f t="shared" si="7"/>
        <v>EQ</v>
      </c>
      <c r="AQ51" s="34"/>
      <c r="AR51" s="64" t="s">
        <v>275</v>
      </c>
      <c r="AS51" s="183" t="s">
        <v>354</v>
      </c>
      <c r="AT51" s="183"/>
      <c r="AU51" s="183"/>
      <c r="AV51" s="183"/>
      <c r="AW51" s="69" t="str">
        <f>IF(OR(AW$38="",AW$37=""),"",4*AW47*AW40/(AW38/2))</f>
        <v/>
      </c>
      <c r="AX51" s="69" t="str">
        <f>IF(OR(AW40="",AX42="",AX44=""),"",4*AW47*(AX44+AX42)/(AW38/2))</f>
        <v/>
      </c>
      <c r="AY51" s="70" t="str">
        <f>IF(OR(AW51="",AX51=""),"",AX51/AW51)</f>
        <v/>
      </c>
      <c r="AZ51" s="63" t="str">
        <f t="shared" si="9"/>
        <v>EQ</v>
      </c>
      <c r="BA51" s="34"/>
    </row>
    <row r="52" spans="1:53" ht="15" customHeight="1" x14ac:dyDescent="0.35">
      <c r="A52" s="188"/>
      <c r="B52" s="188"/>
      <c r="C52" s="188"/>
      <c r="D52" s="61" t="s">
        <v>276</v>
      </c>
      <c r="E52" s="105" t="s">
        <v>277</v>
      </c>
      <c r="F52" s="105"/>
      <c r="G52" s="105"/>
      <c r="H52" s="105"/>
      <c r="I52" s="69" t="str">
        <f>IF(OR(I$38="",I$37=""),"",I51/(48*I45*I40))</f>
        <v/>
      </c>
      <c r="J52" s="69" t="str">
        <f>IF(J51="","",I51/(48*(J45*J42+I45*J44)))</f>
        <v/>
      </c>
      <c r="K52" s="70" t="str">
        <f>IF(OR(I52="",J52=""),"",J52/I52)</f>
        <v/>
      </c>
      <c r="L52" s="63" t="str">
        <f>IF(K52="","EQ",IF(K52&lt;=1,"EQ",IF(K52&lt;1.05,"CHECK","REJECT")))</f>
        <v>EQ</v>
      </c>
      <c r="N52" s="61" t="s">
        <v>276</v>
      </c>
      <c r="O52" s="105" t="s">
        <v>277</v>
      </c>
      <c r="P52" s="105"/>
      <c r="Q52" s="105"/>
      <c r="R52" s="105"/>
      <c r="S52" s="69" t="str">
        <f>IF(OR(S$38="",S$37=""),"",S51/(48*S45*S40))</f>
        <v/>
      </c>
      <c r="T52" s="69" t="str">
        <f>IF(T51="","",S51/(48*(T45*T42+S45*T44)))</f>
        <v/>
      </c>
      <c r="U52" s="70" t="str">
        <f>IF(OR(S52="",T52=""),"",T52/S52)</f>
        <v/>
      </c>
      <c r="V52" s="63" t="str">
        <f>IF(U52="","EQ",IF(U52&lt;=1,"EQ",IF(U52&lt;1.05,"CHECK","REJECT")))</f>
        <v>EQ</v>
      </c>
      <c r="W52" s="34"/>
      <c r="X52" s="61" t="s">
        <v>276</v>
      </c>
      <c r="Y52" s="105" t="s">
        <v>277</v>
      </c>
      <c r="Z52" s="105"/>
      <c r="AA52" s="105"/>
      <c r="AB52" s="105"/>
      <c r="AC52" s="69" t="str">
        <f>IF(OR(AC$38="",AC$37=""),"",AC51/(48*AC45*AC40))</f>
        <v/>
      </c>
      <c r="AD52" s="69" t="str">
        <f>IF(AD51="","",AC51/(48*(AD45*AD42+AC45*AD44)))</f>
        <v/>
      </c>
      <c r="AE52" s="70" t="str">
        <f>IF(OR(AC52="",AD52=""),"",AD52/AC52)</f>
        <v/>
      </c>
      <c r="AF52" s="63" t="str">
        <f>IF(AE52="","EQ",IF(AE52&lt;=1,"EQ",IF(AE52&lt;1.05,"CHECK","REJECT")))</f>
        <v>EQ</v>
      </c>
      <c r="AG52" s="34"/>
      <c r="AH52" s="61" t="s">
        <v>276</v>
      </c>
      <c r="AI52" s="105" t="s">
        <v>277</v>
      </c>
      <c r="AJ52" s="105"/>
      <c r="AK52" s="105"/>
      <c r="AL52" s="105"/>
      <c r="AM52" s="69" t="str">
        <f>IF(OR(AM$38="",AM$37=""),"",AM51/(48*AM45*AM40))</f>
        <v/>
      </c>
      <c r="AN52" s="69" t="str">
        <f>IF(AN51="","",AM51/(48*(AN45*AN42+AM45*AN44)))</f>
        <v/>
      </c>
      <c r="AO52" s="70" t="str">
        <f>IF(OR(AM52="",AN52=""),"",AN52/AM52)</f>
        <v/>
      </c>
      <c r="AP52" s="63" t="str">
        <f>IF(AO52="","EQ",IF(AO52&lt;=1,"EQ",IF(AO52&lt;1.05,"CHECK","REJECT")))</f>
        <v>EQ</v>
      </c>
      <c r="AQ52" s="34"/>
      <c r="AR52" s="61" t="s">
        <v>276</v>
      </c>
      <c r="AS52" s="105" t="s">
        <v>277</v>
      </c>
      <c r="AT52" s="105"/>
      <c r="AU52" s="105"/>
      <c r="AV52" s="105"/>
      <c r="AW52" s="69" t="str">
        <f>IF(OR(AW$38="",AW$37=""),"",AW51/(48*AW45*AW40))</f>
        <v/>
      </c>
      <c r="AX52" s="69" t="str">
        <f>IF(AX51="","",AW51/(48*(AX45*AX42+AW45*AX44)))</f>
        <v/>
      </c>
      <c r="AY52" s="70" t="str">
        <f>IF(OR(AW52="",AX52=""),"",AX52/AW52)</f>
        <v/>
      </c>
      <c r="AZ52" s="63" t="str">
        <f>IF(AY52="","EQ",IF(AY52&lt;=1,"EQ",IF(AY52&lt;1.05,"CHECK","REJECT")))</f>
        <v>EQ</v>
      </c>
      <c r="BA52" s="34"/>
    </row>
    <row r="53" spans="1:53" x14ac:dyDescent="0.35">
      <c r="A53" s="188"/>
      <c r="B53" s="188"/>
      <c r="C53" s="188"/>
      <c r="D53" s="61" t="s">
        <v>278</v>
      </c>
      <c r="E53" s="105" t="s">
        <v>279</v>
      </c>
      <c r="F53" s="105"/>
      <c r="G53" s="105"/>
      <c r="H53" s="105"/>
      <c r="I53" s="69" t="str">
        <f>IF(OR(I$38="",I$37=""),"",0.5*I51^2/(48*(I45*I40)))</f>
        <v/>
      </c>
      <c r="J53" s="69" t="str">
        <f>IF(J51="","",0.5*J51^2/(48*(J45*J42+I45*J44)))</f>
        <v/>
      </c>
      <c r="K53" s="70" t="str">
        <f t="shared" si="0"/>
        <v/>
      </c>
      <c r="L53" s="63" t="str">
        <f t="shared" si="1"/>
        <v>EQ</v>
      </c>
      <c r="N53" s="61" t="s">
        <v>278</v>
      </c>
      <c r="O53" s="105" t="s">
        <v>279</v>
      </c>
      <c r="P53" s="105"/>
      <c r="Q53" s="105"/>
      <c r="R53" s="105"/>
      <c r="S53" s="69" t="str">
        <f>IF(OR(S$38="",S$37=""),"",0.5*S51^2/(48*(S45*S40)))</f>
        <v/>
      </c>
      <c r="T53" s="69" t="str">
        <f>IF(T51="","",0.5*T51^2/(48*(T45*T42+S45*T44)))</f>
        <v/>
      </c>
      <c r="U53" s="70" t="str">
        <f t="shared" ref="U53" si="10">IF(OR(S53="",T53=""),"",T53/S53)</f>
        <v/>
      </c>
      <c r="V53" s="63" t="str">
        <f t="shared" si="3"/>
        <v>EQ</v>
      </c>
      <c r="W53" s="34"/>
      <c r="X53" s="61" t="s">
        <v>278</v>
      </c>
      <c r="Y53" s="105" t="s">
        <v>279</v>
      </c>
      <c r="Z53" s="105"/>
      <c r="AA53" s="105"/>
      <c r="AB53" s="105"/>
      <c r="AC53" s="69" t="str">
        <f>IF(OR(AC$38="",AC$37=""),"",0.5*AC51^2/(48*(AC45*AC40)))</f>
        <v/>
      </c>
      <c r="AD53" s="69" t="str">
        <f>IF(AD51="","",0.5*AD51^2/(48*(AD45*AD42+AC45*AD44)))</f>
        <v/>
      </c>
      <c r="AE53" s="70" t="str">
        <f t="shared" ref="AE53" si="11">IF(OR(AC53="",AD53=""),"",AD53/AC53)</f>
        <v/>
      </c>
      <c r="AF53" s="63" t="str">
        <f t="shared" si="5"/>
        <v>EQ</v>
      </c>
      <c r="AG53" s="34"/>
      <c r="AH53" s="61" t="s">
        <v>278</v>
      </c>
      <c r="AI53" s="105" t="s">
        <v>279</v>
      </c>
      <c r="AJ53" s="105"/>
      <c r="AK53" s="105"/>
      <c r="AL53" s="105"/>
      <c r="AM53" s="69" t="str">
        <f>IF(OR(AM$38="",AM$37=""),"",0.5*AM51^2/(48*(AM45*AM40)))</f>
        <v/>
      </c>
      <c r="AN53" s="69" t="str">
        <f>IF(AN51="","",0.5*AN51^2/(48*(AN45*AN42+AM45*AN44)))</f>
        <v/>
      </c>
      <c r="AO53" s="70" t="str">
        <f t="shared" ref="AO53" si="12">IF(OR(AM53="",AN53=""),"",AN53/AM53)</f>
        <v/>
      </c>
      <c r="AP53" s="63" t="str">
        <f t="shared" si="7"/>
        <v>EQ</v>
      </c>
      <c r="AQ53" s="34"/>
      <c r="AR53" s="61" t="s">
        <v>278</v>
      </c>
      <c r="AS53" s="105" t="s">
        <v>279</v>
      </c>
      <c r="AT53" s="105"/>
      <c r="AU53" s="105"/>
      <c r="AV53" s="105"/>
      <c r="AW53" s="69" t="str">
        <f>IF(OR(AW$38="",AW$37=""),"",0.5*AW51^2/(48*(AW45*AW40)))</f>
        <v/>
      </c>
      <c r="AX53" s="69" t="str">
        <f>IF(AX51="","",0.5*AX51^2/(48*(AX45*AX42+AW45*AX44)))</f>
        <v/>
      </c>
      <c r="AY53" s="70" t="str">
        <f t="shared" ref="AY53" si="13">IF(OR(AW53="",AX53=""),"",AX53/AW53)</f>
        <v/>
      </c>
      <c r="AZ53" s="63" t="str">
        <f t="shared" si="9"/>
        <v>EQ</v>
      </c>
      <c r="BA53" s="34"/>
    </row>
    <row r="54" spans="1:53" x14ac:dyDescent="0.35">
      <c r="A54" s="188"/>
      <c r="B54" s="188"/>
      <c r="C54" s="188"/>
      <c r="D54" s="61"/>
      <c r="E54" s="60"/>
      <c r="F54" s="60"/>
      <c r="G54" s="60"/>
      <c r="H54" s="60"/>
      <c r="I54" s="60"/>
      <c r="J54" s="58"/>
      <c r="K54" s="59"/>
      <c r="L54" s="58"/>
      <c r="N54" s="61"/>
      <c r="O54" s="60"/>
      <c r="P54" s="60"/>
      <c r="Q54" s="60"/>
      <c r="R54" s="60"/>
      <c r="S54" s="60"/>
      <c r="T54" s="58"/>
      <c r="U54" s="59"/>
      <c r="V54" s="58"/>
      <c r="W54" s="34"/>
      <c r="X54" s="61"/>
      <c r="Y54" s="60"/>
      <c r="Z54" s="60"/>
      <c r="AA54" s="60"/>
      <c r="AB54" s="60"/>
      <c r="AC54" s="60"/>
      <c r="AD54" s="58"/>
      <c r="AE54" s="59"/>
      <c r="AF54" s="58"/>
      <c r="AG54" s="34"/>
      <c r="AH54" s="61"/>
      <c r="AI54" s="60"/>
      <c r="AJ54" s="60"/>
      <c r="AK54" s="60"/>
      <c r="AL54" s="60"/>
      <c r="AM54" s="60"/>
      <c r="AN54" s="58"/>
      <c r="AO54" s="59"/>
      <c r="AP54" s="58"/>
      <c r="AQ54" s="34"/>
      <c r="AR54" s="61"/>
      <c r="AS54" s="60"/>
      <c r="AT54" s="60"/>
      <c r="AU54" s="60"/>
      <c r="AV54" s="60"/>
      <c r="AW54" s="60"/>
      <c r="AX54" s="58"/>
      <c r="AY54" s="59"/>
      <c r="AZ54" s="58"/>
      <c r="BA54" s="34"/>
    </row>
    <row r="55" spans="1:53" x14ac:dyDescent="0.35">
      <c r="A55" s="188"/>
      <c r="B55" s="188"/>
      <c r="C55" s="188"/>
      <c r="N55" s="30"/>
      <c r="O55" s="28"/>
      <c r="P55" s="28"/>
      <c r="Q55" s="28"/>
      <c r="R55" s="28"/>
      <c r="S55" s="28"/>
      <c r="T55" s="29"/>
      <c r="U55" s="27"/>
      <c r="V55" s="29"/>
      <c r="W55" s="34"/>
      <c r="X55" s="30"/>
      <c r="Y55" s="28"/>
      <c r="Z55" s="28"/>
      <c r="AA55" s="28"/>
      <c r="AB55" s="28"/>
      <c r="AC55" s="28"/>
      <c r="AD55" s="29"/>
      <c r="AE55" s="27"/>
      <c r="AF55" s="29"/>
      <c r="AG55" s="34"/>
      <c r="AH55" s="30"/>
      <c r="AI55" s="28"/>
      <c r="AJ55" s="28"/>
      <c r="AK55" s="28"/>
      <c r="AL55" s="28"/>
      <c r="AM55" s="28"/>
      <c r="AN55" s="29"/>
      <c r="AO55" s="27"/>
      <c r="AP55" s="29"/>
      <c r="AQ55" s="34"/>
      <c r="AR55" s="30"/>
      <c r="AS55" s="28"/>
      <c r="AT55" s="28"/>
      <c r="AU55" s="28"/>
      <c r="AV55" s="28"/>
      <c r="AW55" s="28"/>
      <c r="AX55" s="29"/>
      <c r="AY55" s="27"/>
      <c r="AZ55" s="29"/>
      <c r="BA55" s="34"/>
    </row>
    <row r="56" spans="1:53" x14ac:dyDescent="0.35">
      <c r="A56" s="188"/>
      <c r="B56" s="188"/>
      <c r="C56" s="188"/>
      <c r="D56" s="29"/>
      <c r="E56" s="29"/>
      <c r="F56" s="29"/>
      <c r="G56" s="29"/>
      <c r="H56" s="29"/>
      <c r="I56" s="29"/>
      <c r="J56" s="29"/>
      <c r="K56" s="29"/>
      <c r="L56" s="29"/>
      <c r="N56" s="30"/>
      <c r="O56" s="28"/>
      <c r="P56" s="28"/>
      <c r="Q56" s="28"/>
      <c r="R56" s="28"/>
      <c r="S56" s="28"/>
      <c r="T56" s="29"/>
      <c r="U56" s="27"/>
      <c r="V56" s="29"/>
      <c r="W56" s="34"/>
      <c r="X56" s="30"/>
      <c r="Y56" s="28"/>
      <c r="Z56" s="28"/>
      <c r="AA56" s="28"/>
      <c r="AB56" s="28"/>
      <c r="AC56" s="28"/>
      <c r="AD56" s="29"/>
      <c r="AE56" s="27"/>
      <c r="AF56" s="29"/>
      <c r="AG56" s="34"/>
      <c r="AH56" s="30"/>
      <c r="AI56" s="28"/>
      <c r="AJ56" s="28"/>
      <c r="AK56" s="28"/>
      <c r="AL56" s="28"/>
      <c r="AM56" s="28"/>
      <c r="AN56" s="29"/>
      <c r="AO56" s="27"/>
      <c r="AP56" s="29"/>
      <c r="AQ56" s="34"/>
      <c r="AR56" s="30"/>
      <c r="AS56" s="28"/>
      <c r="AT56" s="28"/>
      <c r="AU56" s="28"/>
      <c r="AV56" s="28"/>
      <c r="AW56" s="28"/>
      <c r="AX56" s="29"/>
      <c r="AY56" s="27"/>
      <c r="AZ56" s="29"/>
      <c r="BA56" s="34"/>
    </row>
    <row r="57" spans="1:53" x14ac:dyDescent="0.35">
      <c r="A57" s="188"/>
      <c r="B57" s="188"/>
      <c r="C57" s="188"/>
      <c r="D57" s="30"/>
      <c r="E57" s="28"/>
      <c r="F57" s="28"/>
      <c r="G57" s="28"/>
      <c r="H57" s="28"/>
      <c r="I57" s="28"/>
      <c r="J57" s="29"/>
      <c r="K57" s="27"/>
      <c r="L57" s="29"/>
      <c r="N57" s="30"/>
      <c r="O57" s="28"/>
      <c r="P57" s="28"/>
      <c r="Q57" s="28"/>
      <c r="R57" s="28"/>
      <c r="S57" s="28"/>
      <c r="T57" s="29"/>
      <c r="U57" s="27"/>
      <c r="V57" s="29"/>
      <c r="W57" s="34"/>
      <c r="X57" s="30"/>
      <c r="Y57" s="28"/>
      <c r="Z57" s="28"/>
      <c r="AA57" s="28"/>
      <c r="AB57" s="28"/>
      <c r="AC57" s="28"/>
      <c r="AD57" s="29"/>
      <c r="AE57" s="27"/>
      <c r="AF57" s="29"/>
      <c r="AG57" s="34"/>
      <c r="AH57" s="30"/>
      <c r="AI57" s="28"/>
      <c r="AJ57" s="28"/>
      <c r="AK57" s="28"/>
      <c r="AL57" s="28"/>
      <c r="AM57" s="28"/>
      <c r="AN57" s="29"/>
      <c r="AO57" s="27"/>
      <c r="AP57" s="29"/>
      <c r="AQ57" s="34"/>
      <c r="AR57" s="30"/>
      <c r="AS57" s="28"/>
      <c r="AT57" s="28"/>
      <c r="AU57" s="28"/>
      <c r="AV57" s="28"/>
      <c r="AW57" s="28"/>
      <c r="AX57" s="29"/>
      <c r="AY57" s="27"/>
      <c r="AZ57" s="29"/>
      <c r="BA57" s="34"/>
    </row>
    <row r="58" spans="1:53" x14ac:dyDescent="0.35">
      <c r="A58" s="188"/>
      <c r="B58" s="188"/>
      <c r="C58" s="188"/>
      <c r="D58" s="30"/>
      <c r="E58" s="28"/>
      <c r="F58" s="28"/>
      <c r="G58" s="28"/>
      <c r="H58" s="28"/>
      <c r="I58" s="28"/>
      <c r="J58" s="29"/>
      <c r="K58" s="27"/>
      <c r="L58" s="29"/>
      <c r="N58" s="27"/>
      <c r="O58" s="28"/>
      <c r="P58" s="28"/>
      <c r="Q58" s="28"/>
      <c r="R58" s="28"/>
      <c r="S58" s="28"/>
      <c r="T58" s="29"/>
      <c r="U58" s="27"/>
      <c r="V58" s="29"/>
      <c r="W58" s="34"/>
      <c r="X58" s="27"/>
      <c r="Y58" s="28"/>
      <c r="Z58" s="28"/>
      <c r="AA58" s="28"/>
      <c r="AB58" s="28"/>
      <c r="AC58" s="28"/>
      <c r="AD58" s="29"/>
      <c r="AE58" s="27"/>
      <c r="AF58" s="29"/>
      <c r="AG58" s="34"/>
      <c r="AH58" s="27"/>
      <c r="AI58" s="28"/>
      <c r="AJ58" s="28"/>
      <c r="AK58" s="28"/>
      <c r="AL58" s="28"/>
      <c r="AM58" s="28"/>
      <c r="AN58" s="29"/>
      <c r="AO58" s="27"/>
      <c r="AP58" s="29"/>
      <c r="AQ58" s="34"/>
      <c r="AR58" s="27"/>
      <c r="AS58" s="28"/>
      <c r="AT58" s="28"/>
      <c r="AU58" s="28"/>
      <c r="AV58" s="28"/>
      <c r="AW58" s="28"/>
      <c r="AX58" s="29"/>
      <c r="AY58" s="27"/>
      <c r="AZ58" s="29"/>
      <c r="BA58" s="34"/>
    </row>
    <row r="59" spans="1:53" x14ac:dyDescent="0.35">
      <c r="D59" s="30"/>
      <c r="E59" s="28"/>
      <c r="F59" s="28"/>
      <c r="G59" s="28"/>
      <c r="H59" s="28"/>
      <c r="I59" s="28"/>
      <c r="J59" s="29"/>
      <c r="K59" s="27"/>
      <c r="L59" s="29"/>
    </row>
    <row r="60" spans="1:53" x14ac:dyDescent="0.35">
      <c r="D60" s="27"/>
      <c r="E60" s="28"/>
      <c r="F60" s="28"/>
      <c r="G60" s="28"/>
      <c r="H60" s="28"/>
      <c r="I60" s="28"/>
      <c r="J60" s="29"/>
      <c r="K60" s="27"/>
      <c r="L60" s="29"/>
    </row>
  </sheetData>
  <sheetProtection algorithmName="SHA-512" hashValue="cI1m7AaKMNHBPMlPvuAF/3I3XeYjY885wuPXkEhsuDJ/GePZv002+0/hmce8VvAmx+p7QXPeORFwkIct2d3e2A==" saltValue="SjNz86qZmneMuGihXidhKg==" spinCount="100000" sheet="1" scenarios="1"/>
  <protectedRanges>
    <protectedRange sqref="A9 A15" name="Sheet Control"/>
    <protectedRange sqref="I36:I38 J41:J44" name="Insert 1"/>
    <protectedRange sqref="S36:S38 T41:T44" name="Insert 2"/>
    <protectedRange sqref="AC36:AC38 AD41:AD44" name="Insert 3"/>
    <protectedRange sqref="AM36:AM38 AN41:AN44" name="Insert 4"/>
    <protectedRange sqref="AW36:AW38 AX41:AX44" name="Insert 5"/>
  </protectedRanges>
  <mergeCells count="151">
    <mergeCell ref="Z30:AF31"/>
    <mergeCell ref="AH30:AI31"/>
    <mergeCell ref="AJ30:AP31"/>
    <mergeCell ref="AR30:AS31"/>
    <mergeCell ref="A6:C6"/>
    <mergeCell ref="A9:C9"/>
    <mergeCell ref="A17:C17"/>
    <mergeCell ref="A15:C15"/>
    <mergeCell ref="A7:C8"/>
    <mergeCell ref="A13:C14"/>
    <mergeCell ref="A12:C12"/>
    <mergeCell ref="D29:L29"/>
    <mergeCell ref="N29:V29"/>
    <mergeCell ref="X29:AF29"/>
    <mergeCell ref="AH29:AP29"/>
    <mergeCell ref="AR29:AZ29"/>
    <mergeCell ref="X33:AF33"/>
    <mergeCell ref="AH33:AP33"/>
    <mergeCell ref="AR33:AZ33"/>
    <mergeCell ref="E41:I41"/>
    <mergeCell ref="A38:C38"/>
    <mergeCell ref="A34:C34"/>
    <mergeCell ref="AR13:AZ14"/>
    <mergeCell ref="A40:C58"/>
    <mergeCell ref="D13:L14"/>
    <mergeCell ref="N13:V14"/>
    <mergeCell ref="X13:AF14"/>
    <mergeCell ref="AH13:AP14"/>
    <mergeCell ref="A33:C33"/>
    <mergeCell ref="A37:C37"/>
    <mergeCell ref="A35:C35"/>
    <mergeCell ref="A36:C36"/>
    <mergeCell ref="AT30:AZ31"/>
    <mergeCell ref="A19:C20"/>
    <mergeCell ref="A23:C31"/>
    <mergeCell ref="D30:E31"/>
    <mergeCell ref="F30:L31"/>
    <mergeCell ref="N30:O31"/>
    <mergeCell ref="P30:V31"/>
    <mergeCell ref="X30:Y31"/>
    <mergeCell ref="O41:S41"/>
    <mergeCell ref="E43:I43"/>
    <mergeCell ref="E44:I44"/>
    <mergeCell ref="E45:H45"/>
    <mergeCell ref="E46:H46"/>
    <mergeCell ref="E47:H47"/>
    <mergeCell ref="D48:E48"/>
    <mergeCell ref="F48:H48"/>
    <mergeCell ref="D33:L33"/>
    <mergeCell ref="N33:V33"/>
    <mergeCell ref="D32:L32"/>
    <mergeCell ref="I34:I35"/>
    <mergeCell ref="J34:J35"/>
    <mergeCell ref="E36:H36"/>
    <mergeCell ref="E37:H37"/>
    <mergeCell ref="E38:H38"/>
    <mergeCell ref="E39:H39"/>
    <mergeCell ref="E40:H40"/>
    <mergeCell ref="E42:I42"/>
    <mergeCell ref="E49:H49"/>
    <mergeCell ref="E50:H50"/>
    <mergeCell ref="E51:H51"/>
    <mergeCell ref="E52:H52"/>
    <mergeCell ref="E53:H53"/>
    <mergeCell ref="N32:V32"/>
    <mergeCell ref="S34:S35"/>
    <mergeCell ref="T34:T35"/>
    <mergeCell ref="O36:R36"/>
    <mergeCell ref="O37:R37"/>
    <mergeCell ref="O38:R38"/>
    <mergeCell ref="O39:R39"/>
    <mergeCell ref="O40:R40"/>
    <mergeCell ref="O42:S42"/>
    <mergeCell ref="O43:S43"/>
    <mergeCell ref="O44:S44"/>
    <mergeCell ref="O45:R45"/>
    <mergeCell ref="O46:R46"/>
    <mergeCell ref="O47:R47"/>
    <mergeCell ref="N48:O48"/>
    <mergeCell ref="P48:R48"/>
    <mergeCell ref="O49:R49"/>
    <mergeCell ref="O50:R50"/>
    <mergeCell ref="O51:R51"/>
    <mergeCell ref="O52:R52"/>
    <mergeCell ref="O53:R53"/>
    <mergeCell ref="X32:AF32"/>
    <mergeCell ref="AC34:AC35"/>
    <mergeCell ref="AD34:AD35"/>
    <mergeCell ref="Y36:AB36"/>
    <mergeCell ref="Y37:AB37"/>
    <mergeCell ref="Y38:AB38"/>
    <mergeCell ref="Y39:AB39"/>
    <mergeCell ref="Y40:AB40"/>
    <mergeCell ref="Y42:AC42"/>
    <mergeCell ref="Y43:AC43"/>
    <mergeCell ref="Y44:AC44"/>
    <mergeCell ref="Y45:AB45"/>
    <mergeCell ref="Y46:AB46"/>
    <mergeCell ref="Y47:AB47"/>
    <mergeCell ref="X48:Y48"/>
    <mergeCell ref="Z48:AB48"/>
    <mergeCell ref="Y49:AB49"/>
    <mergeCell ref="Y50:AB50"/>
    <mergeCell ref="Y51:AB51"/>
    <mergeCell ref="Y52:AB52"/>
    <mergeCell ref="Y53:AB53"/>
    <mergeCell ref="Y41:AC41"/>
    <mergeCell ref="AS50:AV50"/>
    <mergeCell ref="AS51:AV51"/>
    <mergeCell ref="AH32:AP32"/>
    <mergeCell ref="AM34:AM35"/>
    <mergeCell ref="AN34:AN35"/>
    <mergeCell ref="AI36:AL36"/>
    <mergeCell ref="AI37:AL37"/>
    <mergeCell ref="AI38:AL38"/>
    <mergeCell ref="AI39:AL39"/>
    <mergeCell ref="AI40:AL40"/>
    <mergeCell ref="AI42:AM42"/>
    <mergeCell ref="AS41:AW41"/>
    <mergeCell ref="AI41:AM41"/>
    <mergeCell ref="AI43:AM43"/>
    <mergeCell ref="AI44:AM44"/>
    <mergeCell ref="AI45:AL45"/>
    <mergeCell ref="AI46:AL46"/>
    <mergeCell ref="AI47:AL47"/>
    <mergeCell ref="AH48:AI48"/>
    <mergeCell ref="AJ48:AL48"/>
    <mergeCell ref="AS52:AV52"/>
    <mergeCell ref="AS53:AV53"/>
    <mergeCell ref="AI49:AL49"/>
    <mergeCell ref="AI50:AL50"/>
    <mergeCell ref="AI51:AL51"/>
    <mergeCell ref="AI52:AL52"/>
    <mergeCell ref="AI53:AL53"/>
    <mergeCell ref="AR32:AZ32"/>
    <mergeCell ref="AW34:AW35"/>
    <mergeCell ref="AX34:AX35"/>
    <mergeCell ref="AS36:AV36"/>
    <mergeCell ref="AS37:AV37"/>
    <mergeCell ref="AS38:AV38"/>
    <mergeCell ref="AS39:AV39"/>
    <mergeCell ref="AS40:AV40"/>
    <mergeCell ref="AS42:AW42"/>
    <mergeCell ref="AS43:AW43"/>
    <mergeCell ref="AS44:AW44"/>
    <mergeCell ref="AS45:AV45"/>
    <mergeCell ref="AS46:AV46"/>
    <mergeCell ref="AS47:AV47"/>
    <mergeCell ref="AR48:AS48"/>
    <mergeCell ref="AT48:AV48"/>
    <mergeCell ref="AS49:AV49"/>
  </mergeCells>
  <conditionalFormatting sqref="A1:XFD1048576">
    <cfRule type="beginsWith" dxfId="6" priority="21" operator="beginsWith" text="CHECK">
      <formula>LEFT(A1,LEN("CHECK"))="CHECK"</formula>
    </cfRule>
    <cfRule type="beginsWith" dxfId="5" priority="22" operator="beginsWith" text="REJECT">
      <formula>LEFT(A1,LEN("REJECT"))="REJECT"</formula>
    </cfRule>
    <cfRule type="beginsWith" dxfId="4" priority="23" operator="beginsWith" text="EQ">
      <formula>LEFT(A1,LEN("EQ"))="EQ"</formula>
    </cfRule>
    <cfRule type="beginsWith" dxfId="3" priority="24" operator="beginsWith" text="BLANK">
      <formula>LEFT(A1,LEN("BLANK"))="BLANK"</formula>
    </cfRule>
  </conditionalFormatting>
  <dataValidations count="2">
    <dataValidation type="list" allowBlank="1" showInputMessage="1" showErrorMessage="1" sqref="AM36 AC36 I36 S36 AW36" xr:uid="{4362AC71-042B-4906-A935-AB2C6789C749}">
      <formula1>"Round, Square"</formula1>
    </dataValidation>
    <dataValidation type="list" allowBlank="1" showInputMessage="1" showErrorMessage="1" sqref="A9:C9 A15:C15" xr:uid="{573D9FB1-D823-4F4B-BE20-B09A5E3EACEE}">
      <formula1>"Select Drop Down, Yes, No"</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4381C-3898-47BA-968F-F7F44BDCACCA}">
  <dimension ref="A1:BA56"/>
  <sheetViews>
    <sheetView workbookViewId="0">
      <selection activeCell="C1" sqref="C1"/>
    </sheetView>
  </sheetViews>
  <sheetFormatPr defaultColWidth="9.1796875" defaultRowHeight="14.5" x14ac:dyDescent="0.35"/>
  <cols>
    <col min="1" max="16384" width="9.1796875" style="33"/>
  </cols>
  <sheetData>
    <row r="1" spans="1:53" ht="15" customHeight="1" x14ac:dyDescent="0.35">
      <c r="D1" s="23"/>
      <c r="E1" s="23"/>
      <c r="F1" s="23"/>
      <c r="G1" s="23"/>
      <c r="H1" s="23"/>
      <c r="I1" s="23"/>
      <c r="J1" s="23"/>
      <c r="K1" s="23"/>
      <c r="L1" s="23"/>
      <c r="M1" s="23"/>
      <c r="N1" s="25"/>
      <c r="O1" s="26"/>
      <c r="P1" s="20"/>
      <c r="Q1" s="20"/>
      <c r="R1" s="20"/>
      <c r="S1" s="20"/>
      <c r="T1" s="20"/>
      <c r="U1" s="20"/>
      <c r="V1" s="20"/>
      <c r="W1" s="23"/>
      <c r="X1" s="20"/>
      <c r="Y1" s="20"/>
      <c r="Z1" s="20"/>
      <c r="AA1" s="20"/>
      <c r="AB1" s="20"/>
      <c r="AC1" s="20"/>
      <c r="AD1" s="20"/>
      <c r="AE1" s="20"/>
      <c r="AF1" s="20"/>
      <c r="AG1" s="23"/>
      <c r="AH1" s="20"/>
      <c r="AI1" s="20"/>
      <c r="AJ1" s="20"/>
      <c r="AK1" s="20"/>
      <c r="AL1" s="20"/>
      <c r="AM1" s="20"/>
      <c r="AN1" s="20"/>
      <c r="AO1" s="20"/>
      <c r="AP1" s="20"/>
      <c r="AQ1" s="23"/>
      <c r="AR1" s="20"/>
      <c r="AS1" s="20"/>
      <c r="AT1" s="20"/>
      <c r="AU1" s="20"/>
      <c r="AV1" s="20"/>
      <c r="AW1" s="20"/>
      <c r="AX1" s="20"/>
      <c r="AY1" s="20"/>
      <c r="AZ1" s="20"/>
      <c r="BA1" s="23"/>
    </row>
    <row r="2" spans="1:53" ht="15" customHeight="1" x14ac:dyDescent="0.35">
      <c r="A2" s="190" t="str">
        <f>IF(A4="SELECT DROP DOWN","BLANK","EQ")</f>
        <v>BLANK</v>
      </c>
      <c r="B2" s="190"/>
      <c r="C2" s="190"/>
      <c r="D2" s="43"/>
      <c r="E2" s="43"/>
      <c r="F2" s="43"/>
      <c r="G2" s="43"/>
      <c r="H2" s="43"/>
      <c r="I2" s="43"/>
      <c r="J2" s="43"/>
      <c r="K2" s="43"/>
      <c r="L2" s="43"/>
      <c r="M2" s="23"/>
      <c r="N2" s="44"/>
      <c r="O2" s="45"/>
      <c r="P2" s="39"/>
      <c r="Q2" s="39"/>
      <c r="R2" s="39"/>
      <c r="S2" s="39"/>
      <c r="T2" s="39"/>
      <c r="U2" s="39"/>
      <c r="V2" s="39"/>
      <c r="W2" s="23"/>
      <c r="X2" s="39"/>
      <c r="Y2" s="39"/>
      <c r="Z2" s="39"/>
      <c r="AA2" s="39"/>
      <c r="AB2" s="39"/>
      <c r="AC2" s="39"/>
      <c r="AD2" s="39"/>
      <c r="AE2" s="39"/>
      <c r="AF2" s="39"/>
      <c r="AG2" s="23"/>
      <c r="AH2" s="39"/>
      <c r="AI2" s="39"/>
      <c r="AJ2" s="39"/>
      <c r="AK2" s="39"/>
      <c r="AL2" s="39"/>
      <c r="AM2" s="39"/>
      <c r="AN2" s="39"/>
      <c r="AO2" s="39"/>
      <c r="AP2" s="39"/>
      <c r="AQ2" s="23"/>
      <c r="AR2" s="39"/>
      <c r="AS2" s="39"/>
      <c r="AT2" s="39"/>
      <c r="AU2" s="39"/>
      <c r="AV2" s="39"/>
      <c r="AW2" s="39"/>
      <c r="AX2" s="39"/>
      <c r="AY2" s="39"/>
      <c r="AZ2" s="39"/>
      <c r="BA2" s="23"/>
    </row>
    <row r="3" spans="1:53" ht="15" customHeight="1" thickBot="1" x14ac:dyDescent="0.4">
      <c r="A3" s="187" t="s">
        <v>257</v>
      </c>
      <c r="B3" s="187"/>
      <c r="C3" s="187"/>
      <c r="D3" s="43"/>
      <c r="E3" s="43"/>
      <c r="F3" s="43"/>
      <c r="G3" s="43"/>
      <c r="H3" s="43"/>
      <c r="I3" s="43"/>
      <c r="J3" s="43"/>
      <c r="K3" s="43"/>
      <c r="L3" s="43"/>
      <c r="M3" s="23"/>
      <c r="N3" s="44"/>
      <c r="O3" s="45"/>
      <c r="P3" s="39"/>
      <c r="Q3" s="39"/>
      <c r="R3" s="39"/>
      <c r="S3" s="39"/>
      <c r="T3" s="39"/>
      <c r="U3" s="39"/>
      <c r="V3" s="39"/>
      <c r="W3" s="23"/>
      <c r="X3" s="39"/>
      <c r="Y3" s="39"/>
      <c r="Z3" s="39"/>
      <c r="AA3" s="39"/>
      <c r="AB3" s="39"/>
      <c r="AC3" s="39"/>
      <c r="AD3" s="39"/>
      <c r="AE3" s="39"/>
      <c r="AF3" s="39"/>
      <c r="AG3" s="23"/>
      <c r="AH3" s="39"/>
      <c r="AI3" s="39"/>
      <c r="AJ3" s="39"/>
      <c r="AK3" s="39"/>
      <c r="AL3" s="39"/>
      <c r="AM3" s="39"/>
      <c r="AN3" s="39"/>
      <c r="AO3" s="39"/>
      <c r="AP3" s="39"/>
      <c r="AQ3" s="23"/>
      <c r="AR3" s="39"/>
      <c r="AS3" s="39"/>
      <c r="AT3" s="39"/>
      <c r="AU3" s="39"/>
      <c r="AV3" s="39"/>
      <c r="AW3" s="39"/>
      <c r="AX3" s="39"/>
      <c r="AY3" s="39"/>
      <c r="AZ3" s="39"/>
      <c r="BA3" s="23"/>
    </row>
    <row r="4" spans="1:53" ht="15" customHeight="1" thickBot="1" x14ac:dyDescent="0.4">
      <c r="A4" s="194" t="s">
        <v>358</v>
      </c>
      <c r="B4" s="195"/>
      <c r="C4" s="196"/>
      <c r="D4" s="43"/>
      <c r="E4" s="43"/>
      <c r="F4" s="43"/>
      <c r="G4" s="43"/>
      <c r="H4" s="43"/>
      <c r="I4" s="43"/>
      <c r="J4" s="43"/>
      <c r="K4" s="43"/>
      <c r="L4" s="43"/>
      <c r="M4" s="23"/>
      <c r="N4" s="44"/>
      <c r="O4" s="45"/>
      <c r="P4" s="39"/>
      <c r="Q4" s="39"/>
      <c r="R4" s="39"/>
      <c r="S4" s="39"/>
      <c r="T4" s="39"/>
      <c r="U4" s="39"/>
      <c r="V4" s="39"/>
      <c r="W4" s="23"/>
      <c r="X4" s="39"/>
      <c r="Y4" s="39"/>
      <c r="Z4" s="39"/>
      <c r="AA4" s="39"/>
      <c r="AB4" s="39"/>
      <c r="AC4" s="39"/>
      <c r="AD4" s="39"/>
      <c r="AE4" s="39"/>
      <c r="AF4" s="39"/>
      <c r="AG4" s="23"/>
      <c r="AH4" s="39"/>
      <c r="AI4" s="39"/>
      <c r="AJ4" s="39"/>
      <c r="AK4" s="39"/>
      <c r="AL4" s="39"/>
      <c r="AM4" s="39"/>
      <c r="AN4" s="39"/>
      <c r="AO4" s="39"/>
      <c r="AP4" s="39"/>
      <c r="AQ4" s="23"/>
      <c r="AR4" s="39"/>
      <c r="AS4" s="39"/>
      <c r="AT4" s="39"/>
      <c r="AU4" s="39"/>
      <c r="AV4" s="39"/>
      <c r="AW4" s="39"/>
      <c r="AX4" s="39"/>
      <c r="AY4" s="39"/>
      <c r="AZ4" s="39"/>
      <c r="BA4" s="23"/>
    </row>
    <row r="5" spans="1:53" ht="15" customHeight="1" x14ac:dyDescent="0.35">
      <c r="A5" s="200" t="str">
        <f>IF(A4="YES", "FILL OUT THIS TAB.", IF(A4="Select Drop Down","","NO ACTION NEEDED."))</f>
        <v/>
      </c>
      <c r="B5" s="200"/>
      <c r="C5" s="200"/>
      <c r="D5" s="43"/>
      <c r="E5" s="43"/>
      <c r="F5" s="43"/>
      <c r="G5" s="43"/>
      <c r="H5" s="43"/>
      <c r="I5" s="43"/>
      <c r="J5" s="43"/>
      <c r="K5" s="43"/>
      <c r="L5" s="43"/>
      <c r="M5" s="23"/>
      <c r="N5" s="44"/>
      <c r="O5" s="45"/>
      <c r="P5" s="39"/>
      <c r="Q5" s="39"/>
      <c r="R5" s="39"/>
      <c r="S5" s="39"/>
      <c r="T5" s="39"/>
      <c r="U5" s="39"/>
      <c r="V5" s="39"/>
      <c r="W5" s="23"/>
      <c r="X5" s="39"/>
      <c r="Y5" s="39"/>
      <c r="Z5" s="39"/>
      <c r="AA5" s="39"/>
      <c r="AB5" s="39"/>
      <c r="AC5" s="39"/>
      <c r="AD5" s="39"/>
      <c r="AE5" s="39"/>
      <c r="AF5" s="39"/>
      <c r="AG5" s="23"/>
      <c r="AH5" s="39"/>
      <c r="AI5" s="39"/>
      <c r="AJ5" s="39"/>
      <c r="AK5" s="39"/>
      <c r="AL5" s="39"/>
      <c r="AM5" s="39"/>
      <c r="AN5" s="39"/>
      <c r="AO5" s="39"/>
      <c r="AP5" s="39"/>
      <c r="AQ5" s="23"/>
      <c r="AR5" s="39"/>
      <c r="AS5" s="39"/>
      <c r="AT5" s="39"/>
      <c r="AU5" s="39"/>
      <c r="AV5" s="39"/>
      <c r="AW5" s="39"/>
      <c r="AX5" s="39"/>
      <c r="AY5" s="39"/>
      <c r="AZ5" s="39"/>
      <c r="BA5" s="23"/>
    </row>
    <row r="6" spans="1:53" ht="15" customHeight="1" x14ac:dyDescent="0.35">
      <c r="A6" s="188" t="s">
        <v>261</v>
      </c>
      <c r="B6" s="188"/>
      <c r="C6" s="188"/>
      <c r="D6" s="43"/>
      <c r="E6" s="43"/>
      <c r="F6" s="43"/>
      <c r="G6" s="43"/>
      <c r="H6" s="43"/>
      <c r="I6" s="43"/>
      <c r="J6" s="43"/>
      <c r="K6" s="43"/>
      <c r="L6" s="43"/>
      <c r="M6" s="23"/>
      <c r="N6" s="44"/>
      <c r="O6" s="45"/>
      <c r="P6" s="39"/>
      <c r="Q6" s="39"/>
      <c r="R6" s="39"/>
      <c r="S6" s="39"/>
      <c r="T6" s="39"/>
      <c r="U6" s="39"/>
      <c r="V6" s="39"/>
      <c r="W6" s="23"/>
      <c r="X6" s="39"/>
      <c r="Y6" s="39"/>
      <c r="Z6" s="39"/>
      <c r="AA6" s="39"/>
      <c r="AB6" s="39"/>
      <c r="AC6" s="39"/>
      <c r="AD6" s="39"/>
      <c r="AE6" s="39"/>
      <c r="AF6" s="39"/>
      <c r="AG6" s="23"/>
      <c r="AH6" s="39"/>
      <c r="AI6" s="39"/>
      <c r="AJ6" s="39"/>
      <c r="AK6" s="39"/>
      <c r="AL6" s="39"/>
      <c r="AM6" s="39"/>
      <c r="AN6" s="39"/>
      <c r="AO6" s="39"/>
      <c r="AP6" s="39"/>
      <c r="AQ6" s="23"/>
      <c r="AR6" s="39"/>
      <c r="AS6" s="39"/>
      <c r="AT6" s="39"/>
      <c r="AU6" s="39"/>
      <c r="AV6" s="39"/>
      <c r="AW6" s="39"/>
      <c r="AX6" s="39"/>
      <c r="AY6" s="39"/>
      <c r="AZ6" s="39"/>
      <c r="BA6" s="23"/>
    </row>
    <row r="7" spans="1:53" ht="15" customHeight="1" x14ac:dyDescent="0.35">
      <c r="A7" s="188"/>
      <c r="B7" s="188"/>
      <c r="C7" s="188"/>
      <c r="D7" s="43"/>
      <c r="E7" s="43"/>
      <c r="F7" s="43"/>
      <c r="G7" s="43"/>
      <c r="H7" s="43"/>
      <c r="I7" s="43"/>
      <c r="J7" s="43"/>
      <c r="K7" s="43"/>
      <c r="L7" s="43"/>
      <c r="M7" s="23"/>
      <c r="N7" s="44"/>
      <c r="O7" s="45"/>
      <c r="P7" s="39"/>
      <c r="Q7" s="39"/>
      <c r="R7" s="39"/>
      <c r="S7" s="39"/>
      <c r="T7" s="39"/>
      <c r="U7" s="39"/>
      <c r="V7" s="39"/>
      <c r="W7" s="23"/>
      <c r="X7" s="39"/>
      <c r="Y7" s="39"/>
      <c r="Z7" s="39"/>
      <c r="AA7" s="39"/>
      <c r="AB7" s="39"/>
      <c r="AC7" s="39"/>
      <c r="AD7" s="39"/>
      <c r="AE7" s="39"/>
      <c r="AF7" s="39"/>
      <c r="AG7" s="23"/>
      <c r="AH7" s="39"/>
      <c r="AI7" s="39"/>
      <c r="AJ7" s="39"/>
      <c r="AK7" s="39"/>
      <c r="AL7" s="39"/>
      <c r="AM7" s="39"/>
      <c r="AN7" s="39"/>
      <c r="AO7" s="39"/>
      <c r="AP7" s="39"/>
      <c r="AQ7" s="23"/>
      <c r="AR7" s="39"/>
      <c r="AS7" s="39"/>
      <c r="AT7" s="39"/>
      <c r="AU7" s="39"/>
      <c r="AV7" s="39"/>
      <c r="AW7" s="39"/>
      <c r="AX7" s="39"/>
      <c r="AY7" s="39"/>
      <c r="AZ7" s="39"/>
      <c r="BA7" s="23"/>
    </row>
    <row r="8" spans="1:53" ht="15" customHeight="1" x14ac:dyDescent="0.35">
      <c r="A8" s="188"/>
      <c r="B8" s="188"/>
      <c r="C8" s="188"/>
      <c r="D8" s="43"/>
      <c r="E8" s="43"/>
      <c r="F8" s="43"/>
      <c r="G8" s="43"/>
      <c r="H8" s="43"/>
      <c r="I8" s="43"/>
      <c r="J8" s="43"/>
      <c r="K8" s="43"/>
      <c r="L8" s="43"/>
      <c r="M8" s="23"/>
      <c r="N8" s="44"/>
      <c r="O8" s="45"/>
      <c r="P8" s="39"/>
      <c r="Q8" s="39"/>
      <c r="R8" s="39"/>
      <c r="S8" s="39"/>
      <c r="T8" s="39"/>
      <c r="U8" s="39"/>
      <c r="V8" s="39"/>
      <c r="W8" s="23"/>
      <c r="X8" s="39"/>
      <c r="Y8" s="39"/>
      <c r="Z8" s="39"/>
      <c r="AA8" s="39"/>
      <c r="AB8" s="39"/>
      <c r="AC8" s="39"/>
      <c r="AD8" s="39"/>
      <c r="AE8" s="39"/>
      <c r="AF8" s="39"/>
      <c r="AG8" s="23"/>
      <c r="AH8" s="39"/>
      <c r="AI8" s="39"/>
      <c r="AJ8" s="39"/>
      <c r="AK8" s="39"/>
      <c r="AL8" s="39"/>
      <c r="AM8" s="39"/>
      <c r="AN8" s="39"/>
      <c r="AO8" s="39"/>
      <c r="AP8" s="39"/>
      <c r="AQ8" s="23"/>
      <c r="AR8" s="39"/>
      <c r="AS8" s="39"/>
      <c r="AT8" s="39"/>
      <c r="AU8" s="39"/>
      <c r="AV8" s="39"/>
      <c r="AW8" s="39"/>
      <c r="AX8" s="39"/>
      <c r="AY8" s="39"/>
      <c r="AZ8" s="39"/>
      <c r="BA8" s="23"/>
    </row>
    <row r="9" spans="1:53" ht="15" customHeight="1" x14ac:dyDescent="0.35">
      <c r="A9" s="188"/>
      <c r="B9" s="188"/>
      <c r="C9" s="188"/>
      <c r="D9" s="43"/>
      <c r="E9" s="43"/>
      <c r="F9" s="43"/>
      <c r="G9" s="43"/>
      <c r="H9" s="43"/>
      <c r="I9" s="43"/>
      <c r="J9" s="43"/>
      <c r="K9" s="43"/>
      <c r="L9" s="43"/>
      <c r="M9" s="23"/>
      <c r="N9" s="44"/>
      <c r="O9" s="45"/>
      <c r="P9" s="39"/>
      <c r="Q9" s="39"/>
      <c r="R9" s="39"/>
      <c r="S9" s="39"/>
      <c r="T9" s="39"/>
      <c r="U9" s="39"/>
      <c r="V9" s="39"/>
      <c r="W9" s="23"/>
      <c r="X9" s="39"/>
      <c r="Y9" s="39"/>
      <c r="Z9" s="39"/>
      <c r="AA9" s="39"/>
      <c r="AB9" s="39"/>
      <c r="AC9" s="39"/>
      <c r="AD9" s="39"/>
      <c r="AE9" s="39"/>
      <c r="AF9" s="39"/>
      <c r="AG9" s="23"/>
      <c r="AH9" s="39"/>
      <c r="AI9" s="39"/>
      <c r="AJ9" s="39"/>
      <c r="AK9" s="39"/>
      <c r="AL9" s="39"/>
      <c r="AM9" s="39"/>
      <c r="AN9" s="39"/>
      <c r="AO9" s="39"/>
      <c r="AP9" s="39"/>
      <c r="AQ9" s="23"/>
      <c r="AR9" s="39"/>
      <c r="AS9" s="39"/>
      <c r="AT9" s="39"/>
      <c r="AU9" s="39"/>
      <c r="AV9" s="39"/>
      <c r="AW9" s="39"/>
      <c r="AX9" s="39"/>
      <c r="AY9" s="39"/>
      <c r="AZ9" s="39"/>
      <c r="BA9" s="23"/>
    </row>
    <row r="10" spans="1:53" ht="15" customHeight="1" x14ac:dyDescent="0.35">
      <c r="A10" s="188"/>
      <c r="B10" s="188"/>
      <c r="C10" s="188"/>
      <c r="D10" s="43"/>
      <c r="E10" s="43"/>
      <c r="F10" s="43"/>
      <c r="G10" s="43"/>
      <c r="H10" s="43"/>
      <c r="I10" s="43"/>
      <c r="J10" s="43"/>
      <c r="K10" s="43"/>
      <c r="L10" s="43"/>
      <c r="M10" s="23"/>
      <c r="N10" s="44"/>
      <c r="O10" s="45"/>
      <c r="P10" s="39"/>
      <c r="Q10" s="39"/>
      <c r="R10" s="39"/>
      <c r="S10" s="39"/>
      <c r="T10" s="39"/>
      <c r="U10" s="39"/>
      <c r="V10" s="39"/>
      <c r="W10" s="23"/>
      <c r="X10" s="39"/>
      <c r="Y10" s="39"/>
      <c r="Z10" s="39"/>
      <c r="AA10" s="39"/>
      <c r="AB10" s="39"/>
      <c r="AC10" s="39"/>
      <c r="AD10" s="39"/>
      <c r="AE10" s="39"/>
      <c r="AF10" s="39"/>
      <c r="AG10" s="23"/>
      <c r="AH10" s="39"/>
      <c r="AI10" s="39"/>
      <c r="AJ10" s="39"/>
      <c r="AK10" s="39"/>
      <c r="AL10" s="39"/>
      <c r="AM10" s="39"/>
      <c r="AN10" s="39"/>
      <c r="AO10" s="39"/>
      <c r="AP10" s="39"/>
      <c r="AQ10" s="23"/>
      <c r="AR10" s="39"/>
      <c r="AS10" s="39"/>
      <c r="AT10" s="39"/>
      <c r="AU10" s="39"/>
      <c r="AV10" s="39"/>
      <c r="AW10" s="39"/>
      <c r="AX10" s="39"/>
      <c r="AY10" s="39"/>
      <c r="AZ10" s="39"/>
      <c r="BA10" s="23"/>
    </row>
    <row r="11" spans="1:53" ht="15" customHeight="1" x14ac:dyDescent="0.35">
      <c r="A11" s="188"/>
      <c r="B11" s="188"/>
      <c r="C11" s="188"/>
      <c r="D11" s="43"/>
      <c r="E11" s="43"/>
      <c r="F11" s="43"/>
      <c r="G11" s="43"/>
      <c r="H11" s="43"/>
      <c r="I11" s="43"/>
      <c r="J11" s="43"/>
      <c r="K11" s="43"/>
      <c r="L11" s="43"/>
      <c r="M11" s="23"/>
      <c r="N11" s="44"/>
      <c r="O11" s="45"/>
      <c r="P11" s="39"/>
      <c r="Q11" s="39"/>
      <c r="R11" s="39"/>
      <c r="S11" s="39"/>
      <c r="T11" s="39"/>
      <c r="U11" s="39"/>
      <c r="V11" s="39"/>
      <c r="W11" s="23"/>
      <c r="X11" s="39"/>
      <c r="Y11" s="39"/>
      <c r="Z11" s="39"/>
      <c r="AA11" s="39"/>
      <c r="AB11" s="39"/>
      <c r="AC11" s="39"/>
      <c r="AD11" s="39"/>
      <c r="AE11" s="39"/>
      <c r="AF11" s="39"/>
      <c r="AG11" s="23"/>
      <c r="AH11" s="39"/>
      <c r="AI11" s="39"/>
      <c r="AJ11" s="39"/>
      <c r="AK11" s="39"/>
      <c r="AL11" s="39"/>
      <c r="AM11" s="39"/>
      <c r="AN11" s="39"/>
      <c r="AO11" s="39"/>
      <c r="AP11" s="39"/>
      <c r="AQ11" s="23"/>
      <c r="AR11" s="39"/>
      <c r="AS11" s="39"/>
      <c r="AT11" s="39"/>
      <c r="AU11" s="39"/>
      <c r="AV11" s="39"/>
      <c r="AW11" s="39"/>
      <c r="AX11" s="39"/>
      <c r="AY11" s="39"/>
      <c r="AZ11" s="39"/>
      <c r="BA11" s="23"/>
    </row>
    <row r="12" spans="1:53" ht="15" customHeight="1" x14ac:dyDescent="0.35">
      <c r="A12" s="188"/>
      <c r="B12" s="188"/>
      <c r="C12" s="188"/>
      <c r="D12" s="43"/>
      <c r="E12" s="43"/>
      <c r="F12" s="43"/>
      <c r="G12" s="43"/>
      <c r="H12" s="43"/>
      <c r="I12" s="43"/>
      <c r="J12" s="43"/>
      <c r="K12" s="43"/>
      <c r="L12" s="43"/>
      <c r="M12" s="23"/>
      <c r="N12" s="44"/>
      <c r="O12" s="45"/>
      <c r="P12" s="39"/>
      <c r="Q12" s="39"/>
      <c r="R12" s="39"/>
      <c r="S12" s="39"/>
      <c r="T12" s="39"/>
      <c r="U12" s="39"/>
      <c r="V12" s="39"/>
      <c r="W12" s="23"/>
      <c r="X12" s="39"/>
      <c r="Y12" s="39"/>
      <c r="Z12" s="39"/>
      <c r="AA12" s="39"/>
      <c r="AB12" s="39"/>
      <c r="AC12" s="39"/>
      <c r="AD12" s="39"/>
      <c r="AE12" s="39"/>
      <c r="AF12" s="39"/>
      <c r="AG12" s="23"/>
      <c r="AH12" s="39"/>
      <c r="AI12" s="39"/>
      <c r="AJ12" s="39"/>
      <c r="AK12" s="39"/>
      <c r="AL12" s="39"/>
      <c r="AM12" s="39"/>
      <c r="AN12" s="39"/>
      <c r="AO12" s="39"/>
      <c r="AP12" s="39"/>
      <c r="AQ12" s="23"/>
      <c r="AR12" s="39"/>
      <c r="AS12" s="39"/>
      <c r="AT12" s="39"/>
      <c r="AU12" s="39"/>
      <c r="AV12" s="39"/>
      <c r="AW12" s="39"/>
      <c r="AX12" s="39"/>
      <c r="AY12" s="39"/>
      <c r="AZ12" s="39"/>
      <c r="BA12" s="23"/>
    </row>
    <row r="13" spans="1:53" ht="15" customHeight="1" x14ac:dyDescent="0.35">
      <c r="A13" s="188"/>
      <c r="B13" s="188"/>
      <c r="C13" s="188"/>
      <c r="D13" s="118" t="s">
        <v>176</v>
      </c>
      <c r="E13" s="118"/>
      <c r="F13" s="118"/>
      <c r="G13" s="118"/>
      <c r="H13" s="118"/>
      <c r="I13" s="118"/>
      <c r="J13" s="118"/>
      <c r="K13" s="118"/>
      <c r="L13" s="118"/>
      <c r="M13" s="23"/>
      <c r="N13" s="118" t="s">
        <v>176</v>
      </c>
      <c r="O13" s="118"/>
      <c r="P13" s="118"/>
      <c r="Q13" s="118"/>
      <c r="R13" s="118"/>
      <c r="S13" s="118"/>
      <c r="T13" s="118"/>
      <c r="U13" s="118"/>
      <c r="V13" s="118"/>
      <c r="W13" s="23"/>
      <c r="X13" s="118" t="s">
        <v>176</v>
      </c>
      <c r="Y13" s="118"/>
      <c r="Z13" s="118"/>
      <c r="AA13" s="118"/>
      <c r="AB13" s="118"/>
      <c r="AC13" s="118"/>
      <c r="AD13" s="118"/>
      <c r="AE13" s="118"/>
      <c r="AF13" s="118"/>
      <c r="AG13" s="23"/>
      <c r="AH13" s="118" t="s">
        <v>176</v>
      </c>
      <c r="AI13" s="118"/>
      <c r="AJ13" s="118"/>
      <c r="AK13" s="118"/>
      <c r="AL13" s="118"/>
      <c r="AM13" s="118"/>
      <c r="AN13" s="118"/>
      <c r="AO13" s="118"/>
      <c r="AP13" s="118"/>
      <c r="AQ13" s="23"/>
      <c r="AR13" s="118" t="s">
        <v>176</v>
      </c>
      <c r="AS13" s="118"/>
      <c r="AT13" s="118"/>
      <c r="AU13" s="118"/>
      <c r="AV13" s="118"/>
      <c r="AW13" s="118"/>
      <c r="AX13" s="118"/>
      <c r="AY13" s="118"/>
      <c r="AZ13" s="118"/>
      <c r="BA13" s="23"/>
    </row>
    <row r="14" spans="1:53" ht="15" customHeight="1" x14ac:dyDescent="0.35">
      <c r="A14" s="188"/>
      <c r="B14" s="188"/>
      <c r="C14" s="188"/>
      <c r="D14" s="118"/>
      <c r="E14" s="118"/>
      <c r="F14" s="118"/>
      <c r="G14" s="118"/>
      <c r="H14" s="118"/>
      <c r="I14" s="118"/>
      <c r="J14" s="118"/>
      <c r="K14" s="118"/>
      <c r="L14" s="118"/>
      <c r="M14" s="23"/>
      <c r="N14" s="118"/>
      <c r="O14" s="118"/>
      <c r="P14" s="118"/>
      <c r="Q14" s="118"/>
      <c r="R14" s="118"/>
      <c r="S14" s="118"/>
      <c r="T14" s="118"/>
      <c r="U14" s="118"/>
      <c r="V14" s="118"/>
      <c r="W14" s="23"/>
      <c r="X14" s="118"/>
      <c r="Y14" s="118"/>
      <c r="Z14" s="118"/>
      <c r="AA14" s="118"/>
      <c r="AB14" s="118"/>
      <c r="AC14" s="118"/>
      <c r="AD14" s="118"/>
      <c r="AE14" s="118"/>
      <c r="AF14" s="118"/>
      <c r="AG14" s="23"/>
      <c r="AH14" s="118"/>
      <c r="AI14" s="118"/>
      <c r="AJ14" s="118"/>
      <c r="AK14" s="118"/>
      <c r="AL14" s="118"/>
      <c r="AM14" s="118"/>
      <c r="AN14" s="118"/>
      <c r="AO14" s="118"/>
      <c r="AP14" s="118"/>
      <c r="AQ14" s="23"/>
      <c r="AR14" s="118"/>
      <c r="AS14" s="118"/>
      <c r="AT14" s="118"/>
      <c r="AU14" s="118"/>
      <c r="AV14" s="118"/>
      <c r="AW14" s="118"/>
      <c r="AX14" s="118"/>
      <c r="AY14" s="118"/>
      <c r="AZ14" s="118"/>
      <c r="BA14" s="23"/>
    </row>
    <row r="15" spans="1:53" ht="15" customHeight="1" x14ac:dyDescent="0.35">
      <c r="A15" s="188"/>
      <c r="B15" s="188"/>
      <c r="C15" s="188"/>
      <c r="D15" s="43"/>
      <c r="E15" s="43"/>
      <c r="F15" s="43"/>
      <c r="G15" s="43"/>
      <c r="H15" s="43"/>
      <c r="I15" s="43"/>
      <c r="J15" s="43"/>
      <c r="K15" s="43"/>
      <c r="L15" s="43"/>
      <c r="M15" s="23"/>
      <c r="N15" s="44"/>
      <c r="O15" s="45"/>
      <c r="P15" s="39"/>
      <c r="Q15" s="39"/>
      <c r="R15" s="39"/>
      <c r="S15" s="39"/>
      <c r="T15" s="39"/>
      <c r="U15" s="39"/>
      <c r="V15" s="39"/>
      <c r="W15" s="23"/>
      <c r="X15" s="118"/>
      <c r="Y15" s="118"/>
      <c r="Z15" s="118"/>
      <c r="AA15" s="118"/>
      <c r="AB15" s="118"/>
      <c r="AC15" s="118"/>
      <c r="AD15" s="118"/>
      <c r="AE15" s="118"/>
      <c r="AF15" s="118"/>
      <c r="AG15" s="23"/>
      <c r="AH15" s="49"/>
      <c r="AI15" s="49"/>
      <c r="AJ15" s="49"/>
      <c r="AK15" s="49"/>
      <c r="AL15" s="49"/>
      <c r="AM15" s="49"/>
      <c r="AN15" s="49"/>
      <c r="AO15" s="49"/>
      <c r="AP15" s="49"/>
      <c r="AQ15" s="23"/>
      <c r="AR15" s="39"/>
      <c r="AS15" s="39"/>
      <c r="AT15" s="39"/>
      <c r="AU15" s="39"/>
      <c r="AV15" s="39"/>
      <c r="AW15" s="39"/>
      <c r="AX15" s="39"/>
      <c r="AY15" s="39"/>
      <c r="AZ15" s="39"/>
      <c r="BA15" s="23"/>
    </row>
    <row r="16" spans="1:53" ht="15" customHeight="1" x14ac:dyDescent="0.35">
      <c r="A16" s="188"/>
      <c r="B16" s="188"/>
      <c r="C16" s="188"/>
      <c r="D16" s="43"/>
      <c r="E16" s="43"/>
      <c r="F16" s="43"/>
      <c r="G16" s="43"/>
      <c r="H16" s="43"/>
      <c r="I16" s="43"/>
      <c r="J16" s="43"/>
      <c r="K16" s="43"/>
      <c r="L16" s="43"/>
      <c r="M16" s="23"/>
      <c r="N16" s="44"/>
      <c r="O16" s="45"/>
      <c r="P16" s="39"/>
      <c r="Q16" s="39"/>
      <c r="R16" s="39"/>
      <c r="S16" s="39"/>
      <c r="T16" s="39"/>
      <c r="U16" s="39"/>
      <c r="V16" s="39"/>
      <c r="W16" s="23"/>
      <c r="X16" s="118"/>
      <c r="Y16" s="118"/>
      <c r="Z16" s="118"/>
      <c r="AA16" s="118"/>
      <c r="AB16" s="118"/>
      <c r="AC16" s="118"/>
      <c r="AD16" s="118"/>
      <c r="AE16" s="118"/>
      <c r="AF16" s="118"/>
      <c r="AG16" s="23"/>
      <c r="AH16" s="49"/>
      <c r="AI16" s="49"/>
      <c r="AJ16" s="49"/>
      <c r="AK16" s="49"/>
      <c r="AL16" s="49"/>
      <c r="AM16" s="49"/>
      <c r="AN16" s="49"/>
      <c r="AO16" s="49"/>
      <c r="AP16" s="49"/>
      <c r="AQ16" s="23"/>
      <c r="AR16" s="39"/>
      <c r="AS16" s="39"/>
      <c r="AT16" s="39"/>
      <c r="AU16" s="39"/>
      <c r="AV16" s="39"/>
      <c r="AW16" s="39"/>
      <c r="AX16" s="39"/>
      <c r="AY16" s="39"/>
      <c r="AZ16" s="39"/>
      <c r="BA16" s="23"/>
    </row>
    <row r="17" spans="1:53" ht="15" customHeight="1" x14ac:dyDescent="0.35">
      <c r="A17" s="188"/>
      <c r="B17" s="188"/>
      <c r="C17" s="188"/>
      <c r="D17" s="43"/>
      <c r="E17" s="43"/>
      <c r="F17" s="43"/>
      <c r="G17" s="43"/>
      <c r="H17" s="43"/>
      <c r="I17" s="43"/>
      <c r="J17" s="43"/>
      <c r="K17" s="43"/>
      <c r="L17" s="43"/>
      <c r="M17" s="23"/>
      <c r="N17" s="44"/>
      <c r="O17" s="45"/>
      <c r="P17" s="39"/>
      <c r="Q17" s="39"/>
      <c r="R17" s="39"/>
      <c r="S17" s="39"/>
      <c r="T17" s="39"/>
      <c r="U17" s="39"/>
      <c r="V17" s="39"/>
      <c r="W17" s="23"/>
      <c r="X17" s="39"/>
      <c r="Y17" s="39"/>
      <c r="Z17" s="39"/>
      <c r="AA17" s="39"/>
      <c r="AB17" s="39"/>
      <c r="AC17" s="39"/>
      <c r="AD17" s="39"/>
      <c r="AE17" s="39"/>
      <c r="AF17" s="39"/>
      <c r="AG17" s="23"/>
      <c r="AH17" s="39"/>
      <c r="AI17" s="39"/>
      <c r="AJ17" s="39"/>
      <c r="AK17" s="39"/>
      <c r="AL17" s="39"/>
      <c r="AM17" s="39"/>
      <c r="AN17" s="39"/>
      <c r="AO17" s="39"/>
      <c r="AP17" s="39"/>
      <c r="AQ17" s="23"/>
      <c r="AR17" s="39"/>
      <c r="AS17" s="39"/>
      <c r="AT17" s="39"/>
      <c r="AU17" s="39"/>
      <c r="AV17" s="39"/>
      <c r="AW17" s="39"/>
      <c r="AX17" s="39"/>
      <c r="AY17" s="39"/>
      <c r="AZ17" s="39"/>
      <c r="BA17" s="23"/>
    </row>
    <row r="18" spans="1:53" ht="15" customHeight="1" x14ac:dyDescent="0.35">
      <c r="A18" s="188"/>
      <c r="B18" s="188"/>
      <c r="C18" s="188"/>
      <c r="D18" s="43"/>
      <c r="E18" s="43"/>
      <c r="F18" s="43"/>
      <c r="G18" s="43"/>
      <c r="H18" s="43"/>
      <c r="I18" s="43"/>
      <c r="J18" s="43"/>
      <c r="K18" s="43"/>
      <c r="L18" s="43"/>
      <c r="M18" s="23"/>
      <c r="N18" s="44"/>
      <c r="O18" s="45"/>
      <c r="P18" s="39"/>
      <c r="Q18" s="39"/>
      <c r="R18" s="39"/>
      <c r="S18" s="39"/>
      <c r="T18" s="39"/>
      <c r="U18" s="39"/>
      <c r="V18" s="39"/>
      <c r="W18" s="23"/>
      <c r="X18" s="39"/>
      <c r="Y18" s="39"/>
      <c r="Z18" s="39"/>
      <c r="AA18" s="39"/>
      <c r="AB18" s="39"/>
      <c r="AC18" s="39"/>
      <c r="AD18" s="39"/>
      <c r="AE18" s="39"/>
      <c r="AF18" s="39"/>
      <c r="AG18" s="23"/>
      <c r="AH18" s="39"/>
      <c r="AI18" s="39"/>
      <c r="AJ18" s="39"/>
      <c r="AK18" s="39"/>
      <c r="AL18" s="39"/>
      <c r="AM18" s="39"/>
      <c r="AN18" s="39"/>
      <c r="AO18" s="39"/>
      <c r="AP18" s="39"/>
      <c r="AQ18" s="23"/>
      <c r="AR18" s="39"/>
      <c r="AS18" s="39"/>
      <c r="AT18" s="39"/>
      <c r="AU18" s="39"/>
      <c r="AV18" s="39"/>
      <c r="AW18" s="39"/>
      <c r="AX18" s="39"/>
      <c r="AY18" s="39"/>
      <c r="AZ18" s="39"/>
      <c r="BA18" s="23"/>
    </row>
    <row r="19" spans="1:53" ht="15" customHeight="1" x14ac:dyDescent="0.35">
      <c r="A19" s="188"/>
      <c r="B19" s="188"/>
      <c r="C19" s="188"/>
      <c r="D19" s="43"/>
      <c r="E19" s="43"/>
      <c r="F19" s="43"/>
      <c r="G19" s="43"/>
      <c r="H19" s="43"/>
      <c r="I19" s="43"/>
      <c r="J19" s="43"/>
      <c r="K19" s="43"/>
      <c r="L19" s="43"/>
      <c r="M19" s="23"/>
      <c r="N19" s="44"/>
      <c r="O19" s="45"/>
      <c r="P19" s="39"/>
      <c r="Q19" s="39"/>
      <c r="R19" s="39"/>
      <c r="S19" s="39"/>
      <c r="T19" s="39"/>
      <c r="U19" s="39"/>
      <c r="V19" s="39"/>
      <c r="W19" s="23"/>
      <c r="X19" s="39"/>
      <c r="Y19" s="39"/>
      <c r="Z19" s="39"/>
      <c r="AA19" s="39"/>
      <c r="AB19" s="39"/>
      <c r="AC19" s="39"/>
      <c r="AD19" s="39"/>
      <c r="AE19" s="39"/>
      <c r="AF19" s="39"/>
      <c r="AG19" s="23"/>
      <c r="AH19" s="39"/>
      <c r="AI19" s="39"/>
      <c r="AJ19" s="39"/>
      <c r="AK19" s="39"/>
      <c r="AL19" s="39"/>
      <c r="AM19" s="39"/>
      <c r="AN19" s="39"/>
      <c r="AO19" s="39"/>
      <c r="AP19" s="39"/>
      <c r="AQ19" s="23"/>
      <c r="AR19" s="39"/>
      <c r="AS19" s="39"/>
      <c r="AT19" s="39"/>
      <c r="AU19" s="39"/>
      <c r="AV19" s="39"/>
      <c r="AW19" s="39"/>
      <c r="AX19" s="39"/>
      <c r="AY19" s="39"/>
      <c r="AZ19" s="39"/>
      <c r="BA19" s="23"/>
    </row>
    <row r="20" spans="1:53" ht="15" customHeight="1" x14ac:dyDescent="0.35">
      <c r="A20" s="192" t="str">
        <f>'T.2.5-6 Steel Tube Chassis'!C25</f>
        <v>Inch</v>
      </c>
      <c r="B20" s="192"/>
      <c r="C20" s="192"/>
      <c r="D20" s="43"/>
      <c r="E20" s="43"/>
      <c r="F20" s="43"/>
      <c r="G20" s="43"/>
      <c r="H20" s="43"/>
      <c r="I20" s="43"/>
      <c r="J20" s="43"/>
      <c r="K20" s="43"/>
      <c r="L20" s="43"/>
      <c r="M20" s="23"/>
      <c r="N20" s="44"/>
      <c r="O20" s="45"/>
      <c r="P20" s="39"/>
      <c r="Q20" s="39"/>
      <c r="R20" s="39"/>
      <c r="S20" s="39"/>
      <c r="T20" s="39"/>
      <c r="U20" s="39"/>
      <c r="V20" s="39"/>
      <c r="W20" s="23"/>
      <c r="X20" s="39"/>
      <c r="Y20" s="39"/>
      <c r="Z20" s="39"/>
      <c r="AA20" s="39"/>
      <c r="AB20" s="39"/>
      <c r="AC20" s="39"/>
      <c r="AD20" s="39"/>
      <c r="AE20" s="39"/>
      <c r="AF20" s="39"/>
      <c r="AG20" s="23"/>
      <c r="AH20" s="39"/>
      <c r="AI20" s="39"/>
      <c r="AJ20" s="39"/>
      <c r="AK20" s="39"/>
      <c r="AL20" s="39"/>
      <c r="AM20" s="39"/>
      <c r="AN20" s="39"/>
      <c r="AO20" s="39"/>
      <c r="AP20" s="39"/>
      <c r="AQ20" s="23"/>
      <c r="AR20" s="39"/>
      <c r="AS20" s="39"/>
      <c r="AT20" s="39"/>
      <c r="AU20" s="39"/>
      <c r="AV20" s="39"/>
      <c r="AW20" s="39"/>
      <c r="AX20" s="39"/>
      <c r="AY20" s="39"/>
      <c r="AZ20" s="39"/>
      <c r="BA20" s="23"/>
    </row>
    <row r="21" spans="1:53" ht="15" customHeight="1" x14ac:dyDescent="0.35">
      <c r="A21" s="192"/>
      <c r="B21" s="192"/>
      <c r="C21" s="192"/>
      <c r="D21" s="43"/>
      <c r="E21" s="43"/>
      <c r="F21" s="43"/>
      <c r="G21" s="43"/>
      <c r="H21" s="43"/>
      <c r="I21" s="43"/>
      <c r="J21" s="43"/>
      <c r="K21" s="43"/>
      <c r="L21" s="43"/>
      <c r="M21" s="23"/>
      <c r="N21" s="44"/>
      <c r="O21" s="45"/>
      <c r="P21" s="39"/>
      <c r="Q21" s="39"/>
      <c r="R21" s="39"/>
      <c r="S21" s="39"/>
      <c r="T21" s="39"/>
      <c r="U21" s="39"/>
      <c r="V21" s="39"/>
      <c r="W21" s="23"/>
      <c r="X21" s="39"/>
      <c r="Y21" s="39"/>
      <c r="Z21" s="39"/>
      <c r="AA21" s="39"/>
      <c r="AB21" s="39"/>
      <c r="AC21" s="39"/>
      <c r="AD21" s="39"/>
      <c r="AE21" s="39"/>
      <c r="AF21" s="39"/>
      <c r="AG21" s="23"/>
      <c r="AH21" s="39"/>
      <c r="AI21" s="39"/>
      <c r="AJ21" s="39"/>
      <c r="AK21" s="39"/>
      <c r="AL21" s="39"/>
      <c r="AM21" s="39"/>
      <c r="AN21" s="39"/>
      <c r="AO21" s="39"/>
      <c r="AP21" s="39"/>
      <c r="AQ21" s="23"/>
      <c r="AR21" s="39"/>
      <c r="AS21" s="39"/>
      <c r="AT21" s="39"/>
      <c r="AU21" s="39"/>
      <c r="AV21" s="39"/>
      <c r="AW21" s="39"/>
      <c r="AX21" s="39"/>
      <c r="AY21" s="39"/>
      <c r="AZ21" s="39"/>
      <c r="BA21" s="23"/>
    </row>
    <row r="22" spans="1:53" ht="15" customHeight="1" x14ac:dyDescent="0.35">
      <c r="A22" s="193" t="str">
        <f>IF(OR(A2="BLANK",COUNTIF(D30:AS31,"BLANK")),"BLANK",IF(COUNTIF(D30:AS31,"REJECT"),"REJECT",IF(COUNTIF(D30:AS31,"CHECK"),"CHECK","EQ")))</f>
        <v>BLANK</v>
      </c>
      <c r="B22" s="193"/>
      <c r="C22" s="193"/>
      <c r="D22" s="39"/>
      <c r="E22" s="39"/>
      <c r="F22" s="39"/>
      <c r="G22" s="39"/>
      <c r="H22" s="39"/>
      <c r="I22" s="39"/>
      <c r="J22" s="39"/>
      <c r="K22" s="39"/>
      <c r="L22" s="39"/>
      <c r="M22" s="20"/>
      <c r="N22" s="44"/>
      <c r="O22" s="40"/>
      <c r="P22" s="39"/>
      <c r="Q22" s="39"/>
      <c r="R22" s="39"/>
      <c r="S22" s="39"/>
      <c r="T22" s="39"/>
      <c r="U22" s="39"/>
      <c r="V22" s="39"/>
      <c r="W22" s="20"/>
      <c r="X22" s="39"/>
      <c r="Y22" s="39"/>
      <c r="Z22" s="39"/>
      <c r="AA22" s="39"/>
      <c r="AB22" s="39"/>
      <c r="AC22" s="39"/>
      <c r="AD22" s="39"/>
      <c r="AE22" s="39"/>
      <c r="AF22" s="39"/>
      <c r="AG22" s="20"/>
      <c r="AH22" s="39"/>
      <c r="AI22" s="39"/>
      <c r="AJ22" s="39"/>
      <c r="AK22" s="39"/>
      <c r="AL22" s="39"/>
      <c r="AM22" s="39"/>
      <c r="AN22" s="39"/>
      <c r="AO22" s="39"/>
      <c r="AP22" s="39"/>
      <c r="AQ22" s="20"/>
      <c r="AR22" s="39"/>
      <c r="AS22" s="39"/>
      <c r="AT22" s="39"/>
      <c r="AU22" s="39"/>
      <c r="AV22" s="39"/>
      <c r="AW22" s="39"/>
      <c r="AX22" s="39"/>
      <c r="AY22" s="39"/>
      <c r="AZ22" s="39"/>
      <c r="BA22" s="20"/>
    </row>
    <row r="23" spans="1:53" ht="15" customHeight="1" x14ac:dyDescent="0.35">
      <c r="A23" s="193"/>
      <c r="B23" s="193"/>
      <c r="C23" s="193"/>
      <c r="D23" s="39"/>
      <c r="E23" s="39"/>
      <c r="F23" s="39"/>
      <c r="G23" s="39"/>
      <c r="H23" s="39"/>
      <c r="I23" s="39"/>
      <c r="J23" s="39"/>
      <c r="K23" s="39"/>
      <c r="L23" s="39"/>
      <c r="M23" s="20"/>
      <c r="N23" s="44"/>
      <c r="O23" s="40"/>
      <c r="P23" s="39"/>
      <c r="Q23" s="39"/>
      <c r="R23" s="39"/>
      <c r="S23" s="39"/>
      <c r="T23" s="39"/>
      <c r="U23" s="39"/>
      <c r="V23" s="39"/>
      <c r="W23" s="20"/>
      <c r="X23" s="39"/>
      <c r="Y23" s="39"/>
      <c r="Z23" s="39"/>
      <c r="AA23" s="39"/>
      <c r="AB23" s="39"/>
      <c r="AC23" s="39"/>
      <c r="AD23" s="39"/>
      <c r="AE23" s="39"/>
      <c r="AF23" s="39"/>
      <c r="AG23" s="20"/>
      <c r="AH23" s="39"/>
      <c r="AI23" s="39"/>
      <c r="AJ23" s="39"/>
      <c r="AK23" s="39"/>
      <c r="AL23" s="39"/>
      <c r="AM23" s="39"/>
      <c r="AN23" s="39"/>
      <c r="AO23" s="39"/>
      <c r="AP23" s="39"/>
      <c r="AQ23" s="20"/>
      <c r="AR23" s="39"/>
      <c r="AS23" s="39"/>
      <c r="AT23" s="39"/>
      <c r="AU23" s="39"/>
      <c r="AV23" s="39"/>
      <c r="AW23" s="39"/>
      <c r="AX23" s="39"/>
      <c r="AY23" s="39"/>
      <c r="AZ23" s="39"/>
      <c r="BA23" s="20"/>
    </row>
    <row r="24" spans="1:53" ht="15" customHeight="1" x14ac:dyDescent="0.35">
      <c r="A24" s="193"/>
      <c r="B24" s="193"/>
      <c r="C24" s="193"/>
      <c r="D24" s="39"/>
      <c r="E24" s="39"/>
      <c r="F24" s="39"/>
      <c r="G24" s="39"/>
      <c r="H24" s="39"/>
      <c r="I24" s="39"/>
      <c r="J24" s="39"/>
      <c r="K24" s="39"/>
      <c r="L24" s="39"/>
      <c r="M24" s="24"/>
      <c r="N24" s="46"/>
      <c r="O24" s="47"/>
      <c r="P24" s="47"/>
      <c r="Q24" s="46"/>
      <c r="R24" s="39"/>
      <c r="S24" s="39"/>
      <c r="T24" s="39"/>
      <c r="U24" s="39"/>
      <c r="V24" s="39"/>
      <c r="W24" s="24"/>
      <c r="X24" s="39"/>
      <c r="Y24" s="39"/>
      <c r="Z24" s="39"/>
      <c r="AA24" s="39"/>
      <c r="AB24" s="39"/>
      <c r="AC24" s="39"/>
      <c r="AD24" s="39"/>
      <c r="AE24" s="39"/>
      <c r="AF24" s="39"/>
      <c r="AG24" s="24"/>
      <c r="AH24" s="39"/>
      <c r="AI24" s="39"/>
      <c r="AJ24" s="39"/>
      <c r="AK24" s="39"/>
      <c r="AL24" s="39"/>
      <c r="AM24" s="39"/>
      <c r="AN24" s="39"/>
      <c r="AO24" s="39"/>
      <c r="AP24" s="39"/>
      <c r="AQ24" s="24"/>
      <c r="AR24" s="39"/>
      <c r="AS24" s="39"/>
      <c r="AT24" s="39"/>
      <c r="AU24" s="39"/>
      <c r="AV24" s="39"/>
      <c r="AW24" s="39"/>
      <c r="AX24" s="39"/>
      <c r="AY24" s="39"/>
      <c r="AZ24" s="39"/>
      <c r="BA24" s="24"/>
    </row>
    <row r="25" spans="1:53" ht="15" customHeight="1" x14ac:dyDescent="0.35">
      <c r="A25" s="193"/>
      <c r="B25" s="193"/>
      <c r="C25" s="193"/>
      <c r="D25" s="39"/>
      <c r="E25" s="39"/>
      <c r="F25" s="39"/>
      <c r="G25" s="39"/>
      <c r="H25" s="39"/>
      <c r="I25" s="39"/>
      <c r="J25" s="39"/>
      <c r="K25" s="39"/>
      <c r="L25" s="39"/>
      <c r="M25" s="24"/>
      <c r="N25" s="46"/>
      <c r="O25" s="47"/>
      <c r="P25" s="47"/>
      <c r="Q25" s="46"/>
      <c r="R25" s="39"/>
      <c r="S25" s="39"/>
      <c r="T25" s="39"/>
      <c r="U25" s="39"/>
      <c r="V25" s="39"/>
      <c r="W25" s="24"/>
      <c r="X25" s="39"/>
      <c r="Y25" s="39"/>
      <c r="Z25" s="39"/>
      <c r="AA25" s="39"/>
      <c r="AB25" s="39"/>
      <c r="AC25" s="39"/>
      <c r="AD25" s="39"/>
      <c r="AE25" s="39"/>
      <c r="AF25" s="39"/>
      <c r="AG25" s="24"/>
      <c r="AH25" s="39"/>
      <c r="AI25" s="39"/>
      <c r="AJ25" s="39"/>
      <c r="AK25" s="39"/>
      <c r="AL25" s="39"/>
      <c r="AM25" s="39"/>
      <c r="AN25" s="39"/>
      <c r="AO25" s="39"/>
      <c r="AP25" s="39"/>
      <c r="AQ25" s="24"/>
      <c r="AR25" s="39"/>
      <c r="AS25" s="39"/>
      <c r="AT25" s="39"/>
      <c r="AU25" s="39"/>
      <c r="AV25" s="39"/>
      <c r="AW25" s="39"/>
      <c r="AX25" s="39"/>
      <c r="AY25" s="39"/>
      <c r="AZ25" s="39"/>
      <c r="BA25" s="24"/>
    </row>
    <row r="26" spans="1:53" ht="15" customHeight="1" x14ac:dyDescent="0.35">
      <c r="A26" s="193"/>
      <c r="B26" s="193"/>
      <c r="C26" s="193"/>
      <c r="D26" s="39"/>
      <c r="E26" s="39"/>
      <c r="F26" s="39"/>
      <c r="G26" s="39"/>
      <c r="H26" s="39"/>
      <c r="I26" s="39"/>
      <c r="J26" s="39"/>
      <c r="K26" s="39"/>
      <c r="L26" s="39"/>
      <c r="M26" s="24"/>
      <c r="N26" s="46"/>
      <c r="O26" s="47"/>
      <c r="P26" s="47"/>
      <c r="Q26" s="46"/>
      <c r="R26" s="39"/>
      <c r="S26" s="39"/>
      <c r="T26" s="39"/>
      <c r="U26" s="39"/>
      <c r="V26" s="39"/>
      <c r="W26" s="24"/>
      <c r="X26" s="39"/>
      <c r="Y26" s="39"/>
      <c r="Z26" s="39"/>
      <c r="AA26" s="39"/>
      <c r="AB26" s="39"/>
      <c r="AC26" s="39"/>
      <c r="AD26" s="39"/>
      <c r="AE26" s="39"/>
      <c r="AF26" s="39"/>
      <c r="AG26" s="24"/>
      <c r="AH26" s="39"/>
      <c r="AI26" s="39"/>
      <c r="AJ26" s="39"/>
      <c r="AK26" s="39"/>
      <c r="AL26" s="39"/>
      <c r="AM26" s="39"/>
      <c r="AN26" s="39"/>
      <c r="AO26" s="39"/>
      <c r="AP26" s="39"/>
      <c r="AQ26" s="24"/>
      <c r="AR26" s="39"/>
      <c r="AS26" s="39"/>
      <c r="AT26" s="39"/>
      <c r="AU26" s="39"/>
      <c r="AV26" s="39"/>
      <c r="AW26" s="39"/>
      <c r="AX26" s="39"/>
      <c r="AY26" s="39"/>
      <c r="AZ26" s="39"/>
      <c r="BA26" s="24"/>
    </row>
    <row r="27" spans="1:53" ht="15" customHeight="1" x14ac:dyDescent="0.35">
      <c r="A27" s="193"/>
      <c r="B27" s="193"/>
      <c r="C27" s="193"/>
      <c r="D27" s="39"/>
      <c r="E27" s="39"/>
      <c r="F27" s="39"/>
      <c r="G27" s="39"/>
      <c r="H27" s="39"/>
      <c r="I27" s="39"/>
      <c r="J27" s="39"/>
      <c r="K27" s="39"/>
      <c r="L27" s="39"/>
      <c r="M27" s="20"/>
      <c r="N27" s="48"/>
      <c r="O27" s="40"/>
      <c r="P27" s="39"/>
      <c r="Q27" s="39"/>
      <c r="R27" s="39"/>
      <c r="S27" s="39"/>
      <c r="T27" s="39"/>
      <c r="U27" s="39"/>
      <c r="V27" s="39"/>
      <c r="W27" s="20"/>
      <c r="X27" s="39"/>
      <c r="Y27" s="39"/>
      <c r="Z27" s="39"/>
      <c r="AA27" s="39"/>
      <c r="AB27" s="39"/>
      <c r="AC27" s="39"/>
      <c r="AD27" s="39"/>
      <c r="AE27" s="39"/>
      <c r="AF27" s="39"/>
      <c r="AG27" s="20"/>
      <c r="AH27" s="39"/>
      <c r="AI27" s="39"/>
      <c r="AJ27" s="39"/>
      <c r="AK27" s="39"/>
      <c r="AL27" s="39"/>
      <c r="AM27" s="39"/>
      <c r="AN27" s="39"/>
      <c r="AO27" s="39"/>
      <c r="AP27" s="39"/>
      <c r="AQ27" s="20"/>
      <c r="AR27" s="39"/>
      <c r="AS27" s="39"/>
      <c r="AT27" s="39"/>
      <c r="AU27" s="39"/>
      <c r="AV27" s="39"/>
      <c r="AW27" s="39"/>
      <c r="AX27" s="39"/>
      <c r="AY27" s="39"/>
      <c r="AZ27" s="39"/>
      <c r="BA27" s="20"/>
    </row>
    <row r="28" spans="1:53" ht="15" customHeight="1" x14ac:dyDescent="0.35">
      <c r="A28" s="193"/>
      <c r="B28" s="193"/>
      <c r="C28" s="193"/>
      <c r="D28" s="100"/>
      <c r="E28" s="100"/>
      <c r="F28" s="100"/>
      <c r="G28" s="100"/>
      <c r="H28" s="100"/>
      <c r="I28" s="100"/>
      <c r="J28" s="100"/>
      <c r="K28" s="100"/>
      <c r="L28" s="100"/>
      <c r="M28" s="20"/>
      <c r="N28" s="101"/>
      <c r="O28" s="102"/>
      <c r="P28" s="100"/>
      <c r="Q28" s="100"/>
      <c r="R28" s="100"/>
      <c r="S28" s="100"/>
      <c r="T28" s="100"/>
      <c r="U28" s="100"/>
      <c r="V28" s="100"/>
      <c r="W28" s="20"/>
      <c r="X28" s="100"/>
      <c r="Y28" s="100"/>
      <c r="Z28" s="100"/>
      <c r="AA28" s="100"/>
      <c r="AB28" s="100"/>
      <c r="AC28" s="100"/>
      <c r="AD28" s="100"/>
      <c r="AE28" s="100"/>
      <c r="AF28" s="100"/>
      <c r="AG28" s="20"/>
      <c r="AH28" s="100"/>
      <c r="AI28" s="100"/>
      <c r="AJ28" s="100"/>
      <c r="AK28" s="100"/>
      <c r="AL28" s="100"/>
      <c r="AM28" s="100"/>
      <c r="AN28" s="100"/>
      <c r="AO28" s="100"/>
      <c r="AP28" s="100"/>
      <c r="AQ28" s="20"/>
      <c r="AR28" s="100"/>
      <c r="AS28" s="100"/>
      <c r="AT28" s="100"/>
      <c r="AU28" s="100"/>
      <c r="AV28" s="100"/>
      <c r="AW28" s="100"/>
      <c r="AX28" s="100"/>
      <c r="AY28" s="100"/>
      <c r="AZ28" s="100"/>
      <c r="BA28" s="20"/>
    </row>
    <row r="29" spans="1:53" ht="15" customHeight="1" x14ac:dyDescent="0.35">
      <c r="A29" s="193"/>
      <c r="B29" s="193"/>
      <c r="C29" s="193"/>
      <c r="D29" s="121" t="s">
        <v>361</v>
      </c>
      <c r="E29" s="121"/>
      <c r="F29" s="121"/>
      <c r="G29" s="121"/>
      <c r="H29" s="121"/>
      <c r="I29" s="121"/>
      <c r="J29" s="121"/>
      <c r="K29" s="121"/>
      <c r="L29" s="121"/>
      <c r="M29" s="20"/>
      <c r="N29" s="121" t="s">
        <v>361</v>
      </c>
      <c r="O29" s="121"/>
      <c r="P29" s="121"/>
      <c r="Q29" s="121"/>
      <c r="R29" s="121"/>
      <c r="S29" s="121"/>
      <c r="T29" s="121"/>
      <c r="U29" s="121"/>
      <c r="V29" s="121"/>
      <c r="W29" s="20"/>
      <c r="X29" s="121" t="s">
        <v>361</v>
      </c>
      <c r="Y29" s="121"/>
      <c r="Z29" s="121"/>
      <c r="AA29" s="121"/>
      <c r="AB29" s="121"/>
      <c r="AC29" s="121"/>
      <c r="AD29" s="121"/>
      <c r="AE29" s="121"/>
      <c r="AF29" s="121"/>
      <c r="AG29" s="20"/>
      <c r="AH29" s="121" t="s">
        <v>361</v>
      </c>
      <c r="AI29" s="121"/>
      <c r="AJ29" s="121"/>
      <c r="AK29" s="121"/>
      <c r="AL29" s="121"/>
      <c r="AM29" s="121"/>
      <c r="AN29" s="121"/>
      <c r="AO29" s="121"/>
      <c r="AP29" s="121"/>
      <c r="AQ29" s="20"/>
      <c r="AR29" s="121" t="s">
        <v>361</v>
      </c>
      <c r="AS29" s="121"/>
      <c r="AT29" s="121"/>
      <c r="AU29" s="121"/>
      <c r="AV29" s="121"/>
      <c r="AW29" s="121"/>
      <c r="AX29" s="121"/>
      <c r="AY29" s="121"/>
      <c r="AZ29" s="121"/>
      <c r="BA29" s="20"/>
    </row>
    <row r="30" spans="1:53" ht="15" customHeight="1" x14ac:dyDescent="0.35">
      <c r="A30" s="193"/>
      <c r="B30" s="193"/>
      <c r="C30" s="193"/>
      <c r="D30" s="125" t="str">
        <f>IF(COUNTIF(D33:M52,"BLANK"),"BLANK",IF(COUNTIF(D33:M52,"REJECT"),"REJECT",IF(COUNTIF(D33:M52,"CHECK"),"CHECK","EQ")))</f>
        <v>EQ</v>
      </c>
      <c r="E30" s="125"/>
      <c r="F30" s="125" t="s">
        <v>177</v>
      </c>
      <c r="G30" s="125"/>
      <c r="H30" s="125"/>
      <c r="I30" s="125"/>
      <c r="J30" s="125"/>
      <c r="K30" s="125"/>
      <c r="L30" s="125"/>
      <c r="N30" s="125" t="str">
        <f>IF(COUNTIF(N33:W52,"BLANK"),"BLANK",IF(COUNTIF(N33:W52,"REJECT"),"REJECT",IF(COUNTIF(N33:W52,"CHECK"),"CHECK","EQ")))</f>
        <v>EQ</v>
      </c>
      <c r="O30" s="125"/>
      <c r="P30" s="125" t="s">
        <v>177</v>
      </c>
      <c r="Q30" s="125"/>
      <c r="R30" s="125"/>
      <c r="S30" s="125"/>
      <c r="T30" s="125"/>
      <c r="U30" s="125"/>
      <c r="V30" s="125"/>
      <c r="X30" s="125" t="str">
        <f>IF(COUNTIF(X33:AG52,"BLANK"),"BLANK",IF(COUNTIF(X33:AG52,"REJECT"),"REJECT",IF(COUNTIF(X33:AG52,"CHECK"),"CHECK","EQ")))</f>
        <v>EQ</v>
      </c>
      <c r="Y30" s="125"/>
      <c r="Z30" s="125" t="s">
        <v>177</v>
      </c>
      <c r="AA30" s="125"/>
      <c r="AB30" s="125"/>
      <c r="AC30" s="125"/>
      <c r="AD30" s="125"/>
      <c r="AE30" s="125"/>
      <c r="AF30" s="125"/>
      <c r="AH30" s="125" t="str">
        <f>IF(COUNTIF(AH33:AQ52,"BLANK"),"BLANK",IF(COUNTIF(AH33:AQ52,"REJECT"),"REJECT",IF(COUNTIF(AH33:AQ52,"CHECK"),"CHECK","EQ")))</f>
        <v>EQ</v>
      </c>
      <c r="AI30" s="125"/>
      <c r="AJ30" s="125" t="s">
        <v>177</v>
      </c>
      <c r="AK30" s="125"/>
      <c r="AL30" s="125"/>
      <c r="AM30" s="125"/>
      <c r="AN30" s="125"/>
      <c r="AO30" s="125"/>
      <c r="AP30" s="125"/>
      <c r="AR30" s="125" t="str">
        <f>IF(COUNTIF(AR33:BA52,"BLANK"),"BLANK",IF(COUNTIF(AR33:BA52,"REJECT"),"REJECT",IF(COUNTIF(AR33:BA52,"CHECK"),"CHECK","EQ")))</f>
        <v>EQ</v>
      </c>
      <c r="AS30" s="125"/>
      <c r="AT30" s="125" t="s">
        <v>177</v>
      </c>
      <c r="AU30" s="125"/>
      <c r="AV30" s="125"/>
      <c r="AW30" s="125"/>
      <c r="AX30" s="125"/>
      <c r="AY30" s="125"/>
      <c r="AZ30" s="125"/>
    </row>
    <row r="31" spans="1:53" ht="15" customHeight="1" x14ac:dyDescent="0.35">
      <c r="D31" s="125"/>
      <c r="E31" s="125"/>
      <c r="F31" s="125"/>
      <c r="G31" s="125"/>
      <c r="H31" s="125"/>
      <c r="I31" s="125"/>
      <c r="J31" s="125"/>
      <c r="K31" s="125"/>
      <c r="L31" s="125"/>
      <c r="N31" s="125"/>
      <c r="O31" s="125"/>
      <c r="P31" s="125"/>
      <c r="Q31" s="125"/>
      <c r="R31" s="125"/>
      <c r="S31" s="125"/>
      <c r="T31" s="125"/>
      <c r="U31" s="125"/>
      <c r="V31" s="125"/>
      <c r="X31" s="125"/>
      <c r="Y31" s="125"/>
      <c r="Z31" s="125"/>
      <c r="AA31" s="125"/>
      <c r="AB31" s="125"/>
      <c r="AC31" s="125"/>
      <c r="AD31" s="125"/>
      <c r="AE31" s="125"/>
      <c r="AF31" s="125"/>
      <c r="AH31" s="125"/>
      <c r="AI31" s="125"/>
      <c r="AJ31" s="125"/>
      <c r="AK31" s="125"/>
      <c r="AL31" s="125"/>
      <c r="AM31" s="125"/>
      <c r="AN31" s="125"/>
      <c r="AO31" s="125"/>
      <c r="AP31" s="125"/>
      <c r="AR31" s="125"/>
      <c r="AS31" s="125"/>
      <c r="AT31" s="125"/>
      <c r="AU31" s="125"/>
      <c r="AV31" s="125"/>
      <c r="AW31" s="125"/>
      <c r="AX31" s="125"/>
      <c r="AY31" s="125"/>
      <c r="AZ31" s="125"/>
    </row>
    <row r="32" spans="1:53" ht="15" customHeight="1" x14ac:dyDescent="0.35">
      <c r="A32" s="189">
        <f>'T.2.5-6 Steel Tube Chassis'!$M$1</f>
        <v>2019</v>
      </c>
      <c r="B32" s="190"/>
      <c r="C32" s="190"/>
      <c r="D32" s="27"/>
      <c r="E32" s="27"/>
      <c r="F32" s="27"/>
      <c r="G32" s="27"/>
      <c r="H32" s="27"/>
      <c r="I32" s="27"/>
      <c r="J32" s="27"/>
      <c r="K32" s="27"/>
      <c r="L32" s="27"/>
      <c r="N32" s="27"/>
      <c r="O32" s="27"/>
      <c r="P32" s="27"/>
      <c r="Q32" s="27"/>
      <c r="R32" s="27"/>
      <c r="S32" s="27"/>
      <c r="T32" s="27"/>
      <c r="U32" s="27"/>
      <c r="V32" s="27"/>
      <c r="X32" s="27"/>
      <c r="Y32" s="27"/>
      <c r="Z32" s="27"/>
      <c r="AA32" s="27"/>
      <c r="AB32" s="27"/>
      <c r="AC32" s="27"/>
      <c r="AD32" s="27"/>
      <c r="AE32" s="27"/>
      <c r="AF32" s="27"/>
      <c r="AH32" s="27"/>
      <c r="AI32" s="27"/>
      <c r="AJ32" s="27"/>
      <c r="AK32" s="27"/>
      <c r="AL32" s="27"/>
      <c r="AM32" s="27"/>
      <c r="AN32" s="27"/>
      <c r="AO32" s="27"/>
      <c r="AP32" s="27"/>
      <c r="AR32" s="27"/>
      <c r="AS32" s="27"/>
      <c r="AT32" s="27"/>
      <c r="AU32" s="27"/>
      <c r="AV32" s="27"/>
      <c r="AW32" s="27"/>
      <c r="AX32" s="27"/>
      <c r="AY32" s="27"/>
      <c r="AZ32" s="27"/>
    </row>
    <row r="33" spans="1:53" ht="15" customHeight="1" thickBot="1" x14ac:dyDescent="0.4">
      <c r="A33" s="187">
        <f>'T.2.5-6 Steel Tube Chassis'!$D$1</f>
        <v>0</v>
      </c>
      <c r="B33" s="187"/>
      <c r="C33" s="187"/>
      <c r="D33" s="108" t="str">
        <f>IF(COUNTIF(L34,"BLANK"),"BLANK",IF(COUNTIF(L34,"REJECT"),"REJECT",IF(COUNTIF(L34,"CHECK"),"CHECK","EQ")))</f>
        <v>EQ</v>
      </c>
      <c r="E33" s="108"/>
      <c r="F33" s="108"/>
      <c r="G33" s="108"/>
      <c r="H33" s="108"/>
      <c r="I33" s="108"/>
      <c r="J33" s="108"/>
      <c r="K33" s="108"/>
      <c r="L33" s="108"/>
      <c r="N33" s="108" t="str">
        <f>IF(COUNTIF(V34,"BLANK"),"BLANK",IF(COUNTIF(V34,"REJECT"),"REJECT",IF(COUNTIF(V34,"CHECK"),"CHECK","EQ")))</f>
        <v>EQ</v>
      </c>
      <c r="O33" s="108"/>
      <c r="P33" s="108"/>
      <c r="Q33" s="108"/>
      <c r="R33" s="108"/>
      <c r="S33" s="108"/>
      <c r="T33" s="108"/>
      <c r="U33" s="108"/>
      <c r="V33" s="108"/>
      <c r="X33" s="108" t="str">
        <f>IF(COUNTIF(AF34,"BLANK"),"BLANK",IF(COUNTIF(AF34,"REJECT"),"REJECT",IF(COUNTIF(AF34,"CHECK"),"CHECK","EQ")))</f>
        <v>EQ</v>
      </c>
      <c r="Y33" s="108"/>
      <c r="Z33" s="108"/>
      <c r="AA33" s="108"/>
      <c r="AB33" s="108"/>
      <c r="AC33" s="108"/>
      <c r="AD33" s="108"/>
      <c r="AE33" s="108"/>
      <c r="AF33" s="108"/>
      <c r="AH33" s="108" t="str">
        <f>IF(COUNTIF(AP34,"BLANK"),"BLANK",IF(COUNTIF(AP34,"REJECT"),"REJECT",IF(COUNTIF(AP34,"CHECK"),"CHECK","EQ")))</f>
        <v>EQ</v>
      </c>
      <c r="AI33" s="108"/>
      <c r="AJ33" s="108"/>
      <c r="AK33" s="108"/>
      <c r="AL33" s="108"/>
      <c r="AM33" s="108"/>
      <c r="AN33" s="108"/>
      <c r="AO33" s="108"/>
      <c r="AP33" s="108"/>
      <c r="AR33" s="108" t="str">
        <f>IF(COUNTIF(AZ34,"BLANK"),"BLANK",IF(COUNTIF(AZ34,"REJECT"),"REJECT",IF(COUNTIF(AZ34,"CHECK"),"CHECK","EQ")))</f>
        <v>EQ</v>
      </c>
      <c r="AS33" s="108"/>
      <c r="AT33" s="108"/>
      <c r="AU33" s="108"/>
      <c r="AV33" s="108"/>
      <c r="AW33" s="108"/>
      <c r="AX33" s="108"/>
      <c r="AY33" s="108"/>
      <c r="AZ33" s="108"/>
    </row>
    <row r="34" spans="1:53" ht="15" customHeight="1" thickBot="1" x14ac:dyDescent="0.4">
      <c r="A34" s="191">
        <f>'T.2.5-6 Steel Tube Chassis'!$D$2</f>
        <v>0</v>
      </c>
      <c r="B34" s="191"/>
      <c r="C34" s="191"/>
      <c r="D34" s="30" t="s">
        <v>181</v>
      </c>
      <c r="E34" s="105" t="s">
        <v>182</v>
      </c>
      <c r="F34" s="105"/>
      <c r="G34" s="105"/>
      <c r="H34" s="105"/>
      <c r="I34" s="105"/>
      <c r="J34" s="165" t="s">
        <v>146</v>
      </c>
      <c r="K34" s="167"/>
      <c r="L34" s="29" t="str">
        <f>IF(AND(NOT(A5="FILL OUT THIS TAB."),J34="Select drop down:",J39=""),"EQ",IF(J34="Select drop down:","BLANK","EQ"))</f>
        <v>EQ</v>
      </c>
      <c r="N34" s="30" t="s">
        <v>181</v>
      </c>
      <c r="O34" s="105" t="s">
        <v>182</v>
      </c>
      <c r="P34" s="105"/>
      <c r="Q34" s="105"/>
      <c r="R34" s="105"/>
      <c r="S34" s="105"/>
      <c r="T34" s="165" t="s">
        <v>146</v>
      </c>
      <c r="U34" s="167"/>
      <c r="V34" s="29" t="str">
        <f>IF(AND(T34="Select drop down:",T49=""),"EQ",IF(T34="Select drop down:","BLANK","EQ"))</f>
        <v>EQ</v>
      </c>
      <c r="X34" s="30" t="s">
        <v>181</v>
      </c>
      <c r="Y34" s="105" t="s">
        <v>182</v>
      </c>
      <c r="Z34" s="105"/>
      <c r="AA34" s="105"/>
      <c r="AB34" s="105"/>
      <c r="AC34" s="105"/>
      <c r="AD34" s="165" t="s">
        <v>146</v>
      </c>
      <c r="AE34" s="167"/>
      <c r="AF34" s="29" t="str">
        <f>IF(AND(AD34="Select drop down:",AD49=""),"EQ",IF(AD34="Select drop down:","BLANK","EQ"))</f>
        <v>EQ</v>
      </c>
      <c r="AH34" s="30" t="s">
        <v>181</v>
      </c>
      <c r="AI34" s="105" t="s">
        <v>182</v>
      </c>
      <c r="AJ34" s="105"/>
      <c r="AK34" s="105"/>
      <c r="AL34" s="105"/>
      <c r="AM34" s="105"/>
      <c r="AN34" s="165" t="s">
        <v>146</v>
      </c>
      <c r="AO34" s="167"/>
      <c r="AP34" s="29" t="str">
        <f>IF(AND(AN34="Select drop down:",AN49=""),"EQ",IF(AN34="Select drop down:","BLANK","EQ"))</f>
        <v>EQ</v>
      </c>
      <c r="AR34" s="30" t="s">
        <v>181</v>
      </c>
      <c r="AS34" s="105" t="s">
        <v>182</v>
      </c>
      <c r="AT34" s="105"/>
      <c r="AU34" s="105"/>
      <c r="AV34" s="105"/>
      <c r="AW34" s="105"/>
      <c r="AX34" s="165" t="s">
        <v>146</v>
      </c>
      <c r="AY34" s="167"/>
      <c r="AZ34" s="29" t="str">
        <f>IF(AND(AX34="Select drop down:",AX49=""),"EQ",IF(AX34="Select drop down:","BLANK","EQ"))</f>
        <v>EQ</v>
      </c>
    </row>
    <row r="35" spans="1:53" ht="15" customHeight="1" x14ac:dyDescent="0.35">
      <c r="A35" s="187">
        <f>'T.2.5-6 Steel Tube Chassis'!$D$3</f>
        <v>0</v>
      </c>
      <c r="B35" s="187"/>
      <c r="C35" s="187"/>
      <c r="D35" s="30"/>
      <c r="E35" s="28"/>
      <c r="F35" s="28"/>
      <c r="G35" s="28"/>
      <c r="H35" s="28"/>
      <c r="I35" s="28"/>
      <c r="J35" s="29"/>
      <c r="K35" s="29"/>
      <c r="L35" s="29"/>
      <c r="N35" s="30"/>
      <c r="O35" s="28"/>
      <c r="P35" s="28"/>
      <c r="Q35" s="28"/>
      <c r="R35" s="28"/>
      <c r="S35" s="28"/>
      <c r="T35" s="29"/>
      <c r="U35" s="29"/>
      <c r="V35" s="29"/>
      <c r="X35" s="30"/>
      <c r="Y35" s="28"/>
      <c r="Z35" s="28"/>
      <c r="AA35" s="28"/>
      <c r="AB35" s="28"/>
      <c r="AC35" s="28"/>
      <c r="AD35" s="29"/>
      <c r="AE35" s="29"/>
      <c r="AF35" s="29"/>
      <c r="AH35" s="30"/>
      <c r="AI35" s="28"/>
      <c r="AJ35" s="28"/>
      <c r="AK35" s="28"/>
      <c r="AL35" s="28"/>
      <c r="AM35" s="28"/>
      <c r="AN35" s="29"/>
      <c r="AO35" s="29"/>
      <c r="AP35" s="29"/>
      <c r="AR35" s="30"/>
      <c r="AS35" s="28"/>
      <c r="AT35" s="28"/>
      <c r="AU35" s="28"/>
      <c r="AV35" s="28"/>
      <c r="AW35" s="28"/>
      <c r="AX35" s="29"/>
      <c r="AY35" s="29"/>
      <c r="AZ35" s="29"/>
    </row>
    <row r="36" spans="1:53" ht="15" customHeight="1" x14ac:dyDescent="0.35">
      <c r="A36" s="187">
        <f>'T.2.5-6 Steel Tube Chassis'!$D$4</f>
        <v>0</v>
      </c>
      <c r="B36" s="187"/>
      <c r="C36" s="187"/>
      <c r="D36" s="176" t="s">
        <v>189</v>
      </c>
      <c r="E36" s="176"/>
      <c r="F36" s="176"/>
      <c r="G36" s="176"/>
      <c r="H36" s="176"/>
      <c r="I36" s="176"/>
      <c r="J36" s="176"/>
      <c r="K36" s="176"/>
      <c r="L36" s="176"/>
      <c r="N36" s="176" t="s">
        <v>189</v>
      </c>
      <c r="O36" s="176"/>
      <c r="P36" s="176"/>
      <c r="Q36" s="176"/>
      <c r="R36" s="176"/>
      <c r="S36" s="176"/>
      <c r="T36" s="176"/>
      <c r="U36" s="176"/>
      <c r="V36" s="176"/>
      <c r="X36" s="176" t="s">
        <v>189</v>
      </c>
      <c r="Y36" s="176"/>
      <c r="Z36" s="176"/>
      <c r="AA36" s="176"/>
      <c r="AB36" s="176"/>
      <c r="AC36" s="176"/>
      <c r="AD36" s="176"/>
      <c r="AE36" s="176"/>
      <c r="AF36" s="176"/>
      <c r="AH36" s="176" t="s">
        <v>189</v>
      </c>
      <c r="AI36" s="176"/>
      <c r="AJ36" s="176"/>
      <c r="AK36" s="176"/>
      <c r="AL36" s="176"/>
      <c r="AM36" s="176"/>
      <c r="AN36" s="176"/>
      <c r="AO36" s="176"/>
      <c r="AP36" s="176"/>
      <c r="AR36" s="176" t="s">
        <v>189</v>
      </c>
      <c r="AS36" s="176"/>
      <c r="AT36" s="176"/>
      <c r="AU36" s="176"/>
      <c r="AV36" s="176"/>
      <c r="AW36" s="176"/>
      <c r="AX36" s="176"/>
      <c r="AY36" s="176"/>
      <c r="AZ36" s="176"/>
    </row>
    <row r="37" spans="1:53" ht="15" customHeight="1" x14ac:dyDescent="0.35">
      <c r="A37" s="187" t="str">
        <f>'T.2.5-6 Steel Tube Chassis'!$D$9</f>
        <v>Select Drop Down</v>
      </c>
      <c r="B37" s="187"/>
      <c r="C37" s="187"/>
      <c r="D37" s="30"/>
      <c r="E37" s="28"/>
      <c r="F37" s="28"/>
      <c r="G37" s="28"/>
      <c r="H37" s="28"/>
      <c r="I37" s="28"/>
      <c r="J37" s="29"/>
      <c r="K37" s="29"/>
      <c r="L37" s="29"/>
      <c r="N37" s="30"/>
      <c r="O37" s="28"/>
      <c r="P37" s="28"/>
      <c r="Q37" s="28"/>
      <c r="R37" s="28"/>
      <c r="S37" s="28"/>
      <c r="T37" s="29"/>
      <c r="U37" s="29"/>
      <c r="V37" s="29"/>
      <c r="X37" s="30"/>
      <c r="Y37" s="28"/>
      <c r="Z37" s="28"/>
      <c r="AA37" s="28"/>
      <c r="AB37" s="28"/>
      <c r="AC37" s="28"/>
      <c r="AD37" s="29"/>
      <c r="AE37" s="29"/>
      <c r="AF37" s="29"/>
      <c r="AH37" s="30"/>
      <c r="AI37" s="28"/>
      <c r="AJ37" s="28"/>
      <c r="AK37" s="28"/>
      <c r="AL37" s="28"/>
      <c r="AM37" s="28"/>
      <c r="AN37" s="29"/>
      <c r="AO37" s="29"/>
      <c r="AP37" s="29"/>
      <c r="AR37" s="30"/>
      <c r="AS37" s="28"/>
      <c r="AT37" s="28"/>
      <c r="AU37" s="28"/>
      <c r="AV37" s="28"/>
      <c r="AW37" s="28"/>
      <c r="AX37" s="29"/>
      <c r="AY37" s="29"/>
      <c r="AZ37" s="29"/>
    </row>
    <row r="38" spans="1:53" ht="15" customHeight="1" x14ac:dyDescent="0.35">
      <c r="A38" s="190"/>
      <c r="B38" s="190"/>
      <c r="C38" s="190"/>
      <c r="D38" s="108" t="str">
        <f>IF(COUNTIF(L39:L41,"BLANK"),"BLANK",IF(COUNTIF(L39:L41,"REJECT"),"REJECT",IF(COUNTIF(L39:L41,"CHECK"),"CHECK","EQ")))</f>
        <v>EQ</v>
      </c>
      <c r="E38" s="108"/>
      <c r="F38" s="108"/>
      <c r="G38" s="108"/>
      <c r="H38" s="108"/>
      <c r="I38" s="108"/>
      <c r="J38" s="108"/>
      <c r="K38" s="108"/>
      <c r="L38" s="108"/>
      <c r="N38" s="108" t="str">
        <f>IF(COUNTIF(V39:V41,"BLANK"),"BLANK",IF(COUNTIF(V39:V41,"REJECT"),"REJECT",IF(COUNTIF(V39:V41,"CHECK"),"CHECK","EQ")))</f>
        <v>EQ</v>
      </c>
      <c r="O38" s="108"/>
      <c r="P38" s="108"/>
      <c r="Q38" s="108"/>
      <c r="R38" s="108"/>
      <c r="S38" s="108"/>
      <c r="T38" s="108"/>
      <c r="U38" s="108"/>
      <c r="V38" s="108"/>
      <c r="X38" s="108" t="str">
        <f>IF(COUNTIF(AF39:AF41,"BLANK"),"BLANK",IF(COUNTIF(AF39:AF41,"REJECT"),"REJECT",IF(COUNTIF(AF39:AF41,"CHECK"),"CHECK","EQ")))</f>
        <v>EQ</v>
      </c>
      <c r="Y38" s="108"/>
      <c r="Z38" s="108"/>
      <c r="AA38" s="108"/>
      <c r="AB38" s="108"/>
      <c r="AC38" s="108"/>
      <c r="AD38" s="108"/>
      <c r="AE38" s="108"/>
      <c r="AF38" s="108"/>
      <c r="AH38" s="108" t="str">
        <f>IF(COUNTIF(AP39:AP41,"BLANK"),"BLANK",IF(COUNTIF(AP39:AP41,"REJECT"),"REJECT",IF(COUNTIF(AP39:AP41,"CHECK"),"CHECK","EQ")))</f>
        <v>EQ</v>
      </c>
      <c r="AI38" s="108"/>
      <c r="AJ38" s="108"/>
      <c r="AK38" s="108"/>
      <c r="AL38" s="108"/>
      <c r="AM38" s="108"/>
      <c r="AN38" s="108"/>
      <c r="AO38" s="108"/>
      <c r="AP38" s="108"/>
      <c r="AR38" s="108" t="str">
        <f>IF(COUNTIF(AZ39:AZ41,"BLANK"),"BLANK",IF(COUNTIF(AZ39:AZ41,"REJECT"),"REJECT",IF(COUNTIF(AZ39:AZ41,"CHECK"),"CHECK","EQ")))</f>
        <v>EQ</v>
      </c>
      <c r="AS38" s="108"/>
      <c r="AT38" s="108"/>
      <c r="AU38" s="108"/>
      <c r="AV38" s="108"/>
      <c r="AW38" s="108"/>
      <c r="AX38" s="108"/>
      <c r="AY38" s="108"/>
      <c r="AZ38" s="108"/>
    </row>
    <row r="39" spans="1:53" ht="15" customHeight="1" x14ac:dyDescent="0.35">
      <c r="D39" s="30" t="str">
        <f>IF(J$34="Sleeved Butt Joint","T.2.18.6a","T.2.18.3a")</f>
        <v>T.2.18.3a</v>
      </c>
      <c r="E39" s="105" t="str">
        <f>IF(J$34="Sleeved Butt Joint","Min Butt Joint to Sleeve End &gt;=37.5mm (1.5in):","Lug thickness &gt;= 4.5mm (0.177in) steel:")</f>
        <v>Lug thickness &gt;= 4.5mm (0.177in) steel:</v>
      </c>
      <c r="F39" s="105"/>
      <c r="G39" s="105"/>
      <c r="H39" s="105"/>
      <c r="I39" s="107"/>
      <c r="J39" s="32"/>
      <c r="K39" s="27" t="str">
        <f>IF($A$20="mm","mm","in")</f>
        <v>in</v>
      </c>
      <c r="L39" s="29" t="str">
        <f>IF(AND(J$34="Select drop down:",J39=""),"EQ",IF(J39="","BLANK",IF(J$34="Sleeved Butt Joint",IF($A$20="mm",IF(J39&gt;=37.5,"EQ","REJECT"),IF(J39&gt;=1.5,"EQ","REJECT")),IF($A$20="mm",IF(J39&gt;=4.5,"EQ","REJECT"),IF(J39&gt;=0.177,"EQ","REJECT")))))</f>
        <v>EQ</v>
      </c>
      <c r="N39" s="30" t="str">
        <f>IF(T$34="Sleeved Butt Joint","T.2.18.6a","T.2.18.3a")</f>
        <v>T.2.18.3a</v>
      </c>
      <c r="O39" s="105" t="str">
        <f>IF(T$34="Sleeved Butt Joint","Min Butt Joint to Sleeve End &gt;=37.5mm (1.5in):","Lug thickness &gt;= 4.5mm (0.177in) steel:")</f>
        <v>Lug thickness &gt;= 4.5mm (0.177in) steel:</v>
      </c>
      <c r="P39" s="105"/>
      <c r="Q39" s="105"/>
      <c r="R39" s="105"/>
      <c r="S39" s="107"/>
      <c r="T39" s="32"/>
      <c r="U39" s="27" t="str">
        <f>IF($A$20="mm","mm","in")</f>
        <v>in</v>
      </c>
      <c r="V39" s="29" t="str">
        <f>IF(AND(T$34="Select drop down:",T39=""),"EQ",IF(T39="","BLANK",IF(T$34="Sleeved Butt Joint",IF($A$20="mm",IF(T39&gt;=37.5,"EQ","REJECT"),IF(T39&gt;=1.5,"EQ","REJECT")),IF($A$20="mm",IF(T39&gt;=4.5,"EQ","REJECT"),IF(T39&gt;=0.177,"EQ","REJECT")))))</f>
        <v>EQ</v>
      </c>
      <c r="X39" s="30" t="str">
        <f>IF(AD$34="Sleeved Butt Joint","T.2.18.6a","T.2.18.3a")</f>
        <v>T.2.18.3a</v>
      </c>
      <c r="Y39" s="105" t="str">
        <f>IF(AD$34="Sleeved Butt Joint","Min Butt Joint to Sleeve End &gt;=37.5mm (1.5in):","Lug thickness &gt;= 4.5mm (0.177in) steel:")</f>
        <v>Lug thickness &gt;= 4.5mm (0.177in) steel:</v>
      </c>
      <c r="Z39" s="105"/>
      <c r="AA39" s="105"/>
      <c r="AB39" s="105"/>
      <c r="AC39" s="107"/>
      <c r="AD39" s="32"/>
      <c r="AE39" s="27" t="str">
        <f>IF($A$20="mm","mm","in")</f>
        <v>in</v>
      </c>
      <c r="AF39" s="29" t="str">
        <f>IF(AND(AD$34="Select drop down:",AD39=""),"EQ",IF(AD39="","BLANK",IF(AD$34="Sleeved Butt Joint",IF($A$20="mm",IF(AD39&gt;=37.5,"EQ","REJECT"),IF(AD39&gt;=1.5,"EQ","REJECT")),IF($A$20="mm",IF(AD39&gt;=4.5,"EQ","REJECT"),IF(AD39&gt;=0.177,"EQ","REJECT")))))</f>
        <v>EQ</v>
      </c>
      <c r="AH39" s="30" t="str">
        <f>IF(AN$34="Sleeved Butt Joint","T.2.18.6a","T.2.18.3a")</f>
        <v>T.2.18.3a</v>
      </c>
      <c r="AI39" s="105" t="str">
        <f>IF(AN$34="Sleeved Butt Joint","Min Butt Joint to Sleeve End &gt;=37.5mm (1.5in):","Lug thickness &gt;= 4.5mm (0.177in) steel:")</f>
        <v>Lug thickness &gt;= 4.5mm (0.177in) steel:</v>
      </c>
      <c r="AJ39" s="105"/>
      <c r="AK39" s="105"/>
      <c r="AL39" s="105"/>
      <c r="AM39" s="107"/>
      <c r="AN39" s="32"/>
      <c r="AO39" s="27" t="str">
        <f>IF($A$20="mm","mm","in")</f>
        <v>in</v>
      </c>
      <c r="AP39" s="29" t="str">
        <f>IF(AND(AN$34="Select drop down:",AN39=""),"EQ",IF(AN39="","BLANK",IF(AN$34="Sleeved Butt Joint",IF($A$20="mm",IF(AN39&gt;=37.5,"EQ","REJECT"),IF(AN39&gt;=1.5,"EQ","REJECT")),IF($A$20="mm",IF(AN39&gt;=4.5,"EQ","REJECT"),IF(AN39&gt;=0.177,"EQ","REJECT")))))</f>
        <v>EQ</v>
      </c>
      <c r="AR39" s="30" t="str">
        <f>IF(AX$34="Sleeved Butt Joint","T.2.18.6a","T.2.18.3a")</f>
        <v>T.2.18.3a</v>
      </c>
      <c r="AS39" s="105" t="str">
        <f>IF(AX$34="Sleeved Butt Joint","Min Butt Joint to Sleeve End &gt;=37.5mm (1.5in):","Lug thickness &gt;= 4.5mm (0.177in) steel:")</f>
        <v>Lug thickness &gt;= 4.5mm (0.177in) steel:</v>
      </c>
      <c r="AT39" s="105"/>
      <c r="AU39" s="105"/>
      <c r="AV39" s="105"/>
      <c r="AW39" s="107"/>
      <c r="AX39" s="32"/>
      <c r="AY39" s="27" t="str">
        <f>IF($A$20="mm","mm","in")</f>
        <v>in</v>
      </c>
      <c r="AZ39" s="29" t="str">
        <f>IF(AND(AX$34="Select drop down:",AX39=""),"EQ",IF(AX39="","BLANK",IF(AX$34="Sleeved Butt Joint",IF($A$20="mm",IF(AX39&gt;=37.5,"EQ","REJECT"),IF(AX39&gt;=1.5,"EQ","REJECT")),IF($A$20="mm",IF(AX39&gt;=4.5,"EQ","REJECT"),IF(AX39&gt;=0.177,"EQ","REJECT")))))</f>
        <v>EQ</v>
      </c>
    </row>
    <row r="40" spans="1:53" ht="15" customHeight="1" x14ac:dyDescent="0.35">
      <c r="D40" s="30" t="str">
        <f>IF(J$34="Sleeved Butt Joint","T.2.18.6b","T.2.18.3b")</f>
        <v>T.2.18.3b</v>
      </c>
      <c r="E40" s="105" t="str">
        <f>IF(J$34="Sleeved Butt Joint","Wall Thickness:","Perpendicular dimension &gt;=25mm (1in):")</f>
        <v>Perpendicular dimension &gt;=25mm (1in):</v>
      </c>
      <c r="F40" s="105"/>
      <c r="G40" s="105"/>
      <c r="H40" s="105"/>
      <c r="I40" s="107"/>
      <c r="J40" s="31"/>
      <c r="K40" s="27" t="str">
        <f>IF($A$20="mm","mm","in")</f>
        <v>in</v>
      </c>
      <c r="L40" s="29" t="str">
        <f>IF(AND(J$34="Select drop down:",J40=""),"EQ",IF(J40="","BLANK",IF(J$34="Sleeved Butt Joint",IF($A$20="mm",IF(J40&gt;=1.2,"EQ","REJECT"),IF(J40&gt;=0.047,"EQ","REJECT")),IF($A$20="mm",IF(J40&gt;=25,"EQ","REJECT"),IF(J40&gt;=1,"EQ","REJECT")))))</f>
        <v>EQ</v>
      </c>
      <c r="N40" s="30" t="str">
        <f>IF(T$34="Sleeved Butt Joint","T.2.18.6b","T.2.18.3b")</f>
        <v>T.2.18.3b</v>
      </c>
      <c r="O40" s="105" t="str">
        <f>IF(T$34="Sleeved Butt Joint","Wall Thickness:","Perpendicular dimension &gt;=25mm (1in):")</f>
        <v>Perpendicular dimension &gt;=25mm (1in):</v>
      </c>
      <c r="P40" s="105"/>
      <c r="Q40" s="105"/>
      <c r="R40" s="105"/>
      <c r="S40" s="107"/>
      <c r="T40" s="31"/>
      <c r="U40" s="27" t="str">
        <f>IF($A$20="mm","mm","in")</f>
        <v>in</v>
      </c>
      <c r="V40" s="29" t="str">
        <f>IF(AND(T$34="Select drop down:",T40=""),"EQ",IF(T40="","BLANK",IF(T$34="Sleeved Butt Joint",IF($A$20="mm",IF(T40&gt;=1.2,"EQ","REJECT"),IF(T40&gt;=0.047,"EQ","REJECT")),IF($A$20="mm",IF(T40&gt;=25,"EQ","REJECT"),IF(T40&gt;=1,"EQ","REJECT")))))</f>
        <v>EQ</v>
      </c>
      <c r="X40" s="30" t="str">
        <f>IF(AD$34="Sleeved Butt Joint","T.2.18.6b","T.2.18.3b")</f>
        <v>T.2.18.3b</v>
      </c>
      <c r="Y40" s="105" t="str">
        <f>IF(AD$34="Sleeved Butt Joint","Wall Thickness:","Perpendicular dimension &gt;=25mm (1in):")</f>
        <v>Perpendicular dimension &gt;=25mm (1in):</v>
      </c>
      <c r="Z40" s="105"/>
      <c r="AA40" s="105"/>
      <c r="AB40" s="105"/>
      <c r="AC40" s="107"/>
      <c r="AD40" s="31"/>
      <c r="AE40" s="27" t="str">
        <f>IF($A$20="mm","mm","in")</f>
        <v>in</v>
      </c>
      <c r="AF40" s="29" t="str">
        <f>IF(AND(AD$34="Select drop down:",AD40=""),"EQ",IF(AD40="","BLANK",IF(AD$34="Sleeved Butt Joint",IF($A$20="mm",IF(AD40&gt;=1.2,"EQ","REJECT"),IF(AD40&gt;=0.047,"EQ","REJECT")),IF($A$20="mm",IF(AD40&gt;=25,"EQ","REJECT"),IF(AD40&gt;=1,"EQ","REJECT")))))</f>
        <v>EQ</v>
      </c>
      <c r="AH40" s="30" t="str">
        <f>IF(AN$34="Sleeved Butt Joint","T.2.18.6b","T.2.18.3b")</f>
        <v>T.2.18.3b</v>
      </c>
      <c r="AI40" s="105" t="str">
        <f>IF(AN$34="Sleeved Butt Joint","Wall Thickness:","Perpendicular dimension &gt;=25mm (1in):")</f>
        <v>Perpendicular dimension &gt;=25mm (1in):</v>
      </c>
      <c r="AJ40" s="105"/>
      <c r="AK40" s="105"/>
      <c r="AL40" s="105"/>
      <c r="AM40" s="107"/>
      <c r="AN40" s="31"/>
      <c r="AO40" s="27" t="str">
        <f>IF($A$20="mm","mm","in")</f>
        <v>in</v>
      </c>
      <c r="AP40" s="29" t="str">
        <f>IF(AND(AN$34="Select drop down:",AN40=""),"EQ",IF(AN40="","BLANK",IF(AN$34="Sleeved Butt Joint",IF($A$20="mm",IF(AN40&gt;=1.2,"EQ","REJECT"),IF(AN40&gt;=0.047,"EQ","REJECT")),IF($A$20="mm",IF(AN40&gt;=25,"EQ","REJECT"),IF(AN40&gt;=1,"EQ","REJECT")))))</f>
        <v>EQ</v>
      </c>
      <c r="AR40" s="30" t="str">
        <f>IF(AX$34="Sleeved Butt Joint","T.2.18.6b","T.2.18.3b")</f>
        <v>T.2.18.3b</v>
      </c>
      <c r="AS40" s="105" t="str">
        <f>IF(AX$34="Sleeved Butt Joint","Wall Thickness:","Perpendicular dimension &gt;=25mm (1in):")</f>
        <v>Perpendicular dimension &gt;=25mm (1in):</v>
      </c>
      <c r="AT40" s="105"/>
      <c r="AU40" s="105"/>
      <c r="AV40" s="105"/>
      <c r="AW40" s="107"/>
      <c r="AX40" s="31"/>
      <c r="AY40" s="27" t="str">
        <f>IF($A$20="mm","mm","in")</f>
        <v>in</v>
      </c>
      <c r="AZ40" s="29" t="str">
        <f>IF(AND(AX$34="Select drop down:",AX40=""),"EQ",IF(AX40="","BLANK",IF(AX$34="Sleeved Butt Joint",IF($A$20="mm",IF(AX40&gt;=1.2,"EQ","REJECT"),IF(AX40&gt;=0.047,"EQ","REJECT")),IF($A$20="mm",IF(AX40&gt;=25,"EQ","REJECT"),IF(AX40&gt;=1,"EQ","REJECT")))))</f>
        <v>EQ</v>
      </c>
    </row>
    <row r="41" spans="1:53" x14ac:dyDescent="0.35">
      <c r="D41" s="30" t="str">
        <f>IF(J$34="Sleeved Butt Joint","T.2.18.6b","")</f>
        <v/>
      </c>
      <c r="E41" s="105" t="str">
        <f>IF(J$34="Sleeved Butt Joint","Base tube no thicker than:","")</f>
        <v/>
      </c>
      <c r="F41" s="105"/>
      <c r="G41" s="105"/>
      <c r="H41" s="105"/>
      <c r="I41" s="105"/>
      <c r="J41" s="29" t="str">
        <f>IF(J$34="Sleeved Butt Joint",J40,"")</f>
        <v/>
      </c>
      <c r="K41" s="27" t="str">
        <f>IF(J$34="Sleeved Butt Joint",K40,"")</f>
        <v/>
      </c>
      <c r="L41" s="29" t="str">
        <f>IF(J41="","","EQ")</f>
        <v/>
      </c>
      <c r="N41" s="30" t="str">
        <f>IF(T$34="Sleeved Butt Joint","T.2.18.6b","")</f>
        <v/>
      </c>
      <c r="O41" s="105" t="str">
        <f>IF(T$34="Sleeved Butt Joint","Base tube no thicker than:","")</f>
        <v/>
      </c>
      <c r="P41" s="105"/>
      <c r="Q41" s="105"/>
      <c r="R41" s="105"/>
      <c r="S41" s="105"/>
      <c r="T41" s="29" t="str">
        <f>IF(T$34="Sleeved Butt Joint",T40,"")</f>
        <v/>
      </c>
      <c r="U41" s="27" t="str">
        <f>IF(T$34="Sleeved Butt Joint",U40,"")</f>
        <v/>
      </c>
      <c r="V41" s="29" t="str">
        <f>IF(T41="","","EQ")</f>
        <v/>
      </c>
      <c r="X41" s="30" t="str">
        <f>IF(AD$34="Sleeved Butt Joint","T.2.18.6b","")</f>
        <v/>
      </c>
      <c r="Y41" s="105" t="str">
        <f>IF(AD$34="Sleeved Butt Joint","Base tube no thicker than:","")</f>
        <v/>
      </c>
      <c r="Z41" s="105"/>
      <c r="AA41" s="105"/>
      <c r="AB41" s="105"/>
      <c r="AC41" s="105"/>
      <c r="AD41" s="29" t="str">
        <f>IF(AD$34="Sleeved Butt Joint",AD40,"")</f>
        <v/>
      </c>
      <c r="AE41" s="27" t="str">
        <f>IF(AD$34="Sleeved Butt Joint",AE40,"")</f>
        <v/>
      </c>
      <c r="AF41" s="29" t="str">
        <f>IF(AD41="","","EQ")</f>
        <v/>
      </c>
      <c r="AH41" s="30" t="str">
        <f>IF(AN$34="Sleeved Butt Joint","T.2.18.6b","")</f>
        <v/>
      </c>
      <c r="AI41" s="105" t="str">
        <f>IF(AN$34="Sleeved Butt Joint","Base tube no thicker than:","")</f>
        <v/>
      </c>
      <c r="AJ41" s="105"/>
      <c r="AK41" s="105"/>
      <c r="AL41" s="105"/>
      <c r="AM41" s="105"/>
      <c r="AN41" s="29" t="str">
        <f>IF(AN$34="Sleeved Butt Joint",AN40,"")</f>
        <v/>
      </c>
      <c r="AO41" s="27" t="str">
        <f>IF(AN$34="Sleeved Butt Joint",AO40,"")</f>
        <v/>
      </c>
      <c r="AP41" s="29" t="str">
        <f>IF(AN41="","","EQ")</f>
        <v/>
      </c>
      <c r="AR41" s="30" t="str">
        <f>IF(AX$34="Sleeved Butt Joint","T.2.18.6b","")</f>
        <v/>
      </c>
      <c r="AS41" s="105" t="str">
        <f>IF(AX$34="Sleeved Butt Joint","Base tube no thicker than:","")</f>
        <v/>
      </c>
      <c r="AT41" s="105"/>
      <c r="AU41" s="105"/>
      <c r="AV41" s="105"/>
      <c r="AW41" s="105"/>
      <c r="AX41" s="29" t="str">
        <f>IF(AX$34="Sleeved Butt Joint",AX40,"")</f>
        <v/>
      </c>
      <c r="AY41" s="27" t="str">
        <f>IF(AX$34="Sleeved Butt Joint",AY40,"")</f>
        <v/>
      </c>
      <c r="AZ41" s="29" t="str">
        <f>IF(AX41="","","EQ")</f>
        <v/>
      </c>
    </row>
    <row r="42" spans="1:53" ht="15" customHeight="1" x14ac:dyDescent="0.35"/>
    <row r="43" spans="1:53" x14ac:dyDescent="0.35">
      <c r="D43" s="176" t="s">
        <v>186</v>
      </c>
      <c r="E43" s="176"/>
      <c r="F43" s="176"/>
      <c r="G43" s="176"/>
      <c r="H43" s="176"/>
      <c r="I43" s="176"/>
      <c r="J43" s="176"/>
      <c r="K43" s="176"/>
      <c r="L43" s="176"/>
      <c r="N43" s="176" t="s">
        <v>186</v>
      </c>
      <c r="O43" s="176"/>
      <c r="P43" s="176"/>
      <c r="Q43" s="176"/>
      <c r="R43" s="176"/>
      <c r="S43" s="176"/>
      <c r="T43" s="176"/>
      <c r="U43" s="176"/>
      <c r="V43" s="176"/>
      <c r="X43" s="176" t="s">
        <v>186</v>
      </c>
      <c r="Y43" s="176"/>
      <c r="Z43" s="176"/>
      <c r="AA43" s="176"/>
      <c r="AB43" s="176"/>
      <c r="AC43" s="176"/>
      <c r="AD43" s="176"/>
      <c r="AE43" s="176"/>
      <c r="AF43" s="176"/>
      <c r="AH43" s="176" t="s">
        <v>186</v>
      </c>
      <c r="AI43" s="176"/>
      <c r="AJ43" s="176"/>
      <c r="AK43" s="176"/>
      <c r="AL43" s="176"/>
      <c r="AM43" s="176"/>
      <c r="AN43" s="176"/>
      <c r="AO43" s="176"/>
      <c r="AP43" s="176"/>
      <c r="AR43" s="176" t="s">
        <v>186</v>
      </c>
      <c r="AS43" s="176"/>
      <c r="AT43" s="176"/>
      <c r="AU43" s="176"/>
      <c r="AV43" s="176"/>
      <c r="AW43" s="176"/>
      <c r="AX43" s="176"/>
      <c r="AY43" s="176"/>
      <c r="AZ43" s="176"/>
    </row>
    <row r="44" spans="1:53" x14ac:dyDescent="0.35">
      <c r="D44" s="176" t="s">
        <v>185</v>
      </c>
      <c r="E44" s="176"/>
      <c r="F44" s="176"/>
      <c r="G44" s="176"/>
      <c r="H44" s="176"/>
      <c r="I44" s="176"/>
      <c r="J44" s="176"/>
      <c r="K44" s="176"/>
      <c r="L44" s="176"/>
      <c r="N44" s="176" t="s">
        <v>185</v>
      </c>
      <c r="O44" s="176"/>
      <c r="P44" s="176"/>
      <c r="Q44" s="176"/>
      <c r="R44" s="176"/>
      <c r="S44" s="176"/>
      <c r="T44" s="176"/>
      <c r="U44" s="176"/>
      <c r="V44" s="176"/>
      <c r="X44" s="176" t="s">
        <v>185</v>
      </c>
      <c r="Y44" s="176"/>
      <c r="Z44" s="176"/>
      <c r="AA44" s="176"/>
      <c r="AB44" s="176"/>
      <c r="AC44" s="176"/>
      <c r="AD44" s="176"/>
      <c r="AE44" s="176"/>
      <c r="AF44" s="176"/>
      <c r="AH44" s="176" t="s">
        <v>185</v>
      </c>
      <c r="AI44" s="176"/>
      <c r="AJ44" s="176"/>
      <c r="AK44" s="176"/>
      <c r="AL44" s="176"/>
      <c r="AM44" s="176"/>
      <c r="AN44" s="176"/>
      <c r="AO44" s="176"/>
      <c r="AP44" s="176"/>
      <c r="AR44" s="176" t="s">
        <v>185</v>
      </c>
      <c r="AS44" s="176"/>
      <c r="AT44" s="176"/>
      <c r="AU44" s="176"/>
      <c r="AV44" s="176"/>
      <c r="AW44" s="176"/>
      <c r="AX44" s="176"/>
      <c r="AY44" s="176"/>
      <c r="AZ44" s="176"/>
    </row>
    <row r="45" spans="1:53" x14ac:dyDescent="0.35">
      <c r="D45" s="176" t="s">
        <v>179</v>
      </c>
      <c r="E45" s="176"/>
      <c r="F45" s="176"/>
      <c r="G45" s="176"/>
      <c r="H45" s="176"/>
      <c r="I45" s="176"/>
      <c r="J45" s="176"/>
      <c r="K45" s="176"/>
      <c r="L45" s="176"/>
      <c r="N45" s="176" t="s">
        <v>179</v>
      </c>
      <c r="O45" s="176"/>
      <c r="P45" s="176"/>
      <c r="Q45" s="176"/>
      <c r="R45" s="176"/>
      <c r="S45" s="176"/>
      <c r="T45" s="176"/>
      <c r="U45" s="176"/>
      <c r="V45" s="176"/>
      <c r="X45" s="176" t="s">
        <v>179</v>
      </c>
      <c r="Y45" s="176"/>
      <c r="Z45" s="176"/>
      <c r="AA45" s="176"/>
      <c r="AB45" s="176"/>
      <c r="AC45" s="176"/>
      <c r="AD45" s="176"/>
      <c r="AE45" s="176"/>
      <c r="AF45" s="176"/>
      <c r="AH45" s="176" t="s">
        <v>179</v>
      </c>
      <c r="AI45" s="176"/>
      <c r="AJ45" s="176"/>
      <c r="AK45" s="176"/>
      <c r="AL45" s="176"/>
      <c r="AM45" s="176"/>
      <c r="AN45" s="176"/>
      <c r="AO45" s="176"/>
      <c r="AP45" s="176"/>
      <c r="AR45" s="176" t="s">
        <v>179</v>
      </c>
      <c r="AS45" s="176"/>
      <c r="AT45" s="176"/>
      <c r="AU45" s="176"/>
      <c r="AV45" s="176"/>
      <c r="AW45" s="176"/>
      <c r="AX45" s="176"/>
      <c r="AY45" s="176"/>
      <c r="AZ45" s="176"/>
    </row>
    <row r="46" spans="1:53" x14ac:dyDescent="0.35">
      <c r="D46" s="176" t="s">
        <v>178</v>
      </c>
      <c r="E46" s="176"/>
      <c r="F46" s="176"/>
      <c r="G46" s="176"/>
      <c r="H46" s="176"/>
      <c r="I46" s="176"/>
      <c r="J46" s="176"/>
      <c r="K46" s="176"/>
      <c r="L46" s="176"/>
      <c r="M46" s="176"/>
      <c r="N46" s="176" t="s">
        <v>178</v>
      </c>
      <c r="O46" s="176"/>
      <c r="P46" s="176"/>
      <c r="Q46" s="176"/>
      <c r="R46" s="176"/>
      <c r="S46" s="176"/>
      <c r="T46" s="176"/>
      <c r="U46" s="176"/>
      <c r="V46" s="176"/>
      <c r="W46" s="176"/>
      <c r="X46" s="176" t="s">
        <v>178</v>
      </c>
      <c r="Y46" s="176"/>
      <c r="Z46" s="176"/>
      <c r="AA46" s="176"/>
      <c r="AB46" s="176"/>
      <c r="AC46" s="176"/>
      <c r="AD46" s="176"/>
      <c r="AE46" s="176"/>
      <c r="AF46" s="176"/>
      <c r="AG46" s="176"/>
      <c r="AH46" s="176" t="s">
        <v>178</v>
      </c>
      <c r="AI46" s="176"/>
      <c r="AJ46" s="176"/>
      <c r="AK46" s="176"/>
      <c r="AL46" s="176"/>
      <c r="AM46" s="176"/>
      <c r="AN46" s="176"/>
      <c r="AO46" s="176"/>
      <c r="AP46" s="176"/>
      <c r="AQ46" s="176"/>
      <c r="AR46" s="176" t="s">
        <v>178</v>
      </c>
      <c r="AS46" s="176"/>
      <c r="AT46" s="176"/>
      <c r="AU46" s="176"/>
      <c r="AV46" s="176"/>
      <c r="AW46" s="176"/>
      <c r="AX46" s="176"/>
      <c r="AY46" s="176"/>
      <c r="AZ46" s="176"/>
      <c r="BA46" s="176"/>
    </row>
    <row r="48" spans="1:53" x14ac:dyDescent="0.35">
      <c r="D48" s="108" t="str">
        <f>IF(COUNTIF(L49:L52,"BLANK"),"BLANK",IF(COUNTIF(L49:L52,"REJECT"),"REJECT",IF(COUNTIF(L49:L52,"CHECK"),"CHECK","EQ")))</f>
        <v>EQ</v>
      </c>
      <c r="E48" s="108"/>
      <c r="F48" s="108"/>
      <c r="G48" s="108"/>
      <c r="H48" s="108"/>
      <c r="I48" s="108"/>
      <c r="J48" s="108"/>
      <c r="K48" s="108"/>
      <c r="L48" s="108"/>
      <c r="N48" s="108" t="str">
        <f>IF(COUNTIF(V49:V52,"BLANK"),"BLANK",IF(COUNTIF(V49:V52,"REJECT"),"REJECT",IF(COUNTIF(V49:V52,"CHECK"),"CHECK","EQ")))</f>
        <v>EQ</v>
      </c>
      <c r="O48" s="108"/>
      <c r="P48" s="108"/>
      <c r="Q48" s="108"/>
      <c r="R48" s="108"/>
      <c r="S48" s="108"/>
      <c r="T48" s="108"/>
      <c r="U48" s="108"/>
      <c r="V48" s="108"/>
      <c r="X48" s="108" t="str">
        <f>IF(COUNTIF(AF49:AF52,"BLANK"),"BLANK",IF(COUNTIF(AF49:AF52,"REJECT"),"REJECT",IF(COUNTIF(AF49:AF52,"CHECK"),"CHECK","EQ")))</f>
        <v>EQ</v>
      </c>
      <c r="Y48" s="108"/>
      <c r="Z48" s="108"/>
      <c r="AA48" s="108"/>
      <c r="AB48" s="108"/>
      <c r="AC48" s="108"/>
      <c r="AD48" s="108"/>
      <c r="AE48" s="108"/>
      <c r="AF48" s="108"/>
      <c r="AH48" s="108" t="str">
        <f>IF(COUNTIF(AP49:AP52,"BLANK"),"BLANK",IF(COUNTIF(AP49:AP52,"REJECT"),"REJECT",IF(COUNTIF(AP49:AP52,"CHECK"),"CHECK","EQ")))</f>
        <v>EQ</v>
      </c>
      <c r="AI48" s="108"/>
      <c r="AJ48" s="108"/>
      <c r="AK48" s="108"/>
      <c r="AL48" s="108"/>
      <c r="AM48" s="108"/>
      <c r="AN48" s="108"/>
      <c r="AO48" s="108"/>
      <c r="AP48" s="108"/>
      <c r="AR48" s="108" t="str">
        <f>IF(COUNTIF(AZ49:AZ52,"BLANK"),"BLANK",IF(COUNTIF(AZ49:AZ52,"REJECT"),"REJECT",IF(COUNTIF(AZ49:AZ52,"CHECK"),"CHECK","EQ")))</f>
        <v>EQ</v>
      </c>
      <c r="AS48" s="108"/>
      <c r="AT48" s="108"/>
      <c r="AU48" s="108"/>
      <c r="AV48" s="108"/>
      <c r="AW48" s="108"/>
      <c r="AX48" s="108"/>
      <c r="AY48" s="108"/>
      <c r="AZ48" s="108"/>
    </row>
    <row r="49" spans="1:52" x14ac:dyDescent="0.35">
      <c r="D49" s="30" t="s">
        <v>180</v>
      </c>
      <c r="E49" s="105" t="s">
        <v>184</v>
      </c>
      <c r="F49" s="105"/>
      <c r="G49" s="105"/>
      <c r="H49" s="105"/>
      <c r="I49" s="105"/>
      <c r="J49" s="32"/>
      <c r="K49" s="27" t="str">
        <f>IF($A$20="mm","mm","in")</f>
        <v>in</v>
      </c>
      <c r="L49" s="29" t="str">
        <f>IF(AND(J$34="Select drop down:",J49=""),"EQ",IF(J49="","BLANK",IF(J$34="Sleeved Butt Joint",IF($A$20="mm",IF(J49&gt;=6,"EQ","REJECT"),IF(J49&gt;=0.25,"EQ","REJECT")),IF($A$20="mm",IF(J49&gt;=10,"EQ","REJECT"),IF(J49&gt;=0.375,"EQ","REJECT")))))</f>
        <v>EQ</v>
      </c>
      <c r="N49" s="30" t="s">
        <v>180</v>
      </c>
      <c r="O49" s="105" t="s">
        <v>184</v>
      </c>
      <c r="P49" s="105"/>
      <c r="Q49" s="105"/>
      <c r="R49" s="105"/>
      <c r="S49" s="105"/>
      <c r="T49" s="32"/>
      <c r="U49" s="27" t="str">
        <f>IF($A$20="mm","mm","in")</f>
        <v>in</v>
      </c>
      <c r="V49" s="29" t="str">
        <f>IF(AND(T$34="Select drop down:",T49=""),"EQ",IF(T49="","BLANK",IF(T$34="Sleeved Butt Joint",IF($A$20="mm",IF(T49&gt;=6,"EQ","REJECT"),IF(T49&gt;=0.25,"EQ","REJECT")),IF($A$20="mm",IF(T49&gt;=10,"EQ","REJECT"),IF(T49&gt;=0.375,"EQ","REJECT")))))</f>
        <v>EQ</v>
      </c>
      <c r="X49" s="30" t="s">
        <v>180</v>
      </c>
      <c r="Y49" s="105" t="s">
        <v>184</v>
      </c>
      <c r="Z49" s="105"/>
      <c r="AA49" s="105"/>
      <c r="AB49" s="105"/>
      <c r="AC49" s="105"/>
      <c r="AD49" s="32"/>
      <c r="AE49" s="27" t="str">
        <f>IF($A$20="mm","mm","in")</f>
        <v>in</v>
      </c>
      <c r="AF49" s="29" t="str">
        <f>IF(AND(AD$34="Select drop down:",AD49=""),"EQ",IF(AD49="","BLANK",IF(AD$34="Sleeved Butt Joint",IF($A$20="mm",IF(AD49&gt;=6,"EQ","REJECT"),IF(AD49&gt;=0.25,"EQ","REJECT")),IF($A$20="mm",IF(AD49&gt;=10,"EQ","REJECT"),IF(AD49&gt;=0.375,"EQ","REJECT")))))</f>
        <v>EQ</v>
      </c>
      <c r="AH49" s="30" t="s">
        <v>180</v>
      </c>
      <c r="AI49" s="105" t="s">
        <v>184</v>
      </c>
      <c r="AJ49" s="105"/>
      <c r="AK49" s="105"/>
      <c r="AL49" s="105"/>
      <c r="AM49" s="105"/>
      <c r="AN49" s="32"/>
      <c r="AO49" s="27" t="str">
        <f>IF($A$20="mm","mm","in")</f>
        <v>in</v>
      </c>
      <c r="AP49" s="29" t="str">
        <f>IF(AND(AN$34="Select drop down:",AN49=""),"EQ",IF(AN49="","BLANK",IF(AN$34="Sleeved Butt Joint",IF($A$20="mm",IF(AN49&gt;=6,"EQ","REJECT"),IF(AN49&gt;=0.25,"EQ","REJECT")),IF($A$20="mm",IF(AN49&gt;=10,"EQ","REJECT"),IF(AN49&gt;=0.375,"EQ","REJECT")))))</f>
        <v>EQ</v>
      </c>
      <c r="AR49" s="30" t="s">
        <v>180</v>
      </c>
      <c r="AS49" s="105" t="s">
        <v>184</v>
      </c>
      <c r="AT49" s="105"/>
      <c r="AU49" s="105"/>
      <c r="AV49" s="105"/>
      <c r="AW49" s="105"/>
      <c r="AX49" s="32"/>
      <c r="AY49" s="27" t="str">
        <f>IF($A$20="mm","mm","in")</f>
        <v>in</v>
      </c>
      <c r="AZ49" s="29" t="str">
        <f>IF(AND(AX$34="Select drop down:",AX49=""),"EQ",IF(AX49="","BLANK",IF(AX$34="Sleeved Butt Joint",IF($A$20="mm",IF(AX49&gt;=6,"EQ","REJECT"),IF(AX49&gt;=0.25,"EQ","REJECT")),IF($A$20="mm",IF(AX49&gt;=10,"EQ","REJECT"),IF(AX49&gt;=0.375,"EQ","REJECT")))))</f>
        <v>EQ</v>
      </c>
    </row>
    <row r="50" spans="1:52" x14ac:dyDescent="0.35">
      <c r="D50" s="30"/>
      <c r="E50" s="105" t="str">
        <f>IF(J$34="Sleeved Butt Joint","Distance to outside tube edge:","Distance to tube edge:")</f>
        <v>Distance to tube edge:</v>
      </c>
      <c r="F50" s="105"/>
      <c r="G50" s="105"/>
      <c r="H50" s="105"/>
      <c r="I50" s="107"/>
      <c r="J50" s="32"/>
      <c r="K50" s="27" t="str">
        <f>IF($A$20="mm","mm","in")</f>
        <v>in</v>
      </c>
      <c r="L50" s="29" t="str">
        <f>IF(AND(J$34="Select drop down:",J50=""),"EQ",IF(J50="","BLANK",IF(J$34="Sleeved Butt Joint",IF($A$20="mm",IF(J50&gt;=9,"EQ","REJECT"),IF(J50&gt;=0.375,"EQ","REJECT")),IF($A$20="mm",IF(J50&gt;=15,"EQ","REJECT"),IF(J50&gt;=0.5625,"EQ","REJECT")))))</f>
        <v>EQ</v>
      </c>
      <c r="N50" s="30"/>
      <c r="O50" s="105" t="str">
        <f>IF(T$34="Sleeved Butt Joint","Distance to outside tube edge:","Distance to tube edge:")</f>
        <v>Distance to tube edge:</v>
      </c>
      <c r="P50" s="105"/>
      <c r="Q50" s="105"/>
      <c r="R50" s="105"/>
      <c r="S50" s="107"/>
      <c r="T50" s="32"/>
      <c r="U50" s="27" t="str">
        <f>IF($A$20="mm","mm","in")</f>
        <v>in</v>
      </c>
      <c r="V50" s="29" t="str">
        <f>IF(AND(T$34="Select drop down:",T50=""),"EQ",IF(T50="","BLANK",IF(T$34="Sleeved Butt Joint",IF($A$20="mm",IF(T50&gt;=9,"EQ","REJECT"),IF(T50&gt;=0.375,"EQ","REJECT")),IF($A$20="mm",IF(T50&gt;=15,"EQ","REJECT"),IF(T50&gt;=0.5625,"EQ","REJECT")))))</f>
        <v>EQ</v>
      </c>
      <c r="X50" s="30"/>
      <c r="Y50" s="105" t="str">
        <f>IF(AD$34="Sleeved Butt Joint","Distance to outside tube edge:","Distance to tube edge:")</f>
        <v>Distance to tube edge:</v>
      </c>
      <c r="Z50" s="105"/>
      <c r="AA50" s="105"/>
      <c r="AB50" s="105"/>
      <c r="AC50" s="107"/>
      <c r="AD50" s="32"/>
      <c r="AE50" s="27" t="str">
        <f>IF($A$20="mm","mm","in")</f>
        <v>in</v>
      </c>
      <c r="AF50" s="29" t="str">
        <f>IF(AND(AD$34="Select drop down:",AD50=""),"EQ",IF(AD50="","BLANK",IF(AD$34="Sleeved Butt Joint",IF($A$20="mm",IF(AD50&gt;=9,"EQ","REJECT"),IF(AD50&gt;=0.375,"EQ","REJECT")),IF($A$20="mm",IF(AD50&gt;=15,"EQ","REJECT"),IF(AD50&gt;=0.5625,"EQ","REJECT")))))</f>
        <v>EQ</v>
      </c>
      <c r="AH50" s="30"/>
      <c r="AI50" s="105" t="str">
        <f>IF(AN$34="Sleeved Butt Joint","Distance to outside tube edge:","Distance to tube edge:")</f>
        <v>Distance to tube edge:</v>
      </c>
      <c r="AJ50" s="105"/>
      <c r="AK50" s="105"/>
      <c r="AL50" s="105"/>
      <c r="AM50" s="107"/>
      <c r="AN50" s="32"/>
      <c r="AO50" s="27" t="str">
        <f>IF($A$20="mm","mm","in")</f>
        <v>in</v>
      </c>
      <c r="AP50" s="29" t="str">
        <f>IF(AND(AN$34="Select drop down:",AN50=""),"EQ",IF(AN50="","BLANK",IF(AN$34="Sleeved Butt Joint",IF($A$20="mm",IF(AN50&gt;=9,"EQ","REJECT"),IF(AN50&gt;=0.375,"EQ","REJECT")),IF($A$20="mm",IF(AN50&gt;=15,"EQ","REJECT"),IF(AN50&gt;=0.5625,"EQ","REJECT")))))</f>
        <v>EQ</v>
      </c>
      <c r="AR50" s="30"/>
      <c r="AS50" s="105" t="str">
        <f>IF(AX$34="Sleeved Butt Joint","Distance to outside tube edge:","Distance to tube edge:")</f>
        <v>Distance to tube edge:</v>
      </c>
      <c r="AT50" s="105"/>
      <c r="AU50" s="105"/>
      <c r="AV50" s="105"/>
      <c r="AW50" s="107"/>
      <c r="AX50" s="32"/>
      <c r="AY50" s="27" t="str">
        <f>IF($A$20="mm","mm","in")</f>
        <v>in</v>
      </c>
      <c r="AZ50" s="29" t="str">
        <f>IF(AND(AX$34="Select drop down:",AX50=""),"EQ",IF(AX50="","BLANK",IF(AX$34="Sleeved Butt Joint",IF($A$20="mm",IF(AX50&gt;=9,"EQ","REJECT"),IF(AX50&gt;=0.375,"EQ","REJECT")),IF($A$20="mm",IF(AX50&gt;=15,"EQ","REJECT"),IF(AX50&gt;=0.5625,"EQ","REJECT")))))</f>
        <v>EQ</v>
      </c>
    </row>
    <row r="51" spans="1:52" x14ac:dyDescent="0.35">
      <c r="D51" s="30"/>
      <c r="E51" s="105" t="str">
        <f>IF(J$34="Sleeved Butt Joint","Distance to inside tube edge:","Distance to tab edge:")</f>
        <v>Distance to tab edge:</v>
      </c>
      <c r="F51" s="105"/>
      <c r="G51" s="105"/>
      <c r="H51" s="105"/>
      <c r="I51" s="107"/>
      <c r="J51" s="31"/>
      <c r="K51" s="27" t="str">
        <f>IF($A$20="mm","mm","in")</f>
        <v>in</v>
      </c>
      <c r="L51" s="29" t="str">
        <f>IF(AND(J$34="Select drop down:",J51=""),"EQ",IF(J51="","BLANK",IF(J$34="Sleeved Butt Joint",IF($A$20="mm",IF(J51&gt;=9,"EQ","REJECT"),IF(J51&gt;=0.375,"EQ","REJECT")),IF($A$20="mm",IF(J51&gt;=15,"EQ","REJECT"),IF(J51&gt;=0.5625,"EQ","REJECT")))))</f>
        <v>EQ</v>
      </c>
      <c r="N51" s="30"/>
      <c r="O51" s="105" t="str">
        <f>IF(T$34="Sleeved Butt Joint","Distance to inside tube edge:","Distance to tab edge:")</f>
        <v>Distance to tab edge:</v>
      </c>
      <c r="P51" s="105"/>
      <c r="Q51" s="105"/>
      <c r="R51" s="105"/>
      <c r="S51" s="107"/>
      <c r="T51" s="31"/>
      <c r="U51" s="27" t="str">
        <f>IF($A$20="mm","mm","in")</f>
        <v>in</v>
      </c>
      <c r="V51" s="29" t="str">
        <f>IF(AND(T$34="Select drop down:",T51=""),"EQ",IF(T51="","BLANK",IF(T$34="Sleeved Butt Joint",IF($A$20="mm",IF(T51&gt;=9,"EQ","REJECT"),IF(T51&gt;=0.375,"EQ","REJECT")),IF($A$20="mm",IF(T51&gt;=15,"EQ","REJECT"),IF(T51&gt;=0.5625,"EQ","REJECT")))))</f>
        <v>EQ</v>
      </c>
      <c r="X51" s="30"/>
      <c r="Y51" s="105" t="str">
        <f>IF(AD$34="Sleeved Butt Joint","Distance to inside tube edge:","Distance to tab edge:")</f>
        <v>Distance to tab edge:</v>
      </c>
      <c r="Z51" s="105"/>
      <c r="AA51" s="105"/>
      <c r="AB51" s="105"/>
      <c r="AC51" s="107"/>
      <c r="AD51" s="31"/>
      <c r="AE51" s="27" t="str">
        <f>IF($A$20="mm","mm","in")</f>
        <v>in</v>
      </c>
      <c r="AF51" s="29" t="str">
        <f>IF(AND(AD$34="Select drop down:",AD51=""),"EQ",IF(AD51="","BLANK",IF(AD$34="Sleeved Butt Joint",IF($A$20="mm",IF(AD51&gt;=9,"EQ","REJECT"),IF(AD51&gt;=0.375,"EQ","REJECT")),IF($A$20="mm",IF(AD51&gt;=15,"EQ","REJECT"),IF(AD51&gt;=0.5625,"EQ","REJECT")))))</f>
        <v>EQ</v>
      </c>
      <c r="AH51" s="30"/>
      <c r="AI51" s="105" t="str">
        <f>IF(AN$34="Sleeved Butt Joint","Distance to inside tube edge:","Distance to tab edge:")</f>
        <v>Distance to tab edge:</v>
      </c>
      <c r="AJ51" s="105"/>
      <c r="AK51" s="105"/>
      <c r="AL51" s="105"/>
      <c r="AM51" s="107"/>
      <c r="AN51" s="31"/>
      <c r="AO51" s="27" t="str">
        <f>IF($A$20="mm","mm","in")</f>
        <v>in</v>
      </c>
      <c r="AP51" s="29" t="str">
        <f>IF(AND(AN$34="Select drop down:",AN51=""),"EQ",IF(AN51="","BLANK",IF(AN$34="Sleeved Butt Joint",IF($A$20="mm",IF(AN51&gt;=9,"EQ","REJECT"),IF(AN51&gt;=0.375,"EQ","REJECT")),IF($A$20="mm",IF(AN51&gt;=15,"EQ","REJECT"),IF(AN51&gt;=0.5625,"EQ","REJECT")))))</f>
        <v>EQ</v>
      </c>
      <c r="AR51" s="30"/>
      <c r="AS51" s="105" t="str">
        <f>IF(AX$34="Sleeved Butt Joint","Distance to inside tube edge:","Distance to tab edge:")</f>
        <v>Distance to tab edge:</v>
      </c>
      <c r="AT51" s="105"/>
      <c r="AU51" s="105"/>
      <c r="AV51" s="105"/>
      <c r="AW51" s="107"/>
      <c r="AX51" s="31"/>
      <c r="AY51" s="27" t="str">
        <f>IF($A$20="mm","mm","in")</f>
        <v>in</v>
      </c>
      <c r="AZ51" s="29" t="str">
        <f>IF(AND(AX$34="Select drop down:",AX51=""),"EQ",IF(AX51="","BLANK",IF(AX$34="Sleeved Butt Joint",IF($A$20="mm",IF(AX51&gt;=9,"EQ","REJECT"),IF(AX51&gt;=0.375,"EQ","REJECT")),IF($A$20="mm",IF(AX51&gt;=15,"EQ","REJECT"),IF(AX51&gt;=0.5625,"EQ","REJECT")))))</f>
        <v>EQ</v>
      </c>
    </row>
    <row r="52" spans="1:52" x14ac:dyDescent="0.35">
      <c r="D52" s="27"/>
      <c r="E52" s="105" t="s">
        <v>183</v>
      </c>
      <c r="F52" s="105"/>
      <c r="G52" s="105"/>
      <c r="H52" s="105"/>
      <c r="I52" s="105"/>
      <c r="J52" s="29" t="str">
        <f>IF(OR(J49="",J50="",J51=""),"",MIN(J50,J51)/J49)</f>
        <v/>
      </c>
      <c r="K52" s="27"/>
      <c r="L52" s="29" t="str">
        <f>IF(OR(J34="Select drop down:",AND(NOT(J52=""),J52&gt;=1.5)),"EQ",IF(OR(J49="",J50="",J51=""),"BLANK","REJECT"))</f>
        <v>EQ</v>
      </c>
      <c r="N52" s="27"/>
      <c r="O52" s="105" t="s">
        <v>183</v>
      </c>
      <c r="P52" s="105"/>
      <c r="Q52" s="105"/>
      <c r="R52" s="105"/>
      <c r="S52" s="105"/>
      <c r="T52" s="29" t="str">
        <f>IF(OR(T49="",T50="",T51=""),"",MIN(T50,T51)/T49)</f>
        <v/>
      </c>
      <c r="U52" s="27"/>
      <c r="V52" s="29" t="str">
        <f>IF(OR(T34="Select drop down:",AND(NOT(T52=""),T52&gt;=1.5)),"EQ",IF(OR(T49="",T50="",T51=""),"BLANK","REJECT"))</f>
        <v>EQ</v>
      </c>
      <c r="X52" s="27"/>
      <c r="Y52" s="105" t="s">
        <v>183</v>
      </c>
      <c r="Z52" s="105"/>
      <c r="AA52" s="105"/>
      <c r="AB52" s="105"/>
      <c r="AC52" s="105"/>
      <c r="AD52" s="29" t="str">
        <f>IF(OR(AD49="",AD50="",AD51=""),"",MIN(AD50,AD51)/AD49)</f>
        <v/>
      </c>
      <c r="AE52" s="27"/>
      <c r="AF52" s="29" t="str">
        <f>IF(OR(AD34="Select drop down:",AND(NOT(AD52=""),AD52&gt;=1.5)),"EQ",IF(OR(AD49="",AD50="",AD51=""),"BLANK","REJECT"))</f>
        <v>EQ</v>
      </c>
      <c r="AH52" s="27"/>
      <c r="AI52" s="105" t="s">
        <v>183</v>
      </c>
      <c r="AJ52" s="105"/>
      <c r="AK52" s="105"/>
      <c r="AL52" s="105"/>
      <c r="AM52" s="105"/>
      <c r="AN52" s="29" t="str">
        <f>IF(OR(AN49="",AN50="",AN51=""),"",MIN(AN50,AN51)/AN49)</f>
        <v/>
      </c>
      <c r="AO52" s="27"/>
      <c r="AP52" s="29" t="str">
        <f>IF(OR(AN34="Select drop down:",AND(NOT(AN52=""),AN52&gt;=1.5)),"EQ",IF(OR(AN49="",AN50="",AN51=""),"BLANK","REJECT"))</f>
        <v>EQ</v>
      </c>
      <c r="AR52" s="27"/>
      <c r="AS52" s="105" t="s">
        <v>183</v>
      </c>
      <c r="AT52" s="105"/>
      <c r="AU52" s="105"/>
      <c r="AV52" s="105"/>
      <c r="AW52" s="105"/>
      <c r="AX52" s="29" t="str">
        <f>IF(OR(AX49="",AX50="",AX51=""),"",MIN(AX50,AX51)/AX49)</f>
        <v/>
      </c>
      <c r="AY52" s="27"/>
      <c r="AZ52" s="29" t="str">
        <f>IF(OR(AX34="Select drop down:",AND(NOT(AX52=""),AX52&gt;=1.5)),"EQ",IF(OR(AX49="",AX50="",AX51=""),"BLANK","REJECT"))</f>
        <v>EQ</v>
      </c>
    </row>
    <row r="56" spans="1:52" x14ac:dyDescent="0.35">
      <c r="A56" s="57"/>
      <c r="B56" s="57"/>
      <c r="C56" s="57"/>
    </row>
  </sheetData>
  <sheetProtection algorithmName="SHA-512" hashValue="GNbn6U8p14r/BrIpiDfRXCFBGWtbvOSHqoFET/dPTg+qwxZE/WhlSxT2NwZpEe6kyyON3axjlDNC3gKAUl3Zsw==" saltValue="uJ8hcMuKAlU90SY+9tkOwQ==" spinCount="100000" sheet="1" scenarios="1"/>
  <protectedRanges>
    <protectedRange sqref="AD34 AD39:AD40 AD49:AD51" name="Bolted 3"/>
    <protectedRange sqref="T34 T39:T40 T49:T51" name="Bolted 2"/>
    <protectedRange sqref="J34 J39:J40 J49:J51" name="Bolted 1"/>
    <protectedRange sqref="AN34 AN39:AN40 AN49:AN51" name="Bolted 4"/>
    <protectedRange sqref="AX34 AX39:AX40 AX49:AX51" name="Bolted 5"/>
    <protectedRange sqref="A4" name="Sheet Control"/>
  </protectedRanges>
  <mergeCells count="120">
    <mergeCell ref="A38:C38"/>
    <mergeCell ref="A2:C2"/>
    <mergeCell ref="A3:C3"/>
    <mergeCell ref="A4:C4"/>
    <mergeCell ref="A5:C5"/>
    <mergeCell ref="N13:V14"/>
    <mergeCell ref="X13:AF14"/>
    <mergeCell ref="AH13:AP14"/>
    <mergeCell ref="AR13:AZ14"/>
    <mergeCell ref="X15:AF16"/>
    <mergeCell ref="A22:C30"/>
    <mergeCell ref="A20:C21"/>
    <mergeCell ref="AJ30:AP31"/>
    <mergeCell ref="A32:C32"/>
    <mergeCell ref="A33:C33"/>
    <mergeCell ref="A34:C34"/>
    <mergeCell ref="A35:C35"/>
    <mergeCell ref="A36:C36"/>
    <mergeCell ref="A37:C37"/>
    <mergeCell ref="A6:C19"/>
    <mergeCell ref="D13:L14"/>
    <mergeCell ref="N38:V38"/>
    <mergeCell ref="D29:L29"/>
    <mergeCell ref="N29:V29"/>
    <mergeCell ref="O51:S51"/>
    <mergeCell ref="AH30:AI31"/>
    <mergeCell ref="AH33:AP33"/>
    <mergeCell ref="AI34:AM34"/>
    <mergeCell ref="AN34:AO34"/>
    <mergeCell ref="AH36:AP36"/>
    <mergeCell ref="AH38:AP38"/>
    <mergeCell ref="AI39:AM39"/>
    <mergeCell ref="X43:AF43"/>
    <mergeCell ref="X44:AF44"/>
    <mergeCell ref="AI49:AM49"/>
    <mergeCell ref="AI50:AM50"/>
    <mergeCell ref="AI51:AM51"/>
    <mergeCell ref="AI40:AM40"/>
    <mergeCell ref="X45:AF45"/>
    <mergeCell ref="X46:AG46"/>
    <mergeCell ref="X48:AF48"/>
    <mergeCell ref="Y49:AC49"/>
    <mergeCell ref="Y50:AC50"/>
    <mergeCell ref="Y51:AC51"/>
    <mergeCell ref="Y40:AC40"/>
    <mergeCell ref="Y41:AC41"/>
    <mergeCell ref="O40:S40"/>
    <mergeCell ref="O49:S49"/>
    <mergeCell ref="E52:I52"/>
    <mergeCell ref="D33:L33"/>
    <mergeCell ref="E34:I34"/>
    <mergeCell ref="J34:K34"/>
    <mergeCell ref="D43:L43"/>
    <mergeCell ref="D44:L44"/>
    <mergeCell ref="D30:E31"/>
    <mergeCell ref="F30:L31"/>
    <mergeCell ref="D45:L45"/>
    <mergeCell ref="D46:M46"/>
    <mergeCell ref="D48:L48"/>
    <mergeCell ref="E49:I49"/>
    <mergeCell ref="E50:I50"/>
    <mergeCell ref="D38:L38"/>
    <mergeCell ref="E39:I39"/>
    <mergeCell ref="E40:I40"/>
    <mergeCell ref="E41:I41"/>
    <mergeCell ref="D36:L36"/>
    <mergeCell ref="E51:I51"/>
    <mergeCell ref="O50:S50"/>
    <mergeCell ref="AR38:AZ38"/>
    <mergeCell ref="AS39:AW39"/>
    <mergeCell ref="O52:S52"/>
    <mergeCell ref="X30:Y31"/>
    <mergeCell ref="Z30:AF31"/>
    <mergeCell ref="X33:AF33"/>
    <mergeCell ref="Y34:AC34"/>
    <mergeCell ref="AD34:AE34"/>
    <mergeCell ref="X36:AF36"/>
    <mergeCell ref="O41:S41"/>
    <mergeCell ref="N43:V43"/>
    <mergeCell ref="N44:V44"/>
    <mergeCell ref="N45:V45"/>
    <mergeCell ref="N46:W46"/>
    <mergeCell ref="N48:V48"/>
    <mergeCell ref="N30:O31"/>
    <mergeCell ref="P30:V31"/>
    <mergeCell ref="N33:V33"/>
    <mergeCell ref="O34:S34"/>
    <mergeCell ref="T34:U34"/>
    <mergeCell ref="N36:V36"/>
    <mergeCell ref="Y52:AC52"/>
    <mergeCell ref="X38:AF38"/>
    <mergeCell ref="AI52:AM52"/>
    <mergeCell ref="AR30:AS31"/>
    <mergeCell ref="AT30:AZ31"/>
    <mergeCell ref="AR33:AZ33"/>
    <mergeCell ref="AS34:AW34"/>
    <mergeCell ref="AX34:AY34"/>
    <mergeCell ref="AR36:AZ36"/>
    <mergeCell ref="AI41:AM41"/>
    <mergeCell ref="AH43:AP43"/>
    <mergeCell ref="AH44:AP44"/>
    <mergeCell ref="AH45:AP45"/>
    <mergeCell ref="AH46:AQ46"/>
    <mergeCell ref="AH48:AP48"/>
    <mergeCell ref="AS52:AW52"/>
    <mergeCell ref="AR45:AZ45"/>
    <mergeCell ref="AR46:BA46"/>
    <mergeCell ref="AR48:AZ48"/>
    <mergeCell ref="AS49:AW49"/>
    <mergeCell ref="AS50:AW50"/>
    <mergeCell ref="AS51:AW51"/>
    <mergeCell ref="X29:AF29"/>
    <mergeCell ref="AH29:AP29"/>
    <mergeCell ref="AR29:AZ29"/>
    <mergeCell ref="AS40:AW40"/>
    <mergeCell ref="AS41:AW41"/>
    <mergeCell ref="AR43:AZ43"/>
    <mergeCell ref="AR44:AZ44"/>
    <mergeCell ref="O39:S39"/>
    <mergeCell ref="Y39:AC39"/>
  </mergeCells>
  <conditionalFormatting sqref="A1:XFD1048576">
    <cfRule type="beginsWith" dxfId="2" priority="30" operator="beginsWith" text="REJECT">
      <formula>LEFT(A1,LEN("REJECT"))="REJECT"</formula>
    </cfRule>
    <cfRule type="beginsWith" dxfId="1" priority="31" operator="beginsWith" text="EQ">
      <formula>LEFT(A1,LEN("EQ"))="EQ"</formula>
    </cfRule>
    <cfRule type="beginsWith" dxfId="0" priority="32" operator="beginsWith" text="BLANK">
      <formula>LEFT(A1,LEN("BLANK"))="BLANK"</formula>
    </cfRule>
  </conditionalFormatting>
  <dataValidations count="3">
    <dataValidation type="list" allowBlank="1" showInputMessage="1" showErrorMessage="1" sqref="J38:K38 T38:U38 AD38:AE38 AN38:AO38 AX38:AY38" xr:uid="{241DD166-0E3C-4658-B977-95E43B0E7797}">
      <formula1>"Select drop down:, No rear wing., All at nodes., Away from MHB."</formula1>
    </dataValidation>
    <dataValidation type="list" allowBlank="1" showInputMessage="1" showErrorMessage="1" sqref="J34:K34 T34:U34 AD34:AE34 AN34:AO34 AX34:AY34" xr:uid="{39F11E2F-073B-40A9-A0EB-E38D31153FE5}">
      <formula1>"Select drop down:, Double Lug Joint, Sleeved Butt Joint"</formula1>
    </dataValidation>
    <dataValidation type="list" allowBlank="1" showInputMessage="1" showErrorMessage="1" sqref="A4:C4" xr:uid="{FDB8679D-A8B6-4866-AB29-C323835473EF}">
      <formula1>"Select Drop Down, Yes, 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T.2.5-6 Steel Tube Chassis</vt:lpstr>
      <vt:lpstr>T.2.4.4 Welded Tube Inserts</vt:lpstr>
      <vt:lpstr>T.2.18 Bolted 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skitter</dc:creator>
  <cp:lastModifiedBy>Ryan Good</cp:lastModifiedBy>
  <cp:lastPrinted>2018-07-31T14:49:31Z</cp:lastPrinted>
  <dcterms:created xsi:type="dcterms:W3CDTF">2018-07-25T19:50:44Z</dcterms:created>
  <dcterms:modified xsi:type="dcterms:W3CDTF">2018-12-14T12:41:07Z</dcterms:modified>
</cp:coreProperties>
</file>