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C902EA7E-DDD3-4281-A445-F0CA02F415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eneral" sheetId="6" r:id="rId1"/>
    <sheet name="Energies" sheetId="13" r:id="rId2"/>
    <sheet name="Tooling and small machinery" sheetId="8" r:id="rId3"/>
    <sheet name="Office Furniture" sheetId="14" r:id="rId4"/>
    <sheet name="Metrology" sheetId="12" r:id="rId5"/>
    <sheet name="Manpower" sheetId="11" r:id="rId6"/>
    <sheet name="TIG Welder" sheetId="10" r:id="rId7"/>
    <sheet name="Material" sheetId="2" r:id="rId8"/>
    <sheet name="IT" sheetId="9" r:id="rId9"/>
    <sheet name="CNC mill" sheetId="3" r:id="rId10"/>
    <sheet name="Laser cutter" sheetId="5" r:id="rId11"/>
    <sheet name="CNC lathes" sheetId="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6" l="1"/>
  <c r="C36" i="6"/>
  <c r="C18" i="6"/>
  <c r="C23" i="6"/>
  <c r="C29" i="6"/>
  <c r="N10" i="6" l="1"/>
  <c r="L10" i="6"/>
  <c r="E23" i="2" l="1"/>
  <c r="Q18" i="2"/>
  <c r="Q19" i="2"/>
  <c r="Q21" i="2" s="1"/>
  <c r="Q20" i="2"/>
  <c r="Q17" i="2"/>
  <c r="Q16" i="2"/>
  <c r="E18" i="2"/>
  <c r="E17" i="2"/>
  <c r="E19" i="2"/>
  <c r="E20" i="2"/>
  <c r="E21" i="2"/>
  <c r="E22" i="2"/>
  <c r="E16" i="2"/>
  <c r="H5" i="6" l="1"/>
  <c r="B5" i="13" l="1"/>
  <c r="B6" i="13" s="1"/>
  <c r="C11" i="6" s="1"/>
  <c r="E11" i="6" s="1"/>
  <c r="B30" i="11"/>
  <c r="C22" i="6" s="1"/>
  <c r="E22" i="6" s="1"/>
  <c r="D6" i="11"/>
  <c r="D7" i="11"/>
  <c r="D5" i="11"/>
  <c r="F8" i="11"/>
  <c r="G6" i="11"/>
  <c r="G7" i="11"/>
  <c r="G5" i="11"/>
  <c r="K23" i="11"/>
  <c r="K24" i="11"/>
  <c r="K22" i="11"/>
  <c r="H7" i="6"/>
  <c r="H8" i="6" s="1"/>
  <c r="G8" i="11" l="1"/>
  <c r="C21" i="6" s="1"/>
  <c r="E21" i="6" s="1"/>
  <c r="L33" i="6"/>
  <c r="N33" i="6" s="1"/>
  <c r="L34" i="6"/>
  <c r="N34" i="6" s="1"/>
  <c r="L32" i="6"/>
  <c r="N32" i="6" s="1"/>
  <c r="L31" i="6"/>
  <c r="N31" i="6" s="1"/>
  <c r="C9" i="6"/>
  <c r="E9" i="6" s="1"/>
  <c r="C6" i="6"/>
  <c r="E6" i="6" s="1"/>
  <c r="L35" i="6"/>
  <c r="N35" i="6" s="1"/>
  <c r="E29" i="3"/>
  <c r="F29" i="3" s="1"/>
  <c r="F3" i="8"/>
  <c r="C35" i="6" s="1"/>
  <c r="E35" i="6" s="1"/>
  <c r="E37" i="6"/>
  <c r="E38" i="6"/>
  <c r="F7" i="8"/>
  <c r="E36" i="6" s="1"/>
  <c r="F4" i="8"/>
  <c r="F2" i="8"/>
  <c r="L5" i="6"/>
  <c r="N5" i="6" s="1"/>
  <c r="L4" i="6"/>
  <c r="N4" i="6" s="1"/>
  <c r="H10" i="6" s="1"/>
  <c r="E13" i="6"/>
  <c r="E14" i="6"/>
  <c r="E15" i="6"/>
  <c r="E17" i="6"/>
  <c r="E18" i="6"/>
  <c r="E29" i="6"/>
  <c r="E30" i="6"/>
  <c r="E31" i="6"/>
  <c r="E32" i="6"/>
  <c r="E33" i="6"/>
  <c r="E34" i="6"/>
  <c r="B22" i="3"/>
  <c r="L3" i="6" s="1"/>
  <c r="B2" i="3"/>
  <c r="F31" i="3" l="1"/>
  <c r="L36" i="6"/>
  <c r="N36" i="6" s="1"/>
  <c r="L6" i="6"/>
  <c r="N6" i="6" s="1"/>
  <c r="N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C8" i="6" s="1"/>
  <c r="E8" i="6" s="1"/>
  <c r="C28" i="6"/>
  <c r="E28" i="6" s="1"/>
  <c r="B33" i="9"/>
  <c r="D2" i="9"/>
  <c r="C27" i="6" s="1"/>
  <c r="E27" i="6" s="1"/>
  <c r="D6" i="9"/>
  <c r="D7" i="9"/>
  <c r="D11" i="9"/>
  <c r="D12" i="9"/>
  <c r="D13" i="9"/>
  <c r="D15" i="9"/>
  <c r="D16" i="9"/>
  <c r="D17" i="9"/>
  <c r="D18" i="9"/>
  <c r="D5" i="9"/>
  <c r="C24" i="6" s="1"/>
  <c r="E24" i="6" s="1"/>
  <c r="C26" i="6"/>
  <c r="E26" i="6" s="1"/>
  <c r="C53" i="6"/>
  <c r="C52" i="6"/>
  <c r="B15" i="11"/>
  <c r="B16" i="11" s="1"/>
  <c r="C48" i="6" s="1"/>
  <c r="C46" i="6"/>
  <c r="C19" i="6" s="1"/>
  <c r="E19" i="6" s="1"/>
  <c r="C44" i="6"/>
  <c r="C45" i="6"/>
  <c r="C43" i="6"/>
  <c r="L7" i="6" l="1"/>
  <c r="C12" i="6"/>
  <c r="E12" i="6" s="1"/>
  <c r="J26" i="11"/>
  <c r="C20" i="6"/>
  <c r="E20" i="6" s="1"/>
  <c r="C51" i="6"/>
  <c r="F26" i="11"/>
  <c r="B28" i="11"/>
  <c r="H5" i="11" s="1"/>
  <c r="H15" i="6" s="1"/>
  <c r="G26" i="11"/>
  <c r="B26" i="11"/>
  <c r="C26" i="11"/>
  <c r="E26" i="11"/>
  <c r="D26" i="11"/>
  <c r="C25" i="6"/>
  <c r="E25" i="6" s="1"/>
  <c r="C5" i="6"/>
  <c r="E5" i="6" s="1"/>
  <c r="C7" i="6"/>
  <c r="E7" i="6" s="1"/>
  <c r="C4" i="6"/>
  <c r="E4" i="6" s="1"/>
  <c r="C3" i="6"/>
  <c r="E3" i="6" s="1"/>
  <c r="E23" i="6"/>
  <c r="C58" i="6" l="1"/>
  <c r="H6" i="11"/>
  <c r="H16" i="6" s="1"/>
  <c r="H7" i="11"/>
  <c r="H17" i="6" s="1"/>
  <c r="I25" i="11"/>
  <c r="D25" i="11"/>
  <c r="F25" i="11"/>
  <c r="J25" i="11"/>
  <c r="G25" i="11"/>
  <c r="C25" i="11"/>
  <c r="B25" i="11"/>
  <c r="E25" i="11"/>
  <c r="H25" i="11"/>
  <c r="I26" i="11"/>
  <c r="H26" i="11"/>
  <c r="K26" i="11" s="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5" i="2"/>
  <c r="E6" i="2"/>
  <c r="E7" i="2"/>
  <c r="E8" i="2"/>
  <c r="E9" i="2"/>
  <c r="E10" i="2"/>
  <c r="E11" i="2"/>
  <c r="E4" i="2"/>
  <c r="E12" i="2" s="1"/>
  <c r="C59" i="6" l="1"/>
  <c r="H11" i="6" s="1"/>
  <c r="Q11" i="2"/>
  <c r="J12" i="2"/>
  <c r="K25" i="11"/>
  <c r="H18" i="6" l="1"/>
  <c r="H12" i="6"/>
  <c r="H14" i="6" s="1"/>
</calcChain>
</file>

<file path=xl/sharedStrings.xml><?xml version="1.0" encoding="utf-8"?>
<sst xmlns="http://schemas.openxmlformats.org/spreadsheetml/2006/main" count="478" uniqueCount="383">
  <si>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</si>
  <si>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</si>
  <si>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</si>
  <si>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</si>
  <si>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</si>
  <si>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</si>
  <si>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</si>
  <si>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</si>
  <si>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</si>
  <si>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</si>
  <si>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</si>
  <si>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</si>
  <si>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</si>
  <si>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</si>
  <si>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</si>
  <si>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</si>
  <si>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</si>
  <si>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</si>
  <si>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</si>
  <si>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</si>
  <si>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</si>
  <si>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</si>
  <si>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Turning tools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</si>
  <si>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</si>
  <si>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</si>
  <si>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</si>
  <si>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</si>
  <si>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</si>
  <si>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</si>
  <si>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</si>
  <si>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</si>
  <si>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</si>
  <si>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</si>
  <si>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</si>
  <si>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</si>
  <si>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</si>
  <si>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</si>
  <si>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</si>
  <si>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</si>
  <si>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</si>
  <si>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</si>
  <si>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</si>
  <si>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</si>
  <si>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</si>
  <si>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</si>
  <si>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</si>
  <si>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</si>
  <si>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Compressed Air</t>
  </si>
  <si>
    <t>Maintenance of building</t>
  </si>
  <si>
    <t>Recycling/Waste Managment</t>
  </si>
  <si>
    <t>IT</t>
  </si>
  <si>
    <t>Computers</t>
  </si>
  <si>
    <t>Internet/phone access</t>
  </si>
  <si>
    <t xml:space="preserve">General 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</si>
  <si>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</si>
  <si>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</si>
  <si>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</si>
  <si>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</si>
  <si>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</si>
  <si>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</si>
  <si>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</si>
  <si>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</si>
  <si>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</si>
  <si>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</si>
  <si>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</si>
  <si>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</si>
  <si>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</si>
  <si>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</si>
  <si>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</si>
  <si>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</si>
  <si>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</si>
  <si>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</si>
  <si>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</si>
  <si>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</si>
  <si>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</si>
  <si>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</si>
  <si>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</si>
  <si>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</si>
  <si>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</si>
  <si>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</si>
  <si>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</si>
  <si>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</si>
  <si>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</si>
  <si>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</si>
  <si>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</si>
  <si>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</si>
  <si>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</si>
  <si>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</si>
  <si>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</si>
  <si>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</si>
  <si>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</si>
  <si>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</si>
  <si>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</si>
  <si>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</si>
  <si>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</si>
  <si>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</si>
  <si>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</si>
  <si>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</si>
  <si>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</si>
  <si>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</si>
  <si>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</si>
  <si>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</si>
  <si>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</si>
  <si>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</si>
  <si>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</si>
  <si>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</si>
  <si>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</si>
  <si>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</si>
  <si>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</si>
  <si>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</si>
  <si>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</si>
  <si>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</si>
  <si>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</si>
  <si>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</si>
  <si>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</si>
  <si>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</si>
  <si>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</si>
  <si>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</si>
  <si>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</si>
  <si>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</si>
  <si>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</si>
  <si>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</si>
  <si>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</si>
  <si>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</si>
  <si>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</si>
  <si>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</si>
  <si>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</si>
  <si>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</si>
  <si>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</si>
  <si>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</si>
  <si>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</si>
  <si>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</si>
  <si>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</si>
  <si>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</si>
  <si>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</si>
  <si>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</si>
  <si>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</si>
  <si>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</si>
  <si>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</si>
  <si>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</si>
  <si>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</si>
  <si>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</si>
  <si>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</si>
  <si>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</si>
  <si>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</si>
  <si>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</si>
  <si>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</si>
  <si>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</si>
  <si>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</si>
  <si>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</si>
  <si>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</si>
  <si>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</si>
  <si>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</si>
  <si>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</si>
  <si>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</si>
  <si>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</si>
  <si>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</si>
  <si>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</si>
  <si>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</si>
  <si>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</si>
  <si>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</si>
  <si>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</si>
  <si>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</si>
  <si>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</si>
  <si>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</si>
  <si>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</si>
  <si>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</si>
  <si>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</si>
  <si>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</si>
  <si>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</si>
  <si>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</si>
  <si>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</si>
  <si>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</si>
  <si>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</si>
  <si>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</si>
  <si>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</si>
  <si>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</si>
  <si>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</si>
  <si>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</si>
  <si>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</si>
  <si>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</si>
  <si>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</si>
  <si>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</si>
  <si>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</si>
  <si>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</si>
  <si>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</si>
  <si>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</si>
  <si>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</si>
  <si>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</si>
  <si>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</si>
  <si>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</si>
  <si>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</si>
  <si>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</si>
  <si>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</si>
  <si>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</si>
  <si>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</si>
  <si>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</si>
  <si>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</si>
  <si>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</si>
  <si>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</si>
  <si>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</si>
  <si>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</si>
  <si>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</si>
  <si>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</si>
  <si>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</si>
  <si>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</si>
  <si>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</si>
  <si>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</si>
  <si>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</si>
  <si>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</si>
  <si>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</si>
  <si>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</si>
  <si>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</si>
  <si>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</si>
  <si>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</si>
  <si>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</si>
  <si>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</si>
  <si>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</si>
  <si>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</si>
  <si>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</si>
  <si>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</si>
  <si>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</si>
  <si>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</si>
  <si>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</si>
  <si>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</si>
  <si>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</si>
  <si>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</si>
  <si>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</si>
  <si>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</si>
  <si>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</si>
  <si>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</si>
  <si>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</si>
  <si>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</si>
  <si>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</si>
  <si>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</si>
  <si>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</si>
  <si>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</si>
  <si>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</si>
  <si>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</si>
  <si>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</si>
  <si>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</si>
  <si>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</si>
  <si>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</si>
  <si>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</si>
  <si>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</si>
  <si>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</si>
  <si>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</si>
  <si>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</si>
  <si>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</si>
  <si>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</si>
  <si>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</si>
  <si>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</si>
  <si>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</si>
  <si>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</si>
  <si>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</si>
  <si>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</si>
  <si>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</si>
  <si>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</si>
  <si>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</si>
  <si>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</si>
  <si>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</si>
  <si>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</si>
  <si>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</si>
  <si>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</si>
  <si>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</si>
  <si>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</si>
  <si>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</si>
  <si>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</si>
  <si>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</si>
  <si>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</si>
  <si>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</si>
  <si>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</si>
  <si>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</si>
  <si>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</si>
  <si>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</si>
  <si>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</si>
  <si>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</si>
  <si>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</si>
  <si>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</si>
  <si>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</si>
  <si>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</si>
  <si>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</si>
  <si>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</si>
  <si>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</si>
  <si>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</si>
  <si>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</si>
  <si>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</si>
  <si>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</si>
  <si>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</si>
  <si>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</si>
  <si>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</si>
  <si>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</si>
  <si>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</si>
  <si>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</si>
  <si>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</si>
  <si>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</si>
  <si>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</si>
  <si>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</si>
  <si>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</si>
  <si>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</si>
  <si>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</si>
  <si>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</si>
  <si>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</si>
  <si>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</si>
  <si>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</si>
  <si>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</si>
  <si>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</si>
  <si>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</si>
  <si>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</si>
  <si>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</si>
  <si>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</si>
  <si>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Cleaning furniture</t>
  </si>
  <si>
    <t>Removal rate (min/mm^3)</t>
  </si>
  <si>
    <t>Programation time / mm^3 (40% of machining time)</t>
  </si>
  <si>
    <t>Setup time (fixture and tools) (min)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</si>
  <si>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</si>
  <si>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</si>
  <si>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</si>
  <si>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</si>
  <si>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</si>
  <si>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</si>
  <si>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</si>
  <si>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</si>
  <si>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</si>
  <si>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</si>
  <si>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</si>
  <si>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</si>
  <si>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</si>
  <si>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</si>
  <si>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</si>
  <si>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</si>
  <si>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</si>
  <si>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</si>
  <si>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</si>
  <si>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</si>
  <si>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</si>
  <si>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</si>
  <si>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</si>
  <si>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</si>
  <si>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</si>
  <si>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</si>
  <si>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</si>
  <si>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</si>
  <si>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</si>
  <si>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</si>
  <si>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</si>
  <si>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</si>
  <si>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</si>
  <si>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</si>
  <si>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</si>
  <si>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</si>
  <si>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</t>
  </si>
  <si>
    <t>Fixed cost/hour to charge on operation (machine/station/programing/metrology)</t>
  </si>
  <si>
    <t>Rond plein</t>
  </si>
  <si>
    <t>diamètre (mm)</t>
  </si>
  <si>
    <t>Alu 7075 T651</t>
  </si>
  <si>
    <t>https://www.siso.fr/produits/</t>
  </si>
  <si>
    <t>Refilling/year (4times)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</si>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</sst>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3" borderId="0" xfId="0" applyFill="1"/>
    <xf numFmtId="0" fontId="0" fillId="0" borderId="0" xfId="0" applyFill="1"/>
    <xf numFmtId="0" fontId="2" fillId="11" borderId="0" xfId="0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44" fontId="2" fillId="11" borderId="0" xfId="0" applyNumberFormat="1" applyFont="1" applyFill="1" applyAlignment="1">
      <alignment horizontal="center" vertical="center"/>
    </xf>
    <xf numFmtId="0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44" fontId="0" fillId="19" borderId="0" xfId="1" applyFont="1" applyFill="1"/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lockenstock.fr/epaisseur-32mm-et-plus-c102x2963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topLeftCell="A27" workbookViewId="0">
      <selection activeCell="B37" sqref="B37"/>
    </sheetView>
  </sheetViews>
  <sheetFormatPr baseColWidth="10" defaultRowHeight="15" x14ac:dyDescent="0.25"/>
  <cols>
    <col min="1" max="1" width="14.5703125" bestFit="1" customWidth="1"/>
    <col min="2" max="2" width="62" bestFit="1" customWidth="1"/>
    <col min="3" max="3" width="11.85546875" bestFit="1" customWidth="1"/>
    <col min="4" max="4" width="14.7109375" bestFit="1" customWidth="1"/>
    <col min="5" max="5" width="11.85546875" customWidth="1"/>
    <col min="7" max="7" width="47.5703125" bestFit="1" customWidth="1"/>
    <col min="8" max="8" width="23.85546875" customWidth="1"/>
    <col min="9" max="9" width="31" bestFit="1" customWidth="1"/>
    <col min="10" max="10" width="8.42578125" bestFit="1" customWidth="1"/>
    <col min="11" max="11" width="37.140625" bestFit="1" customWidth="1"/>
    <col min="12" max="12" width="12.85546875" bestFit="1" customWidth="1"/>
    <col min="13" max="13" width="14.7109375" bestFit="1" customWidth="1"/>
    <col min="14" max="14" width="19.140625" customWidth="1"/>
    <col min="16" max="16" width="21" bestFit="1" customWidth="1"/>
    <col min="17" max="17" width="14.5703125" bestFit="1" customWidth="1"/>
  </cols>
  <sheetData>
    <row r="1" spans="1:22" x14ac:dyDescent="0.25">
      <c r="A1" s="53" t="s">
        <v>14</v>
      </c>
      <c r="B1" s="53"/>
      <c r="C1" s="53"/>
      <c r="D1" s="35"/>
      <c r="E1" s="35"/>
      <c r="G1" s="51" t="s">
        <v>267</v>
      </c>
      <c r="H1" s="51"/>
      <c r="I1" s="51"/>
      <c r="J1" s="51"/>
      <c r="K1" s="51"/>
      <c r="L1" s="51"/>
      <c r="M1" s="34"/>
      <c r="N1" s="34"/>
      <c r="P1" s="52" t="s">
        <v>30</v>
      </c>
      <c r="Q1" s="52"/>
      <c r="R1" s="52"/>
      <c r="T1" s="54" t="s">
        <v>65</v>
      </c>
      <c r="U1" s="54"/>
      <c r="V1" s="54"/>
    </row>
    <row r="2" spans="1:22" ht="30" x14ac:dyDescent="0.25">
      <c r="A2" s="3" t="s">
        <v>39</v>
      </c>
      <c r="B2" s="3" t="s">
        <v>31</v>
      </c>
      <c r="C2" s="3" t="s">
        <v>18</v>
      </c>
      <c r="D2" s="38" t="s">
        <v>262</v>
      </c>
      <c r="E2" s="35" t="s">
        <v>265</v>
      </c>
      <c r="G2" s="8" t="s">
        <v>16</v>
      </c>
      <c r="H2" s="34"/>
      <c r="I2" s="8" t="s">
        <v>17</v>
      </c>
      <c r="J2" s="34" t="s">
        <v>270</v>
      </c>
      <c r="K2" s="34" t="s">
        <v>276</v>
      </c>
      <c r="L2" s="8" t="s">
        <v>18</v>
      </c>
      <c r="M2" s="39" t="s">
        <v>262</v>
      </c>
      <c r="N2" s="34" t="s">
        <v>265</v>
      </c>
      <c r="P2" s="12" t="s">
        <v>16</v>
      </c>
      <c r="Q2" s="12" t="s">
        <v>31</v>
      </c>
      <c r="R2" s="12" t="s">
        <v>18</v>
      </c>
      <c r="T2" s="16" t="s">
        <v>16</v>
      </c>
      <c r="U2" s="16" t="s">
        <v>17</v>
      </c>
      <c r="V2" s="16" t="s">
        <v>18</v>
      </c>
    </row>
    <row r="3" spans="1:22" x14ac:dyDescent="0.25">
      <c r="A3" s="4" t="s">
        <v>40</v>
      </c>
      <c r="B3" t="s">
        <v>255</v>
      </c>
      <c r="C3" s="25">
        <f>SUM(Metrology!E14:E17)</f>
        <v>2320</v>
      </c>
      <c r="D3" s="37">
        <v>10</v>
      </c>
      <c r="E3" s="25">
        <f>C3/D3</f>
        <v>232</v>
      </c>
      <c r="G3" s="56" t="s">
        <v>15</v>
      </c>
      <c r="H3" s="56"/>
      <c r="I3" t="s">
        <v>266</v>
      </c>
      <c r="J3" t="s">
        <v>271</v>
      </c>
      <c r="L3" s="24">
        <f>'CNC mill'!B22</f>
        <v>108020</v>
      </c>
      <c r="M3">
        <v>10</v>
      </c>
      <c r="N3" s="24">
        <f>L3/M3</f>
        <v>10802</v>
      </c>
      <c r="P3" s="13" t="s">
        <v>32</v>
      </c>
      <c r="Q3" t="s">
        <v>60</v>
      </c>
      <c r="U3" t="s">
        <v>66</v>
      </c>
    </row>
    <row r="4" spans="1:22" x14ac:dyDescent="0.25">
      <c r="A4" s="4"/>
      <c r="B4" t="s">
        <v>254</v>
      </c>
      <c r="C4" s="25">
        <f>SUM(Metrology!E18:E19)</f>
        <v>1838.4</v>
      </c>
      <c r="D4" s="37">
        <v>10</v>
      </c>
      <c r="E4" s="25">
        <f t="shared" ref="E4:E38" si="0">C4/D4</f>
        <v>183.84</v>
      </c>
      <c r="G4" s="9" t="s">
        <v>338</v>
      </c>
      <c r="H4" s="9">
        <v>22.4</v>
      </c>
      <c r="I4" t="s">
        <v>268</v>
      </c>
      <c r="J4" t="s">
        <v>271</v>
      </c>
      <c r="L4" s="24">
        <f>'CNC mill'!B23*'CNC mill'!C23</f>
        <v>3200</v>
      </c>
      <c r="M4">
        <v>5</v>
      </c>
      <c r="N4" s="24">
        <f t="shared" ref="N4:N6" si="1">L4/M4</f>
        <v>640</v>
      </c>
      <c r="P4" s="13"/>
      <c r="Q4" t="s">
        <v>33</v>
      </c>
      <c r="U4" t="s">
        <v>67</v>
      </c>
    </row>
    <row r="5" spans="1:22" x14ac:dyDescent="0.25">
      <c r="A5" s="4"/>
      <c r="B5" t="s">
        <v>253</v>
      </c>
      <c r="C5" s="25">
        <f>SUM(Metrology!E2:E8)+Metrology!E2+Metrology!E4+Metrology!E3+Metrology!E7+Metrology!E8</f>
        <v>1272</v>
      </c>
      <c r="D5" s="37">
        <v>10</v>
      </c>
      <c r="E5" s="25">
        <f t="shared" si="0"/>
        <v>127.2</v>
      </c>
      <c r="G5" s="9" t="s">
        <v>287</v>
      </c>
      <c r="H5" s="40">
        <f>C49</f>
        <v>0.75</v>
      </c>
      <c r="I5" t="s">
        <v>269</v>
      </c>
      <c r="J5" t="s">
        <v>271</v>
      </c>
      <c r="L5" s="24">
        <f>'CNC mill'!B24</f>
        <v>2500</v>
      </c>
      <c r="M5">
        <v>5</v>
      </c>
      <c r="N5" s="24">
        <f t="shared" si="1"/>
        <v>500</v>
      </c>
      <c r="P5" s="14" t="s">
        <v>34</v>
      </c>
      <c r="Q5" t="s">
        <v>35</v>
      </c>
    </row>
    <row r="6" spans="1:22" x14ac:dyDescent="0.25">
      <c r="A6" s="4"/>
      <c r="B6" t="s">
        <v>43</v>
      </c>
      <c r="C6" s="24">
        <f>Metrology!E23</f>
        <v>48334.81</v>
      </c>
      <c r="D6" s="37">
        <v>10</v>
      </c>
      <c r="E6" s="25">
        <f t="shared" si="0"/>
        <v>4833.4809999999998</v>
      </c>
      <c r="G6" s="9" t="s">
        <v>288</v>
      </c>
      <c r="H6" s="9">
        <v>10</v>
      </c>
      <c r="I6" t="s">
        <v>27</v>
      </c>
      <c r="J6" t="s">
        <v>271</v>
      </c>
      <c r="K6" t="s">
        <v>280</v>
      </c>
      <c r="L6" s="24">
        <f>0.05*L3</f>
        <v>5401</v>
      </c>
      <c r="M6">
        <v>1</v>
      </c>
      <c r="N6" s="24">
        <f t="shared" si="1"/>
        <v>5401</v>
      </c>
      <c r="P6" s="14"/>
      <c r="Q6" t="s">
        <v>36</v>
      </c>
    </row>
    <row r="7" spans="1:22" x14ac:dyDescent="0.25">
      <c r="A7" s="4"/>
      <c r="B7" t="s">
        <v>256</v>
      </c>
      <c r="C7" s="25">
        <f>SUM(Metrology!E10:E12)</f>
        <v>3209.6000000000004</v>
      </c>
      <c r="D7" s="37">
        <v>10</v>
      </c>
      <c r="E7" s="25">
        <f t="shared" si="0"/>
        <v>320.96000000000004</v>
      </c>
      <c r="G7" s="9" t="s">
        <v>312</v>
      </c>
      <c r="H7" s="45">
        <f>1/10000</f>
        <v>1E-4</v>
      </c>
      <c r="I7" t="s">
        <v>24</v>
      </c>
      <c r="J7" t="s">
        <v>272</v>
      </c>
      <c r="K7" t="s">
        <v>339</v>
      </c>
      <c r="L7" s="33">
        <f>H4*0.8*C53</f>
        <v>1.4031359999999997</v>
      </c>
      <c r="P7" s="14"/>
    </row>
    <row r="8" spans="1:22" x14ac:dyDescent="0.25">
      <c r="A8" s="4"/>
      <c r="B8" t="s">
        <v>257</v>
      </c>
      <c r="C8" s="25">
        <f>2*Metrology!E21</f>
        <v>492.90039304557206</v>
      </c>
      <c r="D8" s="37">
        <v>10</v>
      </c>
      <c r="E8" s="25">
        <f t="shared" si="0"/>
        <v>49.290039304557205</v>
      </c>
      <c r="G8" s="9" t="s">
        <v>313</v>
      </c>
      <c r="H8" s="45">
        <f>H7*0.4</f>
        <v>4.0000000000000003E-5</v>
      </c>
      <c r="I8" t="s">
        <v>273</v>
      </c>
      <c r="J8" t="s">
        <v>272</v>
      </c>
      <c r="K8" t="s">
        <v>278</v>
      </c>
      <c r="P8" s="14"/>
    </row>
    <row r="9" spans="1:22" x14ac:dyDescent="0.25">
      <c r="A9" s="4"/>
      <c r="B9" t="s">
        <v>298</v>
      </c>
      <c r="C9" s="24">
        <f>Metrology!E25</f>
        <v>5390</v>
      </c>
      <c r="D9" s="37">
        <v>10</v>
      </c>
      <c r="E9" s="25">
        <f t="shared" si="0"/>
        <v>539</v>
      </c>
      <c r="G9" s="9" t="s">
        <v>314</v>
      </c>
      <c r="H9" s="9">
        <v>15</v>
      </c>
      <c r="I9" t="s">
        <v>275</v>
      </c>
      <c r="J9" t="s">
        <v>272</v>
      </c>
      <c r="K9" t="s">
        <v>346</v>
      </c>
      <c r="L9" s="2">
        <v>20</v>
      </c>
      <c r="P9" s="14"/>
    </row>
    <row r="10" spans="1:22" x14ac:dyDescent="0.25">
      <c r="A10" s="5" t="s">
        <v>44</v>
      </c>
      <c r="B10" s="31" t="s">
        <v>45</v>
      </c>
      <c r="E10" s="25"/>
      <c r="G10" s="9" t="s">
        <v>363</v>
      </c>
      <c r="H10" s="48">
        <f>SUM(N3:N6)+N10</f>
        <v>17695.1024</v>
      </c>
      <c r="I10" t="s">
        <v>274</v>
      </c>
      <c r="J10" t="s">
        <v>272</v>
      </c>
      <c r="K10" t="s">
        <v>357</v>
      </c>
      <c r="L10" s="24">
        <f>4*'CNC mill'!F31</f>
        <v>352.10239999999999</v>
      </c>
      <c r="M10">
        <v>1</v>
      </c>
      <c r="N10" s="24">
        <f t="shared" ref="N10" si="2">L10/M10</f>
        <v>352.10239999999999</v>
      </c>
      <c r="P10" s="14"/>
      <c r="Q10" t="s">
        <v>33</v>
      </c>
    </row>
    <row r="11" spans="1:22" x14ac:dyDescent="0.25">
      <c r="A11" s="5"/>
      <c r="B11" s="43" t="s">
        <v>342</v>
      </c>
      <c r="C11" s="24">
        <f>Energies!B6</f>
        <v>2843.9040000000005</v>
      </c>
      <c r="D11">
        <v>1</v>
      </c>
      <c r="E11" s="25">
        <f t="shared" si="0"/>
        <v>2843.9040000000005</v>
      </c>
      <c r="G11" s="9" t="s">
        <v>364</v>
      </c>
      <c r="H11" s="48">
        <f>H10/(H5*C47*C48)+C59</f>
        <v>27.505640522569635</v>
      </c>
      <c r="P11" s="15" t="s">
        <v>69</v>
      </c>
      <c r="Q11" t="s">
        <v>70</v>
      </c>
    </row>
    <row r="12" spans="1:22" x14ac:dyDescent="0.25">
      <c r="A12" s="5"/>
      <c r="B12" s="43" t="s">
        <v>343</v>
      </c>
      <c r="C12" s="2">
        <f>16*C47*C48*C53</f>
        <v>1999.4687999999999</v>
      </c>
      <c r="D12">
        <v>1</v>
      </c>
      <c r="E12" s="25">
        <f t="shared" si="0"/>
        <v>1999.4687999999999</v>
      </c>
      <c r="G12" s="44" t="s">
        <v>365</v>
      </c>
      <c r="H12" s="48">
        <f>H11+L9+L7</f>
        <v>48.908776522569632</v>
      </c>
      <c r="P12" s="18"/>
      <c r="Q12" t="s">
        <v>33</v>
      </c>
    </row>
    <row r="13" spans="1:22" x14ac:dyDescent="0.25">
      <c r="A13" s="5"/>
      <c r="B13" s="43"/>
      <c r="D13">
        <v>1</v>
      </c>
      <c r="E13" s="25">
        <f t="shared" si="0"/>
        <v>0</v>
      </c>
      <c r="G13" s="44"/>
      <c r="H13" s="44"/>
    </row>
    <row r="14" spans="1:22" x14ac:dyDescent="0.25">
      <c r="A14" s="5"/>
      <c r="B14" s="42" t="s">
        <v>46</v>
      </c>
      <c r="D14">
        <v>1</v>
      </c>
      <c r="E14" s="25">
        <f t="shared" si="0"/>
        <v>0</v>
      </c>
      <c r="G14" s="44" t="s">
        <v>347</v>
      </c>
      <c r="H14" s="45">
        <f>(Manpower!H5+H12)*H7/60</f>
        <v>1.038371003864047E-4</v>
      </c>
      <c r="I14" s="1"/>
    </row>
    <row r="15" spans="1:22" x14ac:dyDescent="0.25">
      <c r="A15" s="5"/>
      <c r="B15" s="43" t="s">
        <v>47</v>
      </c>
      <c r="D15">
        <v>1</v>
      </c>
      <c r="E15" s="25">
        <f t="shared" si="0"/>
        <v>0</v>
      </c>
      <c r="G15" s="44" t="s">
        <v>350</v>
      </c>
      <c r="H15" s="49">
        <f>(Manpower!H5)*H8/60</f>
        <v>8.9289891395154577E-6</v>
      </c>
    </row>
    <row r="16" spans="1:22" x14ac:dyDescent="0.25">
      <c r="A16" s="5"/>
      <c r="B16" s="31" t="s">
        <v>48</v>
      </c>
      <c r="E16" s="25"/>
      <c r="G16" s="44" t="s">
        <v>348</v>
      </c>
      <c r="H16" s="49">
        <f>(Manpower!H6)*H8/60</f>
        <v>1.6628654970760235E-5</v>
      </c>
    </row>
    <row r="17" spans="1:14" x14ac:dyDescent="0.25">
      <c r="A17" s="5"/>
      <c r="B17" t="s">
        <v>49</v>
      </c>
      <c r="D17">
        <v>1</v>
      </c>
      <c r="E17" s="25">
        <f t="shared" si="0"/>
        <v>0</v>
      </c>
      <c r="G17" s="44" t="s">
        <v>349</v>
      </c>
      <c r="H17" s="49">
        <f>(Manpower!H7)*H8/60</f>
        <v>2.9174185463659156E-5</v>
      </c>
    </row>
    <row r="18" spans="1:14" x14ac:dyDescent="0.25">
      <c r="A18" s="5"/>
      <c r="B18" t="s">
        <v>64</v>
      </c>
      <c r="C18" s="24">
        <f>'Office Furniture'!D2*2+'Office Furniture'!D3*2+'Office Furniture'!D4*2+'Office Furniture'!D5*2+'Office Furniture'!D6+'Office Furniture'!D7+'Office Furniture'!D8*10</f>
        <v>10550</v>
      </c>
      <c r="D18">
        <v>10</v>
      </c>
      <c r="E18" s="25">
        <f t="shared" si="0"/>
        <v>1055</v>
      </c>
      <c r="G18" s="44" t="s">
        <v>362</v>
      </c>
      <c r="H18" s="48">
        <f>(Manpower!H5+H11)*(H9+H6)/60</f>
        <v>17.041301763267843</v>
      </c>
    </row>
    <row r="19" spans="1:14" x14ac:dyDescent="0.25">
      <c r="A19" s="6" t="s">
        <v>335</v>
      </c>
      <c r="B19" t="s">
        <v>189</v>
      </c>
      <c r="C19" s="24">
        <f>C46</f>
        <v>39809</v>
      </c>
      <c r="D19" s="37">
        <v>1</v>
      </c>
      <c r="E19" s="25">
        <f t="shared" si="0"/>
        <v>39809</v>
      </c>
      <c r="G19" s="10" t="s">
        <v>20</v>
      </c>
      <c r="H19" s="10"/>
      <c r="I19" t="s">
        <v>21</v>
      </c>
      <c r="J19" t="s">
        <v>271</v>
      </c>
      <c r="M19">
        <v>10</v>
      </c>
    </row>
    <row r="20" spans="1:14" x14ac:dyDescent="0.25">
      <c r="A20" s="6"/>
      <c r="B20" t="s">
        <v>323</v>
      </c>
      <c r="C20" s="24">
        <f>C45*0.4</f>
        <v>27937.200000000001</v>
      </c>
      <c r="D20" s="37">
        <v>1</v>
      </c>
      <c r="E20" s="25">
        <f t="shared" si="0"/>
        <v>27937.200000000001</v>
      </c>
      <c r="G20" s="10"/>
      <c r="H20" s="10"/>
      <c r="I20" t="s">
        <v>22</v>
      </c>
    </row>
    <row r="21" spans="1:14" x14ac:dyDescent="0.25">
      <c r="A21" s="6"/>
      <c r="B21" t="s">
        <v>336</v>
      </c>
      <c r="C21" s="24">
        <f>Manpower!G8</f>
        <v>24683.68</v>
      </c>
      <c r="D21" s="37">
        <v>1</v>
      </c>
      <c r="E21" s="25">
        <f t="shared" si="0"/>
        <v>24683.68</v>
      </c>
      <c r="G21" s="10"/>
      <c r="H21" s="46"/>
      <c r="I21" t="s">
        <v>19</v>
      </c>
    </row>
    <row r="22" spans="1:14" x14ac:dyDescent="0.25">
      <c r="A22" s="6"/>
      <c r="B22" t="s">
        <v>337</v>
      </c>
      <c r="C22" s="24">
        <f>Manpower!B30</f>
        <v>13716.36</v>
      </c>
      <c r="D22" s="37">
        <v>1</v>
      </c>
      <c r="E22" s="25">
        <f t="shared" si="0"/>
        <v>13716.36</v>
      </c>
      <c r="G22" s="10"/>
      <c r="H22" s="10"/>
      <c r="I22" t="s">
        <v>23</v>
      </c>
    </row>
    <row r="23" spans="1:14" x14ac:dyDescent="0.25">
      <c r="A23" s="7" t="s">
        <v>50</v>
      </c>
      <c r="B23" t="s">
        <v>51</v>
      </c>
      <c r="C23" s="24">
        <f>IT!D11+IT!D12+IT!D13+4*IT!D15+IT!D16+3*IT!D17+IT!D18</f>
        <v>4796.88</v>
      </c>
      <c r="D23" s="37">
        <v>5</v>
      </c>
      <c r="E23" s="25">
        <f t="shared" si="0"/>
        <v>959.37599999999998</v>
      </c>
      <c r="G23" s="10"/>
      <c r="H23" s="47"/>
      <c r="I23" t="s">
        <v>24</v>
      </c>
    </row>
    <row r="24" spans="1:14" x14ac:dyDescent="0.25">
      <c r="A24" s="7"/>
      <c r="B24" t="s">
        <v>263</v>
      </c>
      <c r="C24" s="24">
        <f>IT!D5</f>
        <v>192.96</v>
      </c>
      <c r="D24" s="37">
        <v>5</v>
      </c>
      <c r="E24" s="25">
        <f t="shared" si="0"/>
        <v>38.591999999999999</v>
      </c>
      <c r="G24" s="10"/>
      <c r="H24" s="47"/>
      <c r="I24" t="s">
        <v>27</v>
      </c>
    </row>
    <row r="25" spans="1:14" x14ac:dyDescent="0.25">
      <c r="A25" s="7"/>
      <c r="B25" t="s">
        <v>264</v>
      </c>
      <c r="C25" s="24">
        <f>2*IT!D6+IT!D7+2*IT!D8+IT!D9</f>
        <v>277.54199999999997</v>
      </c>
      <c r="D25" s="37">
        <v>1</v>
      </c>
      <c r="E25" s="25">
        <f t="shared" si="0"/>
        <v>277.54199999999997</v>
      </c>
      <c r="G25" s="10"/>
      <c r="H25" s="10"/>
      <c r="I25" t="s">
        <v>61</v>
      </c>
    </row>
    <row r="26" spans="1:14" x14ac:dyDescent="0.25">
      <c r="A26" s="7"/>
      <c r="B26" t="s">
        <v>237</v>
      </c>
      <c r="C26" s="24">
        <f>IT!D3*12*3</f>
        <v>316.8</v>
      </c>
      <c r="D26" s="37">
        <v>1</v>
      </c>
      <c r="E26" s="25">
        <f t="shared" si="0"/>
        <v>316.8</v>
      </c>
      <c r="G26" s="11" t="s">
        <v>25</v>
      </c>
      <c r="H26" s="11"/>
      <c r="I26" t="s">
        <v>26</v>
      </c>
    </row>
    <row r="27" spans="1:14" x14ac:dyDescent="0.25">
      <c r="A27" s="7"/>
      <c r="B27" t="s">
        <v>238</v>
      </c>
      <c r="C27" s="24">
        <f>IT!D2*2</f>
        <v>796.80000000000007</v>
      </c>
      <c r="D27" s="37">
        <v>1</v>
      </c>
      <c r="E27" s="25">
        <f t="shared" si="0"/>
        <v>796.80000000000007</v>
      </c>
      <c r="G27" s="11"/>
      <c r="H27" s="11"/>
      <c r="I27" t="s">
        <v>23</v>
      </c>
    </row>
    <row r="28" spans="1:14" x14ac:dyDescent="0.25">
      <c r="A28" s="7"/>
      <c r="B28" t="s">
        <v>52</v>
      </c>
      <c r="C28" s="24">
        <f>12*IT!D20</f>
        <v>1224</v>
      </c>
      <c r="D28" s="37">
        <v>1</v>
      </c>
      <c r="E28" s="25">
        <f t="shared" si="0"/>
        <v>1224</v>
      </c>
      <c r="G28" s="11"/>
      <c r="H28" s="11"/>
      <c r="I28" t="s">
        <v>28</v>
      </c>
    </row>
    <row r="29" spans="1:14" x14ac:dyDescent="0.25">
      <c r="A29" s="7"/>
      <c r="B29" t="s">
        <v>243</v>
      </c>
      <c r="C29" s="24">
        <f>IT!D23+IT!D22</f>
        <v>381</v>
      </c>
      <c r="D29" s="37">
        <v>5</v>
      </c>
      <c r="E29" s="25">
        <f t="shared" si="0"/>
        <v>76.2</v>
      </c>
      <c r="G29" s="11"/>
      <c r="H29" s="11"/>
      <c r="I29" t="s">
        <v>27</v>
      </c>
    </row>
    <row r="30" spans="1:14" x14ac:dyDescent="0.25">
      <c r="A30" s="4" t="s">
        <v>53</v>
      </c>
      <c r="B30" s="31" t="s">
        <v>54</v>
      </c>
      <c r="D30" s="37">
        <v>1</v>
      </c>
      <c r="E30" s="25">
        <f t="shared" si="0"/>
        <v>0</v>
      </c>
      <c r="G30" s="11"/>
      <c r="H30" s="11"/>
      <c r="I30" t="s">
        <v>62</v>
      </c>
    </row>
    <row r="31" spans="1:14" x14ac:dyDescent="0.25">
      <c r="A31" s="4"/>
      <c r="B31" s="42" t="s">
        <v>55</v>
      </c>
      <c r="D31" s="37">
        <v>1</v>
      </c>
      <c r="E31" s="25">
        <f t="shared" si="0"/>
        <v>0</v>
      </c>
      <c r="G31" s="9" t="s">
        <v>29</v>
      </c>
      <c r="H31" s="9"/>
      <c r="I31" t="s">
        <v>302</v>
      </c>
      <c r="J31" t="s">
        <v>271</v>
      </c>
      <c r="L31" s="24">
        <f>'TIG Welder'!F2+'TIG Welder'!F3</f>
        <v>5308.6</v>
      </c>
      <c r="M31">
        <v>10</v>
      </c>
      <c r="N31" s="24">
        <f>L31/M31</f>
        <v>530.86</v>
      </c>
    </row>
    <row r="32" spans="1:14" x14ac:dyDescent="0.25">
      <c r="A32" s="4"/>
      <c r="D32" s="37">
        <v>1</v>
      </c>
      <c r="E32" s="25">
        <f t="shared" si="0"/>
        <v>0</v>
      </c>
      <c r="G32" s="9"/>
      <c r="H32" s="9"/>
      <c r="I32" t="s">
        <v>57</v>
      </c>
      <c r="J32" t="s">
        <v>271</v>
      </c>
      <c r="L32" s="24">
        <f>'TIG Welder'!F4</f>
        <v>3859.6</v>
      </c>
      <c r="M32">
        <v>10</v>
      </c>
      <c r="N32" s="24">
        <f t="shared" ref="N32:N36" si="3">L32/M32</f>
        <v>385.96</v>
      </c>
    </row>
    <row r="33" spans="1:14" x14ac:dyDescent="0.25">
      <c r="A33" s="4"/>
      <c r="B33" t="s">
        <v>56</v>
      </c>
      <c r="C33" s="57">
        <v>100</v>
      </c>
      <c r="D33" s="37">
        <v>1</v>
      </c>
      <c r="E33" s="25">
        <f t="shared" si="0"/>
        <v>100</v>
      </c>
      <c r="G33" s="9"/>
      <c r="H33" s="9"/>
      <c r="I33" t="s">
        <v>307</v>
      </c>
      <c r="J33" t="s">
        <v>271</v>
      </c>
      <c r="L33" s="24">
        <f>'TIG Welder'!F6</f>
        <v>146</v>
      </c>
      <c r="M33">
        <v>5</v>
      </c>
      <c r="N33" s="24">
        <f t="shared" si="3"/>
        <v>29.2</v>
      </c>
    </row>
    <row r="34" spans="1:14" x14ac:dyDescent="0.25">
      <c r="A34" s="4"/>
      <c r="B34" s="17" t="s">
        <v>68</v>
      </c>
      <c r="D34" s="37">
        <v>10</v>
      </c>
      <c r="E34" s="25">
        <f t="shared" si="0"/>
        <v>0</v>
      </c>
      <c r="G34" s="9"/>
      <c r="H34" s="9"/>
      <c r="I34" t="s">
        <v>37</v>
      </c>
      <c r="J34" t="s">
        <v>271</v>
      </c>
      <c r="L34" s="24">
        <f>'TIG Welder'!F6+'TIG Welder'!F7</f>
        <v>196</v>
      </c>
      <c r="M34">
        <v>2</v>
      </c>
      <c r="N34" s="24">
        <f t="shared" si="3"/>
        <v>98</v>
      </c>
    </row>
    <row r="35" spans="1:14" x14ac:dyDescent="0.25">
      <c r="A35" s="5" t="s">
        <v>58</v>
      </c>
      <c r="B35" t="s">
        <v>59</v>
      </c>
      <c r="C35" s="24">
        <f>'Tooling and small machinery'!F3</f>
        <v>12388.902659254276</v>
      </c>
      <c r="D35">
        <v>10</v>
      </c>
      <c r="E35" s="25">
        <f t="shared" si="0"/>
        <v>1238.8902659254277</v>
      </c>
      <c r="G35" s="9"/>
      <c r="H35" s="9"/>
      <c r="I35" t="s">
        <v>292</v>
      </c>
      <c r="J35" t="s">
        <v>271</v>
      </c>
      <c r="L35" s="24">
        <f>'TIG Welder'!F5</f>
        <v>8579</v>
      </c>
      <c r="M35">
        <v>10</v>
      </c>
      <c r="N35" s="24">
        <f t="shared" si="3"/>
        <v>857.9</v>
      </c>
    </row>
    <row r="36" spans="1:14" x14ac:dyDescent="0.25">
      <c r="A36" s="5"/>
      <c r="B36" t="s">
        <v>382</v>
      </c>
      <c r="C36" s="24">
        <f>'Tooling and small machinery'!F6*3+'Tooling and small machinery'!F7*3</f>
        <v>8137.4519999999993</v>
      </c>
      <c r="D36">
        <v>10</v>
      </c>
      <c r="E36" s="25">
        <f t="shared" si="0"/>
        <v>813.74519999999995</v>
      </c>
      <c r="G36" s="9"/>
      <c r="H36" s="9"/>
      <c r="I36" t="s">
        <v>27</v>
      </c>
      <c r="J36" t="s">
        <v>271</v>
      </c>
      <c r="K36" t="s">
        <v>306</v>
      </c>
      <c r="L36" s="24">
        <f>0.03*(L31+L32)</f>
        <v>275.04599999999999</v>
      </c>
      <c r="M36">
        <v>1</v>
      </c>
      <c r="N36" s="24">
        <f t="shared" si="3"/>
        <v>275.04599999999999</v>
      </c>
    </row>
    <row r="37" spans="1:14" x14ac:dyDescent="0.25">
      <c r="A37" s="5"/>
      <c r="B37" t="s">
        <v>63</v>
      </c>
      <c r="C37" s="24">
        <f>'Office Furniture'!D11*6+'Office Furniture'!D12*3</f>
        <v>7066.95</v>
      </c>
      <c r="D37">
        <v>10</v>
      </c>
      <c r="E37" s="25">
        <f t="shared" si="0"/>
        <v>706.69499999999994</v>
      </c>
      <c r="G37" s="9"/>
      <c r="H37" s="9"/>
      <c r="I37" t="s">
        <v>24</v>
      </c>
      <c r="J37" t="s">
        <v>272</v>
      </c>
      <c r="K37" t="s">
        <v>277</v>
      </c>
    </row>
    <row r="38" spans="1:14" x14ac:dyDescent="0.25">
      <c r="A38" s="6" t="s">
        <v>71</v>
      </c>
      <c r="B38" t="s">
        <v>311</v>
      </c>
      <c r="D38">
        <v>1</v>
      </c>
      <c r="E38" s="25">
        <f t="shared" si="0"/>
        <v>0</v>
      </c>
      <c r="G38" s="20"/>
      <c r="H38" s="20"/>
      <c r="I38" t="s">
        <v>38</v>
      </c>
      <c r="J38" t="s">
        <v>272</v>
      </c>
      <c r="K38" t="s">
        <v>293</v>
      </c>
    </row>
    <row r="39" spans="1:14" x14ac:dyDescent="0.25">
      <c r="G39" s="21"/>
      <c r="H39" s="21"/>
      <c r="I39" t="s">
        <v>294</v>
      </c>
      <c r="J39" t="s">
        <v>272</v>
      </c>
      <c r="K39" t="s">
        <v>279</v>
      </c>
    </row>
    <row r="41" spans="1:14" x14ac:dyDescent="0.25">
      <c r="A41" s="55" t="s">
        <v>72</v>
      </c>
      <c r="B41" s="55"/>
      <c r="C41" s="55"/>
      <c r="D41" s="36"/>
      <c r="E41" s="36"/>
    </row>
    <row r="42" spans="1:14" x14ac:dyDescent="0.25">
      <c r="A42" s="19" t="s">
        <v>39</v>
      </c>
      <c r="B42" s="19" t="s">
        <v>17</v>
      </c>
      <c r="C42" s="19" t="s">
        <v>73</v>
      </c>
      <c r="D42" s="19" t="s">
        <v>289</v>
      </c>
      <c r="E42" s="19"/>
    </row>
    <row r="43" spans="1:14" x14ac:dyDescent="0.25">
      <c r="A43" t="s">
        <v>74</v>
      </c>
      <c r="B43" t="s">
        <v>33</v>
      </c>
      <c r="C43" s="24">
        <f>Manpower!C5</f>
        <v>21376</v>
      </c>
      <c r="D43" s="24"/>
      <c r="E43" s="24"/>
    </row>
    <row r="44" spans="1:14" x14ac:dyDescent="0.25">
      <c r="B44" t="s">
        <v>75</v>
      </c>
      <c r="C44" s="24">
        <f>Manpower!C6</f>
        <v>39809</v>
      </c>
      <c r="D44" s="24"/>
      <c r="E44" s="24"/>
    </row>
    <row r="45" spans="1:14" x14ac:dyDescent="0.25">
      <c r="B45" t="s">
        <v>76</v>
      </c>
      <c r="C45" s="24">
        <f>Manpower!C7</f>
        <v>69843</v>
      </c>
      <c r="D45" s="24"/>
      <c r="E45" s="24"/>
    </row>
    <row r="46" spans="1:14" x14ac:dyDescent="0.25">
      <c r="B46" t="s">
        <v>77</v>
      </c>
      <c r="C46" s="24">
        <f>Manpower!C6</f>
        <v>39809</v>
      </c>
      <c r="D46" s="24"/>
      <c r="E46" s="24"/>
    </row>
    <row r="47" spans="1:14" x14ac:dyDescent="0.25">
      <c r="A47" t="s">
        <v>78</v>
      </c>
      <c r="B47" t="s">
        <v>79</v>
      </c>
      <c r="C47">
        <v>35</v>
      </c>
    </row>
    <row r="48" spans="1:14" x14ac:dyDescent="0.25">
      <c r="B48" t="s">
        <v>80</v>
      </c>
      <c r="C48" s="29">
        <f>Manpower!B16</f>
        <v>45.6</v>
      </c>
      <c r="D48" s="29"/>
      <c r="E48" s="29"/>
    </row>
    <row r="49" spans="1:5" x14ac:dyDescent="0.25">
      <c r="B49" t="s">
        <v>81</v>
      </c>
      <c r="C49" s="28">
        <v>0.75</v>
      </c>
      <c r="D49" s="28" t="s">
        <v>331</v>
      </c>
      <c r="E49" s="28"/>
    </row>
    <row r="50" spans="1:5" x14ac:dyDescent="0.25">
      <c r="B50" t="s">
        <v>315</v>
      </c>
      <c r="C50" s="28">
        <v>0.9</v>
      </c>
      <c r="D50" s="28" t="s">
        <v>332</v>
      </c>
      <c r="E50" s="28"/>
    </row>
    <row r="51" spans="1:5" x14ac:dyDescent="0.25">
      <c r="B51" t="s">
        <v>309</v>
      </c>
      <c r="C51" s="41">
        <f>C48*C47*C49*C57</f>
        <v>7182</v>
      </c>
      <c r="D51" s="28"/>
      <c r="E51" s="28"/>
    </row>
    <row r="52" spans="1:5" x14ac:dyDescent="0.25">
      <c r="A52" t="s">
        <v>82</v>
      </c>
      <c r="B52" t="s">
        <v>205</v>
      </c>
      <c r="C52" s="24">
        <f>Energies!B6</f>
        <v>2843.9040000000005</v>
      </c>
      <c r="D52" s="24"/>
      <c r="E52" s="24"/>
    </row>
    <row r="53" spans="1:5" x14ac:dyDescent="0.25">
      <c r="B53" t="s">
        <v>206</v>
      </c>
      <c r="C53" s="33">
        <f>Energies!B7</f>
        <v>7.8299999999999995E-2</v>
      </c>
      <c r="D53" s="37"/>
    </row>
    <row r="54" spans="1:5" x14ac:dyDescent="0.25">
      <c r="B54" t="s">
        <v>83</v>
      </c>
    </row>
    <row r="55" spans="1:5" x14ac:dyDescent="0.25">
      <c r="B55" t="s">
        <v>235</v>
      </c>
      <c r="C55" s="37">
        <v>1.12964</v>
      </c>
    </row>
    <row r="56" spans="1:5" x14ac:dyDescent="0.25">
      <c r="B56" t="s">
        <v>236</v>
      </c>
      <c r="C56" s="28">
        <v>0.2</v>
      </c>
      <c r="D56" s="28"/>
      <c r="E56" s="28"/>
    </row>
    <row r="57" spans="1:5" x14ac:dyDescent="0.25">
      <c r="B57" t="s">
        <v>308</v>
      </c>
      <c r="C57">
        <v>6</v>
      </c>
      <c r="D57" t="s">
        <v>310</v>
      </c>
    </row>
    <row r="58" spans="1:5" x14ac:dyDescent="0.25">
      <c r="B58" t="s">
        <v>351</v>
      </c>
      <c r="C58" s="25">
        <f>SUM(E3:E38)</f>
        <v>124879.02430523002</v>
      </c>
    </row>
    <row r="59" spans="1:5" x14ac:dyDescent="0.25">
      <c r="B59" t="s">
        <v>352</v>
      </c>
      <c r="C59" s="25">
        <f>C58/SUM(Manpower!B26:I26)</f>
        <v>12.722764666262202</v>
      </c>
    </row>
  </sheetData>
  <mergeCells count="6">
    <mergeCell ref="G1:L1"/>
    <mergeCell ref="P1:R1"/>
    <mergeCell ref="A1:C1"/>
    <mergeCell ref="T1:V1"/>
    <mergeCell ref="A41:C41"/>
    <mergeCell ref="G3:H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>
      <selection activeCell="H31" sqref="H31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2" t="s">
        <v>12</v>
      </c>
    </row>
    <row r="2" spans="1:3" x14ac:dyDescent="0.25">
      <c r="A2" t="s">
        <v>84</v>
      </c>
      <c r="B2" s="2">
        <f>97625+10395</f>
        <v>108020</v>
      </c>
      <c r="C2" s="22" t="s">
        <v>86</v>
      </c>
    </row>
    <row r="3" spans="1:3" x14ac:dyDescent="0.25">
      <c r="A3" t="s">
        <v>85</v>
      </c>
    </row>
    <row r="4" spans="1:3" x14ac:dyDescent="0.25">
      <c r="A4" t="s">
        <v>87</v>
      </c>
      <c r="B4" t="s">
        <v>88</v>
      </c>
      <c r="C4">
        <v>1016</v>
      </c>
    </row>
    <row r="5" spans="1:3" x14ac:dyDescent="0.25">
      <c r="B5" t="s">
        <v>89</v>
      </c>
      <c r="C5">
        <v>660</v>
      </c>
    </row>
    <row r="6" spans="1:3" x14ac:dyDescent="0.25">
      <c r="B6" t="s">
        <v>90</v>
      </c>
      <c r="C6">
        <v>635</v>
      </c>
    </row>
    <row r="7" spans="1:3" x14ac:dyDescent="0.25">
      <c r="A7" t="s">
        <v>91</v>
      </c>
    </row>
    <row r="8" spans="1:3" x14ac:dyDescent="0.25">
      <c r="A8" t="s">
        <v>92</v>
      </c>
    </row>
    <row r="9" spans="1:3" x14ac:dyDescent="0.25">
      <c r="A9" t="s">
        <v>93</v>
      </c>
    </row>
    <row r="10" spans="1:3" x14ac:dyDescent="0.25">
      <c r="A10" t="s">
        <v>94</v>
      </c>
      <c r="B10" t="s">
        <v>88</v>
      </c>
      <c r="C10">
        <v>1372</v>
      </c>
    </row>
    <row r="11" spans="1:3" x14ac:dyDescent="0.25">
      <c r="B11" t="s">
        <v>89</v>
      </c>
      <c r="C11">
        <v>610</v>
      </c>
    </row>
    <row r="12" spans="1:3" x14ac:dyDescent="0.25">
      <c r="A12" t="s">
        <v>95</v>
      </c>
      <c r="B12" t="s">
        <v>96</v>
      </c>
    </row>
    <row r="13" spans="1:3" x14ac:dyDescent="0.25">
      <c r="A13" t="s">
        <v>97</v>
      </c>
      <c r="B13" t="s">
        <v>98</v>
      </c>
    </row>
    <row r="14" spans="1:3" x14ac:dyDescent="0.25">
      <c r="A14" t="s">
        <v>99</v>
      </c>
      <c r="B14" t="s">
        <v>100</v>
      </c>
    </row>
    <row r="15" spans="1:3" x14ac:dyDescent="0.25">
      <c r="A15" t="s">
        <v>101</v>
      </c>
      <c r="B15" t="s">
        <v>102</v>
      </c>
    </row>
    <row r="16" spans="1:3" x14ac:dyDescent="0.25">
      <c r="A16" t="s">
        <v>103</v>
      </c>
      <c r="B16" t="s">
        <v>104</v>
      </c>
    </row>
    <row r="17" spans="1:6" x14ac:dyDescent="0.25">
      <c r="A17" t="s">
        <v>28</v>
      </c>
      <c r="B17" t="s">
        <v>105</v>
      </c>
    </row>
    <row r="19" spans="1:6" x14ac:dyDescent="0.25">
      <c r="A19" t="s">
        <v>155</v>
      </c>
      <c r="B19" t="s">
        <v>156</v>
      </c>
      <c r="C19" t="s">
        <v>157</v>
      </c>
    </row>
    <row r="21" spans="1:6" x14ac:dyDescent="0.25">
      <c r="B21" t="s">
        <v>250</v>
      </c>
      <c r="C21" t="s">
        <v>259</v>
      </c>
      <c r="D21" t="s">
        <v>260</v>
      </c>
    </row>
    <row r="22" spans="1:6" x14ac:dyDescent="0.25">
      <c r="A22" t="s">
        <v>84</v>
      </c>
      <c r="B22" s="2">
        <f>97625+10395</f>
        <v>108020</v>
      </c>
      <c r="C22">
        <v>1</v>
      </c>
      <c r="D22" t="s">
        <v>261</v>
      </c>
    </row>
    <row r="23" spans="1:6" x14ac:dyDescent="0.25">
      <c r="A23" t="s">
        <v>155</v>
      </c>
      <c r="B23" s="2">
        <v>80</v>
      </c>
      <c r="C23">
        <v>40</v>
      </c>
      <c r="D23" t="s">
        <v>156</v>
      </c>
    </row>
    <row r="24" spans="1:6" x14ac:dyDescent="0.25">
      <c r="A24" t="s">
        <v>118</v>
      </c>
      <c r="B24" s="2">
        <v>2500</v>
      </c>
      <c r="C24">
        <v>1</v>
      </c>
      <c r="D24" s="22" t="s">
        <v>114</v>
      </c>
    </row>
    <row r="27" spans="1:6" x14ac:dyDescent="0.25">
      <c r="A27" t="s">
        <v>106</v>
      </c>
      <c r="B27" t="s">
        <v>113</v>
      </c>
    </row>
    <row r="28" spans="1:6" x14ac:dyDescent="0.25">
      <c r="B28" t="s">
        <v>108</v>
      </c>
      <c r="C28" t="s">
        <v>110</v>
      </c>
      <c r="D28" t="s">
        <v>109</v>
      </c>
      <c r="E28" t="s">
        <v>111</v>
      </c>
    </row>
    <row r="29" spans="1:6" x14ac:dyDescent="0.25">
      <c r="A29" t="s">
        <v>107</v>
      </c>
      <c r="B29" s="23">
        <v>0.04</v>
      </c>
      <c r="C29">
        <v>5</v>
      </c>
      <c r="D29" s="2">
        <v>79.52</v>
      </c>
      <c r="E29">
        <f>208*B29</f>
        <v>8.32</v>
      </c>
      <c r="F29" s="24">
        <f>$E$29*D29/C29</f>
        <v>132.32128</v>
      </c>
    </row>
    <row r="30" spans="1:6" x14ac:dyDescent="0.25">
      <c r="A30" t="s">
        <v>112</v>
      </c>
      <c r="C30">
        <v>20</v>
      </c>
      <c r="D30" s="2">
        <v>236.84</v>
      </c>
      <c r="F30" s="24">
        <f>$E$29*D30/C30</f>
        <v>98.525440000000003</v>
      </c>
    </row>
    <row r="31" spans="1:6" x14ac:dyDescent="0.25">
      <c r="C31">
        <v>200</v>
      </c>
      <c r="D31" s="2">
        <v>2116</v>
      </c>
      <c r="F31" s="24">
        <f>$E$29*D31/C31</f>
        <v>88.025599999999997</v>
      </c>
    </row>
  </sheetData>
  <hyperlinks>
    <hyperlink ref="A1" r:id="rId1" xr:uid="{00000000-0004-0000-0800-000000000000}"/>
    <hyperlink ref="C2" r:id="rId2" xr:uid="{00000000-0004-0000-0800-000001000000}"/>
    <hyperlink ref="D24" r:id="rId3" xr:uid="{00000000-0004-0000-0800-000002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13</v>
      </c>
    </row>
    <row r="3" spans="1:11" x14ac:dyDescent="0.25">
      <c r="A3" t="s">
        <v>127</v>
      </c>
    </row>
    <row r="4" spans="1:11" x14ac:dyDescent="0.25">
      <c r="A4" t="s">
        <v>120</v>
      </c>
      <c r="B4" t="s">
        <v>121</v>
      </c>
      <c r="C4" t="s">
        <v>129</v>
      </c>
      <c r="D4" t="s">
        <v>128</v>
      </c>
      <c r="E4" t="s">
        <v>130</v>
      </c>
      <c r="F4" t="s">
        <v>125</v>
      </c>
      <c r="K4" t="s">
        <v>131</v>
      </c>
    </row>
    <row r="6" spans="1:11" x14ac:dyDescent="0.25">
      <c r="A6" t="s">
        <v>126</v>
      </c>
    </row>
    <row r="7" spans="1:11" x14ac:dyDescent="0.25">
      <c r="A7" t="s">
        <v>120</v>
      </c>
      <c r="B7" t="s">
        <v>123</v>
      </c>
      <c r="D7" t="s">
        <v>122</v>
      </c>
      <c r="F7" t="s">
        <v>124</v>
      </c>
    </row>
  </sheetData>
  <hyperlinks>
    <hyperlink ref="A1" r:id="rId1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12</v>
      </c>
    </row>
  </sheetData>
  <hyperlinks>
    <hyperlink ref="A1" r:id="rId1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39" sqref="A39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24</v>
      </c>
      <c r="B1" s="22" t="s">
        <v>203</v>
      </c>
    </row>
    <row r="2" spans="1:2" x14ac:dyDescent="0.25">
      <c r="B2" t="s">
        <v>344</v>
      </c>
    </row>
    <row r="3" spans="1:2" x14ac:dyDescent="0.25">
      <c r="B3" t="s">
        <v>345</v>
      </c>
    </row>
    <row r="4" spans="1:2" x14ac:dyDescent="0.25">
      <c r="A4" t="s">
        <v>340</v>
      </c>
      <c r="B4">
        <v>38.64</v>
      </c>
    </row>
    <row r="5" spans="1:2" x14ac:dyDescent="0.25">
      <c r="A5" t="s">
        <v>341</v>
      </c>
      <c r="B5">
        <f>24*0.8*3+16</f>
        <v>73.600000000000009</v>
      </c>
    </row>
    <row r="6" spans="1:2" x14ac:dyDescent="0.25">
      <c r="A6" t="s">
        <v>340</v>
      </c>
      <c r="B6" s="2">
        <f>B5*B4</f>
        <v>2843.9040000000005</v>
      </c>
    </row>
    <row r="7" spans="1:2" x14ac:dyDescent="0.25">
      <c r="A7" t="s">
        <v>204</v>
      </c>
      <c r="B7" s="30">
        <v>7.8299999999999995E-2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E32" sqref="E32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31</v>
      </c>
      <c r="B1" t="s">
        <v>283</v>
      </c>
      <c r="C1" t="s">
        <v>282</v>
      </c>
      <c r="D1" t="s">
        <v>281</v>
      </c>
      <c r="E1" t="s">
        <v>249</v>
      </c>
      <c r="F1" t="s">
        <v>250</v>
      </c>
      <c r="G1" t="s">
        <v>260</v>
      </c>
    </row>
    <row r="2" spans="1:7" x14ac:dyDescent="0.25">
      <c r="A2" t="s">
        <v>115</v>
      </c>
      <c r="D2" s="32">
        <v>1295</v>
      </c>
      <c r="F2" s="2">
        <f>D2/General!C55</f>
        <v>1146.3829184518961</v>
      </c>
      <c r="G2" s="22" t="s">
        <v>116</v>
      </c>
    </row>
    <row r="3" spans="1:7" x14ac:dyDescent="0.25">
      <c r="A3" t="s">
        <v>119</v>
      </c>
      <c r="D3" s="32">
        <v>13995</v>
      </c>
      <c r="F3" s="2">
        <f>D3/General!C55</f>
        <v>12388.902659254276</v>
      </c>
      <c r="G3" t="s">
        <v>117</v>
      </c>
    </row>
    <row r="4" spans="1:7" x14ac:dyDescent="0.25">
      <c r="A4" t="s">
        <v>133</v>
      </c>
      <c r="D4" s="32">
        <v>395</v>
      </c>
      <c r="F4" s="2">
        <f>D4/General!C55</f>
        <v>349.66892107220002</v>
      </c>
      <c r="G4" s="22" t="s">
        <v>132</v>
      </c>
    </row>
    <row r="5" spans="1:7" x14ac:dyDescent="0.25">
      <c r="F5" s="2"/>
    </row>
    <row r="6" spans="1:7" x14ac:dyDescent="0.25">
      <c r="A6" t="s">
        <v>284</v>
      </c>
      <c r="B6" t="s">
        <v>285</v>
      </c>
      <c r="C6" s="22"/>
      <c r="F6" s="2">
        <v>1079.0999999999999</v>
      </c>
      <c r="G6" s="22" t="s">
        <v>137</v>
      </c>
    </row>
    <row r="7" spans="1:7" x14ac:dyDescent="0.25">
      <c r="A7" t="s">
        <v>284</v>
      </c>
      <c r="B7" t="s">
        <v>286</v>
      </c>
      <c r="C7" s="22"/>
      <c r="E7" s="2">
        <v>2041.73</v>
      </c>
      <c r="F7" s="2">
        <f>E7*(1-General!C56)</f>
        <v>1633.384</v>
      </c>
      <c r="G7" s="22" t="s">
        <v>258</v>
      </c>
    </row>
    <row r="9" spans="1:7" x14ac:dyDescent="0.25">
      <c r="A9" t="s">
        <v>138</v>
      </c>
      <c r="B9" t="s">
        <v>139</v>
      </c>
      <c r="F9" s="2">
        <v>283.8</v>
      </c>
      <c r="G9" s="22" t="s">
        <v>140</v>
      </c>
    </row>
    <row r="10" spans="1:7" x14ac:dyDescent="0.25">
      <c r="B10" t="s">
        <v>141</v>
      </c>
      <c r="F10" s="2">
        <v>173.75</v>
      </c>
      <c r="G10" s="22" t="s">
        <v>142</v>
      </c>
    </row>
    <row r="11" spans="1:7" x14ac:dyDescent="0.25">
      <c r="B11" s="26" t="s">
        <v>144</v>
      </c>
      <c r="C11" s="26"/>
      <c r="F11" s="2">
        <v>153.08000000000001</v>
      </c>
      <c r="G11" s="22" t="s">
        <v>143</v>
      </c>
    </row>
  </sheetData>
  <hyperlinks>
    <hyperlink ref="G6" r:id="rId1" xr:uid="{00000000-0004-0000-0300-000000000000}"/>
    <hyperlink ref="G7" r:id="rId2" xr:uid="{00000000-0004-0000-0300-000001000000}"/>
    <hyperlink ref="G2" r:id="rId3" xr:uid="{00000000-0004-0000-0300-000002000000}"/>
    <hyperlink ref="G4" r:id="rId4" xr:uid="{00000000-0004-0000-0300-000003000000}"/>
    <hyperlink ref="G9" r:id="rId5" xr:uid="{00000000-0004-0000-0300-000004000000}"/>
    <hyperlink ref="G10" r:id="rId6" xr:uid="{00000000-0004-0000-0300-000005000000}"/>
    <hyperlink ref="G11" r:id="rId7" xr:uid="{00000000-0004-0000-03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6B60-DC9D-4150-9EB1-06C48ECFFEAA}">
  <dimension ref="A1:E12"/>
  <sheetViews>
    <sheetView workbookViewId="0">
      <selection activeCell="C23" sqref="C23"/>
    </sheetView>
  </sheetViews>
  <sheetFormatPr baseColWidth="10" defaultRowHeight="15" x14ac:dyDescent="0.25"/>
  <sheetData>
    <row r="1" spans="1:5" x14ac:dyDescent="0.25">
      <c r="A1" t="s">
        <v>17</v>
      </c>
      <c r="B1" t="s">
        <v>232</v>
      </c>
      <c r="C1" t="s">
        <v>231</v>
      </c>
      <c r="D1" t="s">
        <v>230</v>
      </c>
      <c r="E1" t="s">
        <v>366</v>
      </c>
    </row>
    <row r="2" spans="1:5" x14ac:dyDescent="0.25">
      <c r="A2" t="s">
        <v>368</v>
      </c>
      <c r="D2" s="2">
        <v>619</v>
      </c>
      <c r="E2" t="s">
        <v>367</v>
      </c>
    </row>
    <row r="3" spans="1:5" x14ac:dyDescent="0.25">
      <c r="A3" t="s">
        <v>369</v>
      </c>
      <c r="D3" s="2">
        <v>248</v>
      </c>
      <c r="E3" t="s">
        <v>367</v>
      </c>
    </row>
    <row r="4" spans="1:5" x14ac:dyDescent="0.25">
      <c r="A4" t="s">
        <v>370</v>
      </c>
      <c r="D4" s="2">
        <v>320</v>
      </c>
      <c r="E4" t="s">
        <v>367</v>
      </c>
    </row>
    <row r="5" spans="1:5" x14ac:dyDescent="0.25">
      <c r="A5" t="s">
        <v>371</v>
      </c>
      <c r="D5" s="2">
        <v>515</v>
      </c>
      <c r="E5" t="s">
        <v>367</v>
      </c>
    </row>
    <row r="6" spans="1:5" x14ac:dyDescent="0.25">
      <c r="A6" t="s">
        <v>372</v>
      </c>
      <c r="D6" s="2">
        <v>1125</v>
      </c>
      <c r="E6" t="s">
        <v>373</v>
      </c>
    </row>
    <row r="7" spans="1:5" x14ac:dyDescent="0.25">
      <c r="A7" t="s">
        <v>374</v>
      </c>
      <c r="D7" s="2">
        <v>1851</v>
      </c>
      <c r="E7" t="s">
        <v>375</v>
      </c>
    </row>
    <row r="8" spans="1:5" x14ac:dyDescent="0.25">
      <c r="A8" t="s">
        <v>376</v>
      </c>
      <c r="D8" s="2">
        <v>417</v>
      </c>
      <c r="E8" t="s">
        <v>377</v>
      </c>
    </row>
    <row r="11" spans="1:5" x14ac:dyDescent="0.25">
      <c r="A11" t="s">
        <v>381</v>
      </c>
      <c r="D11" s="2">
        <v>1001.67</v>
      </c>
      <c r="E11" t="s">
        <v>378</v>
      </c>
    </row>
    <row r="12" spans="1:5" x14ac:dyDescent="0.25">
      <c r="A12" t="s">
        <v>379</v>
      </c>
      <c r="D12" s="2">
        <v>352.31</v>
      </c>
      <c r="E12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31</v>
      </c>
      <c r="B1" t="s">
        <v>247</v>
      </c>
      <c r="C1" t="s">
        <v>248</v>
      </c>
      <c r="D1" t="s">
        <v>249</v>
      </c>
      <c r="E1" t="s">
        <v>250</v>
      </c>
      <c r="F1" t="s">
        <v>260</v>
      </c>
    </row>
    <row r="2" spans="1:6" x14ac:dyDescent="0.25">
      <c r="A2" t="s">
        <v>163</v>
      </c>
      <c r="B2" t="s">
        <v>159</v>
      </c>
      <c r="D2" s="27">
        <v>149</v>
      </c>
      <c r="E2" s="25">
        <f>D2*(1-General!$C$56)</f>
        <v>119.2</v>
      </c>
      <c r="F2" s="22" t="s">
        <v>158</v>
      </c>
    </row>
    <row r="3" spans="1:6" x14ac:dyDescent="0.25">
      <c r="A3" t="s">
        <v>161</v>
      </c>
      <c r="B3">
        <v>0.01</v>
      </c>
      <c r="D3" s="27">
        <v>129</v>
      </c>
      <c r="E3" s="25">
        <f>D3*(1-General!$C$56)</f>
        <v>103.2</v>
      </c>
      <c r="F3" t="s">
        <v>160</v>
      </c>
    </row>
    <row r="4" spans="1:6" x14ac:dyDescent="0.25">
      <c r="A4" t="s">
        <v>42</v>
      </c>
      <c r="B4">
        <v>0.01</v>
      </c>
      <c r="D4" s="27">
        <v>60</v>
      </c>
      <c r="E4" s="25">
        <f>D4*(1-General!$C$56)</f>
        <v>48</v>
      </c>
      <c r="F4" t="s">
        <v>162</v>
      </c>
    </row>
    <row r="5" spans="1:6" x14ac:dyDescent="0.25">
      <c r="E5" s="25"/>
    </row>
    <row r="6" spans="1:6" x14ac:dyDescent="0.25">
      <c r="A6" t="s">
        <v>165</v>
      </c>
      <c r="D6" s="27">
        <v>392</v>
      </c>
      <c r="E6" s="25">
        <f>D6*(1-General!$C$56)</f>
        <v>313.60000000000002</v>
      </c>
      <c r="F6" t="s">
        <v>164</v>
      </c>
    </row>
    <row r="7" spans="1:6" x14ac:dyDescent="0.25">
      <c r="A7" t="s">
        <v>169</v>
      </c>
      <c r="D7" s="27">
        <v>167</v>
      </c>
      <c r="E7" s="25">
        <f>D7*(1-General!$C$56)</f>
        <v>133.6</v>
      </c>
      <c r="F7" t="s">
        <v>166</v>
      </c>
    </row>
    <row r="8" spans="1:6" x14ac:dyDescent="0.25">
      <c r="A8" t="s">
        <v>168</v>
      </c>
      <c r="D8" s="27">
        <v>94</v>
      </c>
      <c r="E8" s="25">
        <f>D8*(1-General!$C$56)</f>
        <v>75.2</v>
      </c>
      <c r="F8" t="s">
        <v>167</v>
      </c>
    </row>
    <row r="9" spans="1:6" x14ac:dyDescent="0.25">
      <c r="E9" s="25"/>
    </row>
    <row r="10" spans="1:6" x14ac:dyDescent="0.25">
      <c r="A10" t="s">
        <v>170</v>
      </c>
      <c r="D10" s="27">
        <v>282</v>
      </c>
      <c r="E10" s="25">
        <f>D10*(1-General!$C$56)</f>
        <v>225.60000000000002</v>
      </c>
      <c r="F10" t="s">
        <v>171</v>
      </c>
    </row>
    <row r="11" spans="1:6" x14ac:dyDescent="0.25">
      <c r="A11" t="s">
        <v>173</v>
      </c>
      <c r="D11" s="27">
        <v>408</v>
      </c>
      <c r="E11" s="25">
        <f>D11*(1-General!$C$56)</f>
        <v>326.40000000000003</v>
      </c>
    </row>
    <row r="12" spans="1:6" x14ac:dyDescent="0.25">
      <c r="A12" t="s">
        <v>174</v>
      </c>
      <c r="D12" s="27">
        <v>3322</v>
      </c>
      <c r="E12" s="25">
        <f>D12*(1-General!$C$56)</f>
        <v>2657.6000000000004</v>
      </c>
      <c r="F12" t="s">
        <v>172</v>
      </c>
    </row>
    <row r="13" spans="1:6" x14ac:dyDescent="0.25">
      <c r="E13" s="25"/>
    </row>
    <row r="14" spans="1:6" x14ac:dyDescent="0.25">
      <c r="A14" t="s">
        <v>175</v>
      </c>
      <c r="B14" t="s">
        <v>176</v>
      </c>
      <c r="D14" s="27">
        <v>1390</v>
      </c>
      <c r="E14" s="25">
        <f>D14*(1-General!$C$56)</f>
        <v>1112</v>
      </c>
      <c r="F14" t="s">
        <v>177</v>
      </c>
    </row>
    <row r="15" spans="1:6" x14ac:dyDescent="0.25">
      <c r="B15" t="s">
        <v>179</v>
      </c>
      <c r="D15" s="27">
        <v>1202</v>
      </c>
      <c r="E15" s="25">
        <f>D15*(1-General!$C$56)</f>
        <v>961.6</v>
      </c>
      <c r="F15" t="s">
        <v>178</v>
      </c>
    </row>
    <row r="16" spans="1:6" x14ac:dyDescent="0.25">
      <c r="B16" t="s">
        <v>181</v>
      </c>
      <c r="D16" s="27">
        <v>146</v>
      </c>
      <c r="E16" s="25">
        <f>D16*(1-General!$C$56)</f>
        <v>116.80000000000001</v>
      </c>
      <c r="F16" t="s">
        <v>180</v>
      </c>
    </row>
    <row r="17" spans="1:6" x14ac:dyDescent="0.25">
      <c r="B17" t="s">
        <v>183</v>
      </c>
      <c r="D17" s="27">
        <v>162</v>
      </c>
      <c r="E17" s="25">
        <f>D17*(1-General!$C$56)</f>
        <v>129.6</v>
      </c>
      <c r="F17" t="s">
        <v>182</v>
      </c>
    </row>
    <row r="18" spans="1:6" x14ac:dyDescent="0.25">
      <c r="A18" t="s">
        <v>41</v>
      </c>
      <c r="B18" t="s">
        <v>185</v>
      </c>
      <c r="D18" s="27">
        <v>1623</v>
      </c>
      <c r="E18" s="25">
        <f>D18*(1-General!$C$56)</f>
        <v>1298.4000000000001</v>
      </c>
      <c r="F18" s="22" t="s">
        <v>184</v>
      </c>
    </row>
    <row r="19" spans="1:6" x14ac:dyDescent="0.25">
      <c r="B19" s="26" t="s">
        <v>251</v>
      </c>
      <c r="D19" s="27">
        <v>675</v>
      </c>
      <c r="E19" s="25">
        <f>D19*(1-General!$C$56)</f>
        <v>540</v>
      </c>
      <c r="F19" t="s">
        <v>252</v>
      </c>
    </row>
    <row r="20" spans="1:6" x14ac:dyDescent="0.25">
      <c r="B20" s="26"/>
      <c r="E20" s="25"/>
    </row>
    <row r="21" spans="1:6" x14ac:dyDescent="0.25">
      <c r="A21" t="s">
        <v>186</v>
      </c>
      <c r="B21" t="s">
        <v>188</v>
      </c>
      <c r="C21" s="32">
        <v>348</v>
      </c>
      <c r="D21" s="33">
        <f>Metrology!C21/(General!C55)</f>
        <v>308.06274565348252</v>
      </c>
      <c r="E21" s="25">
        <f>D21*(1-General!$C$56)</f>
        <v>246.45019652278603</v>
      </c>
      <c r="F21" s="22" t="s">
        <v>187</v>
      </c>
    </row>
    <row r="23" spans="1:6" x14ac:dyDescent="0.25">
      <c r="A23" t="s">
        <v>296</v>
      </c>
      <c r="B23" t="s">
        <v>297</v>
      </c>
      <c r="E23" s="2">
        <v>48334.81</v>
      </c>
      <c r="F23" t="s">
        <v>295</v>
      </c>
    </row>
    <row r="25" spans="1:6" x14ac:dyDescent="0.25">
      <c r="A25" t="s">
        <v>300</v>
      </c>
      <c r="B25" t="s">
        <v>301</v>
      </c>
      <c r="E25" s="2">
        <v>5390</v>
      </c>
      <c r="F25" t="s">
        <v>299</v>
      </c>
    </row>
  </sheetData>
  <hyperlinks>
    <hyperlink ref="F2" r:id="rId1" xr:uid="{00000000-0004-0000-0200-000000000000}"/>
    <hyperlink ref="F21" r:id="rId2" xr:uid="{00000000-0004-0000-0200-000001000000}"/>
    <hyperlink ref="F18" r:id="rId3" xr:uid="{00000000-0004-0000-02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C30" sqref="C30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190</v>
      </c>
      <c r="B1" s="22" t="s">
        <v>147</v>
      </c>
    </row>
    <row r="2" spans="1:8" x14ac:dyDescent="0.25">
      <c r="A2" t="s">
        <v>191</v>
      </c>
      <c r="B2" s="22" t="s">
        <v>148</v>
      </c>
    </row>
    <row r="4" spans="1:8" x14ac:dyDescent="0.25">
      <c r="B4" t="s">
        <v>193</v>
      </c>
      <c r="C4" t="s">
        <v>194</v>
      </c>
      <c r="D4" t="s">
        <v>334</v>
      </c>
      <c r="F4" t="s">
        <v>330</v>
      </c>
      <c r="G4" t="s">
        <v>327</v>
      </c>
      <c r="H4" t="s">
        <v>328</v>
      </c>
    </row>
    <row r="5" spans="1:8" x14ac:dyDescent="0.25">
      <c r="A5" t="s">
        <v>192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4">
        <f>C5*0.1*F5</f>
        <v>8550.4</v>
      </c>
      <c r="H5" s="24">
        <f>C5*0.9/$B$28</f>
        <v>13.393483709273186</v>
      </c>
    </row>
    <row r="6" spans="1:8" x14ac:dyDescent="0.25">
      <c r="A6" t="s">
        <v>290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4">
        <f>C6*0.1*F6</f>
        <v>11942.7</v>
      </c>
      <c r="H6" s="24">
        <f>C6*0.9/$B$28</f>
        <v>24.942982456140353</v>
      </c>
    </row>
    <row r="7" spans="1:8" x14ac:dyDescent="0.25">
      <c r="A7" t="s">
        <v>291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4">
        <f>C7*0.1*F7</f>
        <v>4190.58</v>
      </c>
      <c r="H7" s="24">
        <f>C7*0.9/$B$28</f>
        <v>43.761278195488728</v>
      </c>
    </row>
    <row r="8" spans="1:8" x14ac:dyDescent="0.25">
      <c r="E8" t="s">
        <v>316</v>
      </c>
      <c r="F8">
        <f>SUM(F7+F6+F5)</f>
        <v>7.6</v>
      </c>
      <c r="G8" s="2">
        <f>SUM(G7+G6+G5)</f>
        <v>24683.68</v>
      </c>
    </row>
    <row r="10" spans="1:8" x14ac:dyDescent="0.25">
      <c r="A10" t="s">
        <v>196</v>
      </c>
      <c r="B10" s="22" t="s">
        <v>195</v>
      </c>
    </row>
    <row r="11" spans="1:8" x14ac:dyDescent="0.25">
      <c r="A11" t="s">
        <v>197</v>
      </c>
      <c r="B11">
        <v>365</v>
      </c>
    </row>
    <row r="12" spans="1:8" x14ac:dyDescent="0.25">
      <c r="A12" t="s">
        <v>198</v>
      </c>
      <c r="B12">
        <v>104</v>
      </c>
    </row>
    <row r="13" spans="1:8" x14ac:dyDescent="0.25">
      <c r="A13" t="s">
        <v>199</v>
      </c>
      <c r="B13">
        <v>8</v>
      </c>
    </row>
    <row r="14" spans="1:8" x14ac:dyDescent="0.25">
      <c r="A14" t="s">
        <v>200</v>
      </c>
      <c r="B14">
        <v>25</v>
      </c>
    </row>
    <row r="15" spans="1:8" x14ac:dyDescent="0.25">
      <c r="A15" t="s">
        <v>201</v>
      </c>
      <c r="B15">
        <f>B11-B12-B13-B14</f>
        <v>228</v>
      </c>
    </row>
    <row r="16" spans="1:8" x14ac:dyDescent="0.25">
      <c r="A16" t="s">
        <v>202</v>
      </c>
      <c r="B16" s="29">
        <f>B15/5</f>
        <v>45.6</v>
      </c>
    </row>
    <row r="21" spans="1:11" x14ac:dyDescent="0.25">
      <c r="B21" t="s">
        <v>317</v>
      </c>
      <c r="C21" t="s">
        <v>318</v>
      </c>
      <c r="D21" t="s">
        <v>25</v>
      </c>
      <c r="E21" t="s">
        <v>319</v>
      </c>
      <c r="F21" t="s">
        <v>320</v>
      </c>
      <c r="G21" t="s">
        <v>321</v>
      </c>
      <c r="H21" t="s">
        <v>322</v>
      </c>
      <c r="I21" t="s">
        <v>40</v>
      </c>
      <c r="J21" t="s">
        <v>27</v>
      </c>
      <c r="K21" t="s">
        <v>324</v>
      </c>
    </row>
    <row r="22" spans="1:11" x14ac:dyDescent="0.25">
      <c r="A22" t="s">
        <v>192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290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291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325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326</v>
      </c>
      <c r="B26">
        <f>General!$C$49*General!$C$48*General!$C$47</f>
        <v>1197</v>
      </c>
      <c r="C26">
        <f>General!$C$49*General!$C$48*General!$C$47</f>
        <v>1197</v>
      </c>
      <c r="D26">
        <f>General!$C$49*General!$C$48*General!$C$47</f>
        <v>1197</v>
      </c>
      <c r="E26">
        <f>General!$C$49*General!$C$48*General!$C$47</f>
        <v>1197</v>
      </c>
      <c r="F26">
        <f>General!$C$49*General!$C$48*General!$C$47</f>
        <v>1197</v>
      </c>
      <c r="G26">
        <f>General!$C$49*General!$C$48*General!$C$47</f>
        <v>1197</v>
      </c>
      <c r="H26">
        <f>0.4*B26*2+0.2*D26</f>
        <v>1197</v>
      </c>
      <c r="I26">
        <f>0.4*B26*3</f>
        <v>1436.4</v>
      </c>
      <c r="J26">
        <f>0.06*General!C47*General!C48*General!C57</f>
        <v>574.56000000000006</v>
      </c>
      <c r="K26">
        <f>SUM(B26:J26)</f>
        <v>10389.959999999999</v>
      </c>
    </row>
    <row r="28" spans="1:11" x14ac:dyDescent="0.25">
      <c r="A28" t="s">
        <v>329</v>
      </c>
      <c r="B28">
        <f>General!$C$50*General!$C$48*General!$C$47</f>
        <v>1436.3999999999999</v>
      </c>
    </row>
    <row r="30" spans="1:11" x14ac:dyDescent="0.25">
      <c r="A30" t="s">
        <v>333</v>
      </c>
      <c r="B30" s="24">
        <f>SUMPRODUCT(D5:D7*J22:J24)</f>
        <v>13716.36</v>
      </c>
    </row>
    <row r="31" spans="1:11" x14ac:dyDescent="0.25">
      <c r="B31" s="24"/>
    </row>
    <row r="32" spans="1:11" x14ac:dyDescent="0.25">
      <c r="B32" s="24"/>
    </row>
  </sheetData>
  <hyperlinks>
    <hyperlink ref="B1" r:id="rId1" xr:uid="{00000000-0004-0000-0400-000000000000}"/>
    <hyperlink ref="B2" r:id="rId2" xr:uid="{00000000-0004-0000-0400-000001000000}"/>
    <hyperlink ref="B10" r:id="rId3" xr:uid="{00000000-0004-0000-04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31</v>
      </c>
      <c r="B1" t="s">
        <v>283</v>
      </c>
      <c r="C1" t="s">
        <v>282</v>
      </c>
      <c r="D1" t="s">
        <v>281</v>
      </c>
      <c r="E1" t="s">
        <v>249</v>
      </c>
      <c r="F1" t="s">
        <v>250</v>
      </c>
      <c r="G1" t="s">
        <v>260</v>
      </c>
    </row>
    <row r="2" spans="1:7" x14ac:dyDescent="0.25">
      <c r="A2" t="s">
        <v>145</v>
      </c>
      <c r="F2" s="2">
        <v>4386</v>
      </c>
      <c r="G2" t="s">
        <v>146</v>
      </c>
    </row>
    <row r="3" spans="1:7" x14ac:dyDescent="0.25">
      <c r="A3" t="s">
        <v>303</v>
      </c>
      <c r="F3" s="2">
        <v>922.6</v>
      </c>
      <c r="G3" t="s">
        <v>304</v>
      </c>
    </row>
    <row r="4" spans="1:7" x14ac:dyDescent="0.25">
      <c r="A4" t="s">
        <v>57</v>
      </c>
      <c r="F4" s="2">
        <v>3859.6</v>
      </c>
      <c r="G4" t="s">
        <v>305</v>
      </c>
    </row>
    <row r="5" spans="1:7" x14ac:dyDescent="0.25">
      <c r="A5" t="s">
        <v>228</v>
      </c>
      <c r="F5" s="2">
        <v>8579</v>
      </c>
      <c r="G5" t="s">
        <v>229</v>
      </c>
    </row>
    <row r="6" spans="1:7" x14ac:dyDescent="0.25">
      <c r="A6" t="s">
        <v>150</v>
      </c>
      <c r="F6" s="2">
        <v>146</v>
      </c>
      <c r="G6" t="s">
        <v>149</v>
      </c>
    </row>
    <row r="7" spans="1:7" x14ac:dyDescent="0.25">
      <c r="A7" t="s">
        <v>152</v>
      </c>
      <c r="F7" s="2">
        <v>50</v>
      </c>
      <c r="G7" t="s">
        <v>151</v>
      </c>
    </row>
    <row r="8" spans="1:7" x14ac:dyDescent="0.25">
      <c r="F8" s="2"/>
    </row>
    <row r="9" spans="1:7" x14ac:dyDescent="0.25">
      <c r="A9" t="s">
        <v>154</v>
      </c>
      <c r="F9" s="2"/>
      <c r="G9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</cols>
  <sheetData>
    <row r="1" spans="1:17" x14ac:dyDescent="0.25">
      <c r="A1" s="22" t="s">
        <v>5</v>
      </c>
    </row>
    <row r="2" spans="1:17" x14ac:dyDescent="0.25">
      <c r="A2" t="s">
        <v>0</v>
      </c>
      <c r="G2" t="s">
        <v>9</v>
      </c>
      <c r="M2" t="s">
        <v>6</v>
      </c>
    </row>
    <row r="3" spans="1:17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</row>
    <row r="4" spans="1:17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</row>
    <row r="5" spans="1:17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</row>
    <row r="6" spans="1:17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</row>
    <row r="7" spans="1:17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</row>
    <row r="8" spans="1:17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17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17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17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17" x14ac:dyDescent="0.25">
      <c r="D12" t="s">
        <v>8</v>
      </c>
      <c r="E12" s="1">
        <f>AVERAGE(E4:E11)</f>
        <v>3.5967449974390129E-5</v>
      </c>
      <c r="I12" t="s">
        <v>8</v>
      </c>
      <c r="J12" s="1">
        <f>AVERAGE(J4:J11)</f>
        <v>1.4970377000558874E-5</v>
      </c>
    </row>
    <row r="14" spans="1:17" x14ac:dyDescent="0.25">
      <c r="A14" t="s">
        <v>355</v>
      </c>
      <c r="B14" t="s">
        <v>353</v>
      </c>
      <c r="M14" t="s">
        <v>6</v>
      </c>
      <c r="N14" t="s">
        <v>353</v>
      </c>
    </row>
    <row r="15" spans="1:17" x14ac:dyDescent="0.25">
      <c r="B15" t="s">
        <v>354</v>
      </c>
      <c r="C15" t="s">
        <v>2</v>
      </c>
      <c r="D15" t="s">
        <v>109</v>
      </c>
      <c r="E15" t="s">
        <v>3</v>
      </c>
      <c r="N15" t="s">
        <v>354</v>
      </c>
      <c r="O15" t="s">
        <v>2</v>
      </c>
      <c r="P15" t="s">
        <v>109</v>
      </c>
      <c r="Q15" t="s">
        <v>3</v>
      </c>
    </row>
    <row r="16" spans="1:17" x14ac:dyDescent="0.25">
      <c r="B16">
        <v>10</v>
      </c>
      <c r="C16">
        <v>500</v>
      </c>
      <c r="D16" s="2">
        <v>5.14</v>
      </c>
      <c r="E16" s="50">
        <f t="shared" ref="E16:E22" si="3">D16/(PI()*(B16/2)^2*C16)</f>
        <v>1.3088902519877471E-4</v>
      </c>
      <c r="N16">
        <v>5</v>
      </c>
      <c r="O16">
        <v>500</v>
      </c>
      <c r="P16" s="2">
        <v>1.61</v>
      </c>
      <c r="Q16" s="50">
        <f>P16/(PI()*(N16/2)^2*O16)</f>
        <v>1.6399325336188895E-4</v>
      </c>
    </row>
    <row r="17" spans="1:17" x14ac:dyDescent="0.25">
      <c r="B17">
        <v>20</v>
      </c>
      <c r="C17">
        <v>500</v>
      </c>
      <c r="D17" s="2">
        <v>8.35</v>
      </c>
      <c r="E17" s="50">
        <f t="shared" si="3"/>
        <v>5.3157750992693033E-5</v>
      </c>
      <c r="N17">
        <v>10</v>
      </c>
      <c r="O17">
        <v>500</v>
      </c>
      <c r="P17" s="2">
        <v>4.5</v>
      </c>
      <c r="Q17" s="50">
        <f>P17/(PI()*(N17/2)^2*O17)</f>
        <v>1.1459155902616463E-4</v>
      </c>
    </row>
    <row r="18" spans="1:17" x14ac:dyDescent="0.25">
      <c r="B18">
        <v>20</v>
      </c>
      <c r="C18">
        <v>990</v>
      </c>
      <c r="D18" s="2">
        <v>17.13</v>
      </c>
      <c r="E18" s="50">
        <f t="shared" si="3"/>
        <v>5.5077256063922563E-5</v>
      </c>
      <c r="N18">
        <v>15</v>
      </c>
      <c r="O18">
        <v>500</v>
      </c>
      <c r="P18" s="2">
        <v>4.8</v>
      </c>
      <c r="Q18" s="50">
        <f t="shared" ref="Q18:Q20" si="4">P18/(PI()*(N18/2)^2*O18)</f>
        <v>5.432488724203361E-5</v>
      </c>
    </row>
    <row r="19" spans="1:17" x14ac:dyDescent="0.25">
      <c r="B19">
        <v>25</v>
      </c>
      <c r="C19">
        <v>500</v>
      </c>
      <c r="D19" s="2">
        <v>13.11</v>
      </c>
      <c r="E19" s="50">
        <f t="shared" si="3"/>
        <v>5.3414945380729545E-5</v>
      </c>
      <c r="N19">
        <v>18</v>
      </c>
      <c r="O19">
        <v>500</v>
      </c>
      <c r="P19" s="2">
        <v>6.36</v>
      </c>
      <c r="Q19" s="50">
        <f t="shared" si="4"/>
        <v>4.9986441385898987E-5</v>
      </c>
    </row>
    <row r="20" spans="1:17" x14ac:dyDescent="0.25">
      <c r="B20">
        <v>25</v>
      </c>
      <c r="C20">
        <v>990</v>
      </c>
      <c r="D20" s="2">
        <v>26.99</v>
      </c>
      <c r="E20" s="50">
        <f t="shared" si="3"/>
        <v>5.5538966161457841E-5</v>
      </c>
      <c r="N20">
        <v>22</v>
      </c>
      <c r="O20">
        <v>500</v>
      </c>
      <c r="P20" s="2">
        <v>8.4</v>
      </c>
      <c r="Q20" s="50">
        <f t="shared" si="4"/>
        <v>4.4195091635435405E-5</v>
      </c>
    </row>
    <row r="21" spans="1:17" x14ac:dyDescent="0.25">
      <c r="B21">
        <v>30</v>
      </c>
      <c r="C21">
        <v>500</v>
      </c>
      <c r="D21" s="2">
        <v>16.059999999999999</v>
      </c>
      <c r="E21" s="50">
        <f t="shared" si="3"/>
        <v>4.5440504640992695E-5</v>
      </c>
      <c r="P21" t="s">
        <v>8</v>
      </c>
      <c r="Q21" s="50">
        <f>AVERAGE(Q16:Q20)</f>
        <v>8.541824653028432E-5</v>
      </c>
    </row>
    <row r="22" spans="1:17" x14ac:dyDescent="0.25">
      <c r="B22">
        <v>35</v>
      </c>
      <c r="C22">
        <v>500</v>
      </c>
      <c r="D22" s="2">
        <v>16.059999999999999</v>
      </c>
      <c r="E22" s="50">
        <f t="shared" si="3"/>
        <v>3.338486055256606E-5</v>
      </c>
      <c r="P22" s="2"/>
    </row>
    <row r="23" spans="1:17" x14ac:dyDescent="0.25">
      <c r="D23" t="s">
        <v>8</v>
      </c>
      <c r="E23" s="50">
        <f>AVERAGE(E16:E22)</f>
        <v>6.0986186998733781E-5</v>
      </c>
    </row>
    <row r="26" spans="1:17" x14ac:dyDescent="0.25">
      <c r="A26" t="s">
        <v>356</v>
      </c>
    </row>
  </sheetData>
  <hyperlinks>
    <hyperlink ref="A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E1" sqref="A1:E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232</v>
      </c>
      <c r="C1" t="s">
        <v>231</v>
      </c>
      <c r="D1" t="s">
        <v>230</v>
      </c>
    </row>
    <row r="2" spans="1:5" x14ac:dyDescent="0.25">
      <c r="A2" t="s">
        <v>134</v>
      </c>
      <c r="B2" t="s">
        <v>233</v>
      </c>
      <c r="C2" s="2">
        <v>498</v>
      </c>
      <c r="D2" s="2">
        <f>C2*(1-General!$C$56)</f>
        <v>398.40000000000003</v>
      </c>
      <c r="E2" t="s">
        <v>135</v>
      </c>
    </row>
    <row r="3" spans="1:5" x14ac:dyDescent="0.25">
      <c r="A3" t="s">
        <v>136</v>
      </c>
      <c r="B3" t="s">
        <v>234</v>
      </c>
      <c r="C3" s="2"/>
      <c r="D3" s="2">
        <v>8.8000000000000007</v>
      </c>
      <c r="E3" t="s">
        <v>227</v>
      </c>
    </row>
    <row r="4" spans="1:5" x14ac:dyDescent="0.25">
      <c r="C4" s="2"/>
      <c r="D4" s="2"/>
    </row>
    <row r="5" spans="1:5" x14ac:dyDescent="0.25">
      <c r="A5" t="s">
        <v>207</v>
      </c>
      <c r="C5" s="2">
        <v>241.2</v>
      </c>
      <c r="D5" s="2">
        <f>C5*(1-General!$C$56)</f>
        <v>192.96</v>
      </c>
      <c r="E5" t="s">
        <v>208</v>
      </c>
    </row>
    <row r="6" spans="1:5" x14ac:dyDescent="0.25">
      <c r="A6" t="s">
        <v>213</v>
      </c>
      <c r="C6" s="2">
        <v>50</v>
      </c>
      <c r="D6" s="2">
        <f>C6*(1-General!$C$56)</f>
        <v>40</v>
      </c>
      <c r="E6" t="s">
        <v>214</v>
      </c>
    </row>
    <row r="7" spans="1:5" x14ac:dyDescent="0.25">
      <c r="A7" t="s">
        <v>216</v>
      </c>
      <c r="C7" s="2">
        <v>137.99</v>
      </c>
      <c r="D7" s="2">
        <f>C7*(1-General!$C$56)</f>
        <v>110.39200000000001</v>
      </c>
      <c r="E7" t="s">
        <v>215</v>
      </c>
    </row>
    <row r="8" spans="1:5" x14ac:dyDescent="0.25">
      <c r="A8" t="s">
        <v>239</v>
      </c>
      <c r="C8" s="2"/>
      <c r="D8" s="2">
        <v>23.6</v>
      </c>
      <c r="E8" t="s">
        <v>240</v>
      </c>
    </row>
    <row r="9" spans="1:5" x14ac:dyDescent="0.25">
      <c r="A9" t="s">
        <v>241</v>
      </c>
      <c r="C9" s="2"/>
      <c r="D9" s="2">
        <v>39.950000000000003</v>
      </c>
      <c r="E9" t="s">
        <v>242</v>
      </c>
    </row>
    <row r="10" spans="1:5" x14ac:dyDescent="0.25">
      <c r="C10" s="2"/>
      <c r="D10" s="2"/>
    </row>
    <row r="11" spans="1:5" x14ac:dyDescent="0.25">
      <c r="A11" t="s">
        <v>217</v>
      </c>
      <c r="C11" s="2">
        <v>2097.6</v>
      </c>
      <c r="D11" s="2">
        <f>C11*(1-General!$C$56)</f>
        <v>1678.08</v>
      </c>
      <c r="E11" t="s">
        <v>218</v>
      </c>
    </row>
    <row r="12" spans="1:5" x14ac:dyDescent="0.25">
      <c r="A12" t="s">
        <v>210</v>
      </c>
      <c r="C12" s="2">
        <v>2150.1</v>
      </c>
      <c r="D12" s="2">
        <f>C12*(1-General!$C$56)</f>
        <v>1720.08</v>
      </c>
      <c r="E12" t="s">
        <v>209</v>
      </c>
    </row>
    <row r="13" spans="1:5" x14ac:dyDescent="0.25">
      <c r="A13" t="s">
        <v>225</v>
      </c>
      <c r="C13" s="2">
        <v>620.4</v>
      </c>
      <c r="D13" s="2">
        <f>C13*(1-General!$C$56)</f>
        <v>496.32</v>
      </c>
      <c r="E13" t="s">
        <v>226</v>
      </c>
    </row>
    <row r="14" spans="1:5" x14ac:dyDescent="0.25">
      <c r="C14" s="2"/>
      <c r="D14" s="2"/>
    </row>
    <row r="15" spans="1:5" x14ac:dyDescent="0.25">
      <c r="A15" t="s">
        <v>212</v>
      </c>
      <c r="C15" s="2">
        <v>183.6</v>
      </c>
      <c r="D15" s="2">
        <f>C15*(1-General!$C$56)</f>
        <v>146.88</v>
      </c>
      <c r="E15" t="s">
        <v>211</v>
      </c>
    </row>
    <row r="16" spans="1:5" x14ac:dyDescent="0.25">
      <c r="A16" t="s">
        <v>220</v>
      </c>
      <c r="C16" s="2">
        <v>54</v>
      </c>
      <c r="D16" s="2">
        <f>C16*(1-General!$C$56)</f>
        <v>43.2</v>
      </c>
      <c r="E16" t="s">
        <v>219</v>
      </c>
    </row>
    <row r="17" spans="1:5" x14ac:dyDescent="0.25">
      <c r="A17" t="s">
        <v>221</v>
      </c>
      <c r="C17" s="2">
        <v>40.799999999999997</v>
      </c>
      <c r="D17" s="2">
        <f>C17*(1-General!$C$56)</f>
        <v>32.64</v>
      </c>
      <c r="E17" t="s">
        <v>222</v>
      </c>
    </row>
    <row r="18" spans="1:5" x14ac:dyDescent="0.25">
      <c r="A18" t="s">
        <v>223</v>
      </c>
      <c r="C18" s="2">
        <v>217.2</v>
      </c>
      <c r="D18" s="2">
        <f>C18*(1-General!$C$56)</f>
        <v>173.76</v>
      </c>
      <c r="E18" t="s">
        <v>224</v>
      </c>
    </row>
    <row r="20" spans="1:5" x14ac:dyDescent="0.25">
      <c r="A20" t="s">
        <v>245</v>
      </c>
      <c r="B20" t="s">
        <v>244</v>
      </c>
      <c r="D20" s="2">
        <v>102</v>
      </c>
      <c r="E20" t="s">
        <v>246</v>
      </c>
    </row>
    <row r="22" spans="1:5" x14ac:dyDescent="0.25">
      <c r="A22" t="s">
        <v>359</v>
      </c>
      <c r="D22" s="2">
        <v>96</v>
      </c>
      <c r="E22" t="s">
        <v>358</v>
      </c>
    </row>
    <row r="23" spans="1:5" x14ac:dyDescent="0.25">
      <c r="A23" t="s">
        <v>361</v>
      </c>
      <c r="D23" s="2">
        <v>285</v>
      </c>
      <c r="E23" t="s">
        <v>360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General</vt:lpstr>
      <vt:lpstr>Energies</vt:lpstr>
      <vt:lpstr>Tooling and small machinery</vt:lpstr>
      <vt:lpstr>Office Furniture</vt:lpstr>
      <vt:lpstr>Metrology</vt:lpstr>
      <vt:lpstr>Manpower</vt:lpstr>
      <vt:lpstr>TIG Welder</vt:lpstr>
      <vt:lpstr>Material</vt:lpstr>
      <vt:lpstr>IT</vt:lpstr>
      <vt:lpstr>CNC mill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2019-06-04T20:38:11Z</dcterms:modified>
</cp:coreProperties>
</file>