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6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8" r:id="rId6"/>
    <sheet name="Plumbing" sheetId="6" r:id="rId7"/>
    <sheet name="Temporary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 l="1"/>
  <c r="E4" i="6"/>
  <c r="B7" i="4" l="1"/>
  <c r="C3" i="7"/>
  <c r="E3" i="7" s="1"/>
  <c r="E7" i="4"/>
  <c r="E5" i="7" l="1"/>
  <c r="G6" i="6" l="1"/>
  <c r="E6" i="6"/>
  <c r="G2" i="6"/>
  <c r="E2" i="6"/>
  <c r="E3" i="8" l="1"/>
  <c r="E4" i="8"/>
  <c r="E2" i="8"/>
  <c r="C3" i="8"/>
  <c r="C2" i="8"/>
  <c r="V25" i="2"/>
  <c r="U25" i="2"/>
  <c r="U24" i="2"/>
  <c r="V24" i="2"/>
  <c r="V20" i="2"/>
  <c r="V22" i="2"/>
  <c r="V21" i="2"/>
  <c r="V19" i="2"/>
  <c r="V18" i="2"/>
  <c r="V17" i="2"/>
  <c r="D3" i="1" l="1"/>
  <c r="F7" i="1"/>
  <c r="F9" i="1"/>
  <c r="F8" i="1"/>
  <c r="F2" i="1"/>
  <c r="F3" i="1"/>
  <c r="F4" i="1"/>
  <c r="F5" i="1"/>
  <c r="F6" i="1"/>
  <c r="C4" i="7" l="1"/>
  <c r="E4" i="7" s="1"/>
  <c r="C2" i="7"/>
  <c r="E2" i="7" s="1"/>
  <c r="C2" i="3"/>
  <c r="E2" i="3"/>
  <c r="C7" i="3"/>
  <c r="E7" i="3" s="1"/>
  <c r="C6" i="3"/>
  <c r="E6" i="3" s="1"/>
  <c r="C5" i="3"/>
  <c r="E5" i="3" s="1"/>
  <c r="C4" i="3"/>
  <c r="E3" i="3"/>
  <c r="E4" i="3"/>
  <c r="C3" i="3"/>
  <c r="B5" i="5" l="1"/>
  <c r="F5" i="5" s="1"/>
  <c r="B4" i="5"/>
  <c r="F69" i="2"/>
  <c r="E69" i="2"/>
  <c r="F68" i="2"/>
  <c r="E68" i="2"/>
  <c r="E67" i="2"/>
  <c r="F67" i="2" s="1"/>
  <c r="E66" i="2"/>
  <c r="F66" i="2" s="1"/>
  <c r="D61" i="2"/>
  <c r="F3" i="5"/>
  <c r="F4" i="5"/>
  <c r="F2" i="5"/>
  <c r="D62" i="2"/>
  <c r="E2" i="4" l="1"/>
  <c r="E8" i="4" l="1"/>
  <c r="E5" i="6" l="1"/>
  <c r="F10" i="1"/>
  <c r="B9" i="4"/>
  <c r="E9" i="4" s="1"/>
  <c r="E4" i="4"/>
  <c r="E5" i="4"/>
  <c r="E6" i="4"/>
  <c r="E3" i="4"/>
  <c r="I53" i="2" l="1"/>
  <c r="J53" i="2" s="1"/>
  <c r="J51" i="2"/>
  <c r="J52" i="2"/>
  <c r="J50" i="2"/>
  <c r="I51" i="2"/>
  <c r="I52" i="2"/>
  <c r="I50" i="2"/>
  <c r="C60" i="2"/>
  <c r="D60" i="2" s="1"/>
  <c r="C59" i="2"/>
  <c r="D59" i="2" s="1"/>
  <c r="D58" i="2"/>
  <c r="C58" i="2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D54" i="2"/>
  <c r="D50" i="2"/>
  <c r="C50" i="2"/>
  <c r="G11" i="6"/>
  <c r="E11" i="6"/>
  <c r="E8" i="6"/>
  <c r="E9" i="6"/>
  <c r="G9" i="6" s="1"/>
  <c r="E10" i="6"/>
  <c r="G10" i="6" s="1"/>
  <c r="G8" i="6"/>
  <c r="G7" i="6"/>
  <c r="E7" i="6"/>
  <c r="G5" i="6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</calcChain>
</file>

<file path=xl/sharedStrings.xml><?xml version="1.0" encoding="utf-8"?>
<sst xmlns="http://schemas.openxmlformats.org/spreadsheetml/2006/main" count="271" uniqueCount="136">
  <si>
    <t>Hose, Stainless Steel Braided Outer, L.P</t>
  </si>
  <si>
    <t>Type</t>
  </si>
  <si>
    <t>Reference</t>
  </si>
  <si>
    <t>Size</t>
  </si>
  <si>
    <t>Dash 6</t>
  </si>
  <si>
    <t>Price (HT)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</si>
  <si>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</si>
  <si>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</si>
  <si>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</si>
  <si>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</si>
  <si>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</si>
  <si>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</si>
  <si>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</si>
  <si>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</si>
  <si>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</si>
  <si>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</si>
  <si>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</si>
  <si>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</si>
  <si>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</si>
  <si>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</si>
  <si>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</si>
  <si>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</si>
  <si>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</si>
  <si>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</si>
  <si>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</si>
  <si>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</si>
  <si>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</si>
  <si>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</si>
  <si>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</si>
  <si>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</si>
  <si>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</si>
  <si>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</si>
  <si>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</si>
  <si>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</si>
  <si>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</si>
  <si>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</si>
  <si>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Fluid, engine oil 10W40</t>
  </si>
  <si>
    <t>Fluide, gasoline 98RON</t>
  </si>
  <si>
    <t>Stainless tube, straight</t>
  </si>
  <si>
    <t>Φ53 x 1,5</t>
  </si>
  <si>
    <t>Unity</t>
  </si>
  <si>
    <t>m</t>
  </si>
  <si>
    <t>Reference price</t>
  </si>
  <si>
    <t>Bery inox</t>
  </si>
  <si>
    <t>° (degrees)</t>
  </si>
  <si>
    <t>Quantity (unity)</t>
  </si>
  <si>
    <t>Φ48 x 1,3</t>
  </si>
  <si>
    <t>Stainless tube, round, 55mm radius</t>
  </si>
  <si>
    <t>Stainless tube, round, 93mm radius</t>
  </si>
  <si>
    <t>Φ42,4 x 1,6</t>
  </si>
  <si>
    <t>Stainless tube, round, 48mm radius</t>
  </si>
  <si>
    <t>Φ51 x 1,2</t>
  </si>
  <si>
    <t>Stainless tube, round, 75mm radius</t>
  </si>
  <si>
    <t>Retours La Mache usinage</t>
  </si>
  <si>
    <t>Volume (mm^3)</t>
  </si>
  <si>
    <t>Rond plein 2017A</t>
  </si>
  <si>
    <t>Brut 2017A</t>
  </si>
  <si>
    <t>Rond plein S355J2</t>
  </si>
  <si>
    <t>Brut S235</t>
  </si>
  <si>
    <t>Brut Alu 7075T6</t>
  </si>
  <si>
    <t>Rond plein Alu 7075T6</t>
  </si>
  <si>
    <t>Retours La Mache laser toles</t>
  </si>
  <si>
    <t>S235</t>
  </si>
  <si>
    <t>S355</t>
  </si>
  <si>
    <t>S700</t>
  </si>
  <si>
    <t>Prix (/kg)</t>
  </si>
  <si>
    <t>AU4G A4</t>
  </si>
  <si>
    <t>Densité (kg/mm^3)</t>
  </si>
  <si>
    <t>Price (by Unity)</t>
  </si>
  <si>
    <t>L</t>
  </si>
  <si>
    <t>Tripod grease</t>
  </si>
  <si>
    <t>kg</t>
  </si>
  <si>
    <t>Reverchon</t>
  </si>
  <si>
    <t>Price (HT, by unity)</t>
  </si>
  <si>
    <t>Threadlock, medium</t>
  </si>
  <si>
    <t>by utilisation</t>
  </si>
  <si>
    <t>Fluid, chain oil</t>
  </si>
  <si>
    <t>Maxxess (1 bottle = 40 utilisation)</t>
  </si>
  <si>
    <t>Material</t>
  </si>
  <si>
    <t>Length (mm)</t>
  </si>
  <si>
    <t>Width (mm)</t>
  </si>
  <si>
    <t>Thickness (mm)</t>
  </si>
  <si>
    <t>Price (€/mm^3)</t>
  </si>
  <si>
    <t>Aluminium, 2017A</t>
  </si>
  <si>
    <t>Aluminium, 7075 T6</t>
  </si>
  <si>
    <t>Plastic, Delrin</t>
  </si>
  <si>
    <t>Steel, 25CD4</t>
  </si>
  <si>
    <t>Moyenne 2017A</t>
  </si>
  <si>
    <t>Plastic Delrin</t>
  </si>
  <si>
    <t>Prix (€/m^2)</t>
  </si>
  <si>
    <t>Source</t>
  </si>
  <si>
    <t>https://plastique-en-ligne.com/Plaques/POM-C</t>
  </si>
  <si>
    <t>Prix volumique (€/mm^3) HT</t>
  </si>
  <si>
    <t>Prix volumique (€/mm^3) (TTC)</t>
  </si>
  <si>
    <t>Price (€/m^2)</t>
  </si>
  <si>
    <t>Surface (m^2)</t>
  </si>
  <si>
    <t>Steel, S235</t>
  </si>
  <si>
    <t>Steel, S355</t>
  </si>
  <si>
    <t>Steel, S700</t>
  </si>
  <si>
    <t>Price (by unity)</t>
  </si>
  <si>
    <t>Engine Sealant Paste</t>
  </si>
  <si>
    <t>mL</t>
  </si>
  <si>
    <t>Price (€, HT)</t>
  </si>
  <si>
    <t>Sealing paper</t>
  </si>
  <si>
    <t>m^2</t>
  </si>
  <si>
    <t>Seal, O-ring, Elastomer</t>
  </si>
  <si>
    <t>Hose, Silicone</t>
  </si>
  <si>
    <t>Hose, Silicone, 45°</t>
  </si>
  <si>
    <t>for 1</t>
  </si>
  <si>
    <t>Φ ext. 25 mm</t>
  </si>
  <si>
    <t>Φ ext. 6 mm</t>
  </si>
  <si>
    <t>Hose, Stainless</t>
  </si>
  <si>
    <t>Φ ext. 12 mm</t>
  </si>
  <si>
    <t>Φ ext. 26 mm</t>
  </si>
  <si>
    <t>Hose, Silicone, 135°</t>
  </si>
  <si>
    <t>Hose, rubber, flexible</t>
  </si>
  <si>
    <t>Hose, FEP</t>
  </si>
  <si>
    <t>Price (by m)</t>
  </si>
  <si>
    <t>Quantity (m)</t>
  </si>
  <si>
    <t>Tubing, Aluminum, 2017A</t>
  </si>
  <si>
    <t>Tubing, Steel</t>
  </si>
  <si>
    <t>diam ext (mm)</t>
  </si>
  <si>
    <t>diamètre int (mm)</t>
  </si>
  <si>
    <t>https://www.acier-detail-decoupe.fr/45-aluminium#/alliage-2017a</t>
  </si>
  <si>
    <t>Φ 10 * 9 mm</t>
  </si>
  <si>
    <t>Prix volumique (€/mm^3) TTC</t>
  </si>
  <si>
    <t>Prix (/m) TTC</t>
  </si>
  <si>
    <t>http://www.blockenstock.fr/tube-6060-t6-c102x2607947</t>
  </si>
  <si>
    <t>Φ 12 * 11 mm</t>
  </si>
  <si>
    <t>?</t>
  </si>
  <si>
    <t>Φ34 x 1,5</t>
  </si>
  <si>
    <t>Glue, High temperature resistance</t>
  </si>
  <si>
    <t>for fuel tank</t>
  </si>
  <si>
    <t>None</t>
  </si>
  <si>
    <t>Fiberglass Insulation</t>
  </si>
  <si>
    <t>Φ42,4 x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</si>
</sst>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3" applyNumberFormat="1" applyFont="1" applyAlignment="1">
      <alignment horizontal="right"/>
    </xf>
    <xf numFmtId="4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/>
  </cellXfs>
  <cellStyles count="4">
    <cellStyle name="Lien hypertexte" xfId="2" builtinId="8"/>
    <cellStyle name="Milliers" xfId="3" builtinId="3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"/>
    </sheetView>
  </sheetViews>
  <sheetFormatPr baseColWidth="10" defaultRowHeight="14.4" x14ac:dyDescent="0.3"/>
  <cols>
    <col min="1" max="1" width="35.109375" customWidth="1"/>
    <col min="2" max="2" width="13.21875" customWidth="1"/>
    <col min="3" max="3" width="14.88671875" customWidth="1"/>
    <col min="4" max="4" width="13.5546875" customWidth="1"/>
  </cols>
  <sheetData>
    <row r="1" spans="1:6" x14ac:dyDescent="0.3">
      <c r="A1" t="s">
        <v>35</v>
      </c>
      <c r="B1" s="7" t="s">
        <v>68</v>
      </c>
      <c r="C1" s="7" t="s">
        <v>40</v>
      </c>
      <c r="D1" s="7" t="s">
        <v>45</v>
      </c>
      <c r="E1" s="7" t="s">
        <v>5</v>
      </c>
      <c r="F1" s="7" t="s">
        <v>2</v>
      </c>
    </row>
    <row r="2" spans="1:6" x14ac:dyDescent="0.3">
      <c r="A2" t="s">
        <v>76</v>
      </c>
      <c r="B2" s="1">
        <v>0.2</v>
      </c>
      <c r="C2" s="7" t="s">
        <v>75</v>
      </c>
      <c r="D2" s="7"/>
      <c r="E2" s="1">
        <f>D2*B2/1.2</f>
        <v>0</v>
      </c>
      <c r="F2" t="s">
        <v>77</v>
      </c>
    </row>
    <row r="3" spans="1:6" x14ac:dyDescent="0.3">
      <c r="A3" t="s">
        <v>33</v>
      </c>
      <c r="B3" s="1">
        <v>0.33</v>
      </c>
      <c r="C3" s="8" t="s">
        <v>69</v>
      </c>
      <c r="E3" s="1">
        <f>D3*B3/1.2</f>
        <v>0</v>
      </c>
    </row>
    <row r="4" spans="1:6" x14ac:dyDescent="0.3">
      <c r="A4" t="s">
        <v>34</v>
      </c>
      <c r="B4" s="1">
        <v>24.65</v>
      </c>
      <c r="C4" s="8" t="s">
        <v>69</v>
      </c>
      <c r="E4" s="1">
        <f t="shared" ref="E4:E9" si="0">D4*B4/1.2</f>
        <v>0</v>
      </c>
    </row>
    <row r="5" spans="1:6" x14ac:dyDescent="0.3">
      <c r="A5" t="s">
        <v>36</v>
      </c>
      <c r="B5" s="1">
        <v>16.559999999999999</v>
      </c>
      <c r="C5" s="8" t="s">
        <v>69</v>
      </c>
      <c r="E5" s="1">
        <f t="shared" si="0"/>
        <v>0</v>
      </c>
    </row>
    <row r="6" spans="1:6" x14ac:dyDescent="0.3">
      <c r="A6" t="s">
        <v>37</v>
      </c>
      <c r="B6" s="1">
        <v>1.65</v>
      </c>
      <c r="C6" s="8" t="s">
        <v>69</v>
      </c>
      <c r="E6" s="1">
        <f t="shared" si="0"/>
        <v>0</v>
      </c>
    </row>
    <row r="7" spans="1:6" x14ac:dyDescent="0.3">
      <c r="A7" t="s">
        <v>131</v>
      </c>
      <c r="B7" s="1">
        <f>27.9/3/1.2</f>
        <v>7.7499999999999991</v>
      </c>
      <c r="C7" s="8" t="s">
        <v>132</v>
      </c>
      <c r="D7" t="s">
        <v>133</v>
      </c>
      <c r="E7" s="1">
        <f>B7</f>
        <v>7.7499999999999991</v>
      </c>
    </row>
    <row r="8" spans="1:6" x14ac:dyDescent="0.3">
      <c r="A8" t="s">
        <v>74</v>
      </c>
      <c r="B8" s="1">
        <v>0.48</v>
      </c>
      <c r="C8" s="8" t="s">
        <v>75</v>
      </c>
      <c r="E8" s="1">
        <f t="shared" si="0"/>
        <v>0</v>
      </c>
    </row>
    <row r="9" spans="1:6" x14ac:dyDescent="0.3">
      <c r="A9" t="s">
        <v>70</v>
      </c>
      <c r="B9" s="1">
        <f>48.68*1000/350</f>
        <v>139.08571428571429</v>
      </c>
      <c r="C9" s="8" t="s">
        <v>71</v>
      </c>
      <c r="E9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baseColWidth="10" defaultRowHeight="14.4" x14ac:dyDescent="0.3"/>
  <cols>
    <col min="1" max="1" width="33.88671875" customWidth="1"/>
    <col min="2" max="2" width="13.88671875" customWidth="1"/>
    <col min="4" max="4" width="16.44140625" customWidth="1"/>
    <col min="5" max="5" width="13.5546875" customWidth="1"/>
  </cols>
  <sheetData>
    <row r="1" spans="1:7" x14ac:dyDescent="0.3">
      <c r="A1" t="s">
        <v>1</v>
      </c>
      <c r="B1" t="s">
        <v>3</v>
      </c>
      <c r="C1" t="s">
        <v>40</v>
      </c>
      <c r="D1" t="s">
        <v>73</v>
      </c>
      <c r="E1" t="s">
        <v>45</v>
      </c>
      <c r="F1" t="s">
        <v>5</v>
      </c>
      <c r="G1" t="s">
        <v>2</v>
      </c>
    </row>
    <row r="2" spans="1:7" x14ac:dyDescent="0.3">
      <c r="A2" t="s">
        <v>116</v>
      </c>
      <c r="D2" s="1"/>
      <c r="F2" s="1">
        <f t="shared" ref="F2:F9" si="0">D2*E2</f>
        <v>0</v>
      </c>
      <c r="G2" t="s">
        <v>72</v>
      </c>
    </row>
    <row r="3" spans="1:7" x14ac:dyDescent="0.3">
      <c r="A3" t="s">
        <v>115</v>
      </c>
      <c r="B3" t="s">
        <v>110</v>
      </c>
      <c r="C3" t="s">
        <v>41</v>
      </c>
      <c r="D3" s="1">
        <f>5/10</f>
        <v>0.5</v>
      </c>
      <c r="F3" s="1">
        <f t="shared" si="0"/>
        <v>0</v>
      </c>
      <c r="G3" t="s">
        <v>72</v>
      </c>
    </row>
    <row r="4" spans="1:7" x14ac:dyDescent="0.3">
      <c r="A4" t="s">
        <v>106</v>
      </c>
      <c r="B4" t="s">
        <v>110</v>
      </c>
      <c r="C4" t="s">
        <v>41</v>
      </c>
      <c r="D4" s="1">
        <v>9</v>
      </c>
      <c r="F4" s="1">
        <f t="shared" si="0"/>
        <v>0</v>
      </c>
      <c r="G4" t="s">
        <v>72</v>
      </c>
    </row>
    <row r="5" spans="1:7" x14ac:dyDescent="0.3">
      <c r="A5" t="s">
        <v>106</v>
      </c>
      <c r="B5" t="s">
        <v>109</v>
      </c>
      <c r="C5" t="s">
        <v>41</v>
      </c>
      <c r="D5" s="1">
        <v>15</v>
      </c>
      <c r="F5" s="1">
        <f t="shared" si="0"/>
        <v>0</v>
      </c>
      <c r="G5" t="s">
        <v>72</v>
      </c>
    </row>
    <row r="6" spans="1:7" x14ac:dyDescent="0.3">
      <c r="A6" t="s">
        <v>107</v>
      </c>
      <c r="B6" t="s">
        <v>109</v>
      </c>
      <c r="C6" t="s">
        <v>108</v>
      </c>
      <c r="D6" s="1">
        <v>8.25</v>
      </c>
      <c r="F6" s="1">
        <f t="shared" si="0"/>
        <v>0</v>
      </c>
      <c r="G6" t="s">
        <v>72</v>
      </c>
    </row>
    <row r="7" spans="1:7" x14ac:dyDescent="0.3">
      <c r="A7" t="s">
        <v>114</v>
      </c>
      <c r="B7" t="s">
        <v>109</v>
      </c>
      <c r="C7" t="s">
        <v>108</v>
      </c>
      <c r="D7" s="1">
        <v>7.5</v>
      </c>
      <c r="F7" s="1">
        <f t="shared" si="0"/>
        <v>0</v>
      </c>
    </row>
    <row r="8" spans="1:7" x14ac:dyDescent="0.3">
      <c r="A8" t="s">
        <v>111</v>
      </c>
      <c r="B8" t="s">
        <v>112</v>
      </c>
      <c r="C8" t="s">
        <v>41</v>
      </c>
      <c r="D8" s="1">
        <v>12</v>
      </c>
      <c r="F8" s="1">
        <f t="shared" si="0"/>
        <v>0</v>
      </c>
    </row>
    <row r="9" spans="1:7" x14ac:dyDescent="0.3">
      <c r="A9" t="s">
        <v>111</v>
      </c>
      <c r="B9" t="s">
        <v>113</v>
      </c>
      <c r="C9" t="s">
        <v>41</v>
      </c>
      <c r="D9" s="1">
        <v>21</v>
      </c>
      <c r="F9" s="1">
        <f t="shared" si="0"/>
        <v>0</v>
      </c>
    </row>
    <row r="10" spans="1:7" x14ac:dyDescent="0.3">
      <c r="A10" t="s">
        <v>0</v>
      </c>
      <c r="B10" t="s">
        <v>4</v>
      </c>
      <c r="C10" t="s">
        <v>41</v>
      </c>
      <c r="D10" s="1">
        <v>30.3</v>
      </c>
      <c r="F10" s="1">
        <f>D10*E10</f>
        <v>0</v>
      </c>
      <c r="G10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3" sqref="C13"/>
    </sheetView>
  </sheetViews>
  <sheetFormatPr baseColWidth="10" defaultRowHeight="14.4" x14ac:dyDescent="0.3"/>
  <cols>
    <col min="1" max="1" width="24.5546875" customWidth="1"/>
    <col min="3" max="3" width="13.5546875" customWidth="1"/>
    <col min="4" max="4" width="14.5546875" customWidth="1"/>
  </cols>
  <sheetData>
    <row r="1" spans="1:5" x14ac:dyDescent="0.3">
      <c r="A1" t="s">
        <v>1</v>
      </c>
      <c r="B1" t="s">
        <v>40</v>
      </c>
      <c r="C1" t="s">
        <v>99</v>
      </c>
      <c r="D1" t="s">
        <v>45</v>
      </c>
      <c r="E1" t="s">
        <v>102</v>
      </c>
    </row>
    <row r="2" spans="1:5" x14ac:dyDescent="0.3">
      <c r="A2" t="s">
        <v>100</v>
      </c>
      <c r="B2" t="s">
        <v>101</v>
      </c>
      <c r="C2" s="1">
        <f>10.68/(1.2*100)</f>
        <v>8.8999999999999996E-2</v>
      </c>
      <c r="E2" s="10">
        <f>C2*D2</f>
        <v>0</v>
      </c>
    </row>
    <row r="3" spans="1:5" x14ac:dyDescent="0.3">
      <c r="A3" t="s">
        <v>134</v>
      </c>
      <c r="B3" t="s">
        <v>132</v>
      </c>
      <c r="C3" s="13">
        <f>59/4/1.2</f>
        <v>12.291666666666668</v>
      </c>
      <c r="D3" t="s">
        <v>133</v>
      </c>
      <c r="E3" s="10">
        <f>C3</f>
        <v>12.291666666666668</v>
      </c>
    </row>
    <row r="4" spans="1:5" x14ac:dyDescent="0.3">
      <c r="A4" t="s">
        <v>103</v>
      </c>
      <c r="B4" t="s">
        <v>104</v>
      </c>
      <c r="C4" s="1">
        <f>5.56/(0.235*0.335)</f>
        <v>70.62559542711972</v>
      </c>
      <c r="E4" s="10">
        <f>C4*D4</f>
        <v>0</v>
      </c>
    </row>
    <row r="5" spans="1:5" x14ac:dyDescent="0.3">
      <c r="A5" t="s">
        <v>105</v>
      </c>
      <c r="E5" s="10">
        <f t="shared" ref="E5" si="0">C5*D5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30" sqref="F30"/>
    </sheetView>
  </sheetViews>
  <sheetFormatPr baseColWidth="10" defaultRowHeight="14.4" x14ac:dyDescent="0.3"/>
  <cols>
    <col min="1" max="1" width="19" customWidth="1"/>
    <col min="2" max="2" width="14.109375" customWidth="1"/>
    <col min="5" max="5" width="16.44140625" customWidth="1"/>
    <col min="6" max="6" width="14.21875" customWidth="1"/>
  </cols>
  <sheetData>
    <row r="1" spans="1:6" x14ac:dyDescent="0.3">
      <c r="A1" t="s">
        <v>78</v>
      </c>
      <c r="B1" t="s">
        <v>82</v>
      </c>
      <c r="C1" t="s">
        <v>79</v>
      </c>
      <c r="D1" t="s">
        <v>80</v>
      </c>
      <c r="E1" t="s">
        <v>81</v>
      </c>
      <c r="F1" t="s">
        <v>102</v>
      </c>
    </row>
    <row r="2" spans="1:6" x14ac:dyDescent="0.3">
      <c r="A2" t="s">
        <v>83</v>
      </c>
      <c r="B2" s="4">
        <v>1.7494170995654369E-5</v>
      </c>
      <c r="F2" s="1">
        <f>E2*D2*C2*B2</f>
        <v>0</v>
      </c>
    </row>
    <row r="3" spans="1:6" x14ac:dyDescent="0.3">
      <c r="A3" t="s">
        <v>84</v>
      </c>
      <c r="B3" s="4">
        <v>2.2449399217561005E-5</v>
      </c>
      <c r="F3" s="1">
        <f t="shared" ref="F3:F5" si="0">E3*D3*C3*B3</f>
        <v>0</v>
      </c>
    </row>
    <row r="4" spans="1:6" x14ac:dyDescent="0.3">
      <c r="A4" t="s">
        <v>85</v>
      </c>
      <c r="B4" s="4">
        <f>0.0000198/1.2</f>
        <v>1.6500000000000001E-5</v>
      </c>
      <c r="F4" s="1">
        <f t="shared" si="0"/>
        <v>0</v>
      </c>
    </row>
    <row r="5" spans="1:6" x14ac:dyDescent="0.3">
      <c r="A5" t="s">
        <v>86</v>
      </c>
      <c r="B5" s="4">
        <f>0.0000178345667155329/1.2</f>
        <v>1.486213892961075E-5</v>
      </c>
      <c r="F5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" sqref="E1"/>
    </sheetView>
  </sheetViews>
  <sheetFormatPr baseColWidth="10" defaultRowHeight="14.4" x14ac:dyDescent="0.3"/>
  <cols>
    <col min="1" max="1" width="21.5546875" customWidth="1"/>
    <col min="2" max="2" width="14.109375" customWidth="1"/>
    <col min="3" max="3" width="14.77734375" customWidth="1"/>
    <col min="4" max="4" width="16.6640625" customWidth="1"/>
    <col min="5" max="5" width="15.5546875" customWidth="1"/>
  </cols>
  <sheetData>
    <row r="1" spans="1:7" x14ac:dyDescent="0.3">
      <c r="A1" t="s">
        <v>78</v>
      </c>
      <c r="B1" t="s">
        <v>81</v>
      </c>
      <c r="C1" t="s">
        <v>94</v>
      </c>
      <c r="D1" t="s">
        <v>95</v>
      </c>
      <c r="E1" t="s">
        <v>102</v>
      </c>
    </row>
    <row r="2" spans="1:7" x14ac:dyDescent="0.3">
      <c r="A2" t="s">
        <v>83</v>
      </c>
      <c r="B2" s="9">
        <v>1.5</v>
      </c>
      <c r="C2" s="1">
        <f>0.0000486*POWER(1000,3)*B2/1000</f>
        <v>72.900000000000006</v>
      </c>
      <c r="E2" s="10">
        <f>C2*D2</f>
        <v>0</v>
      </c>
    </row>
    <row r="3" spans="1:7" x14ac:dyDescent="0.3">
      <c r="A3" t="s">
        <v>83</v>
      </c>
      <c r="B3" s="9">
        <v>2</v>
      </c>
      <c r="C3" s="1">
        <f t="shared" ref="C3" si="0">0.0000486*POWER(1000,3)*B3/1000</f>
        <v>97.2</v>
      </c>
      <c r="E3" s="10">
        <f t="shared" ref="E3:E7" si="1">C3*D3</f>
        <v>0</v>
      </c>
      <c r="F3" s="1"/>
    </row>
    <row r="4" spans="1:7" x14ac:dyDescent="0.3">
      <c r="A4" t="s">
        <v>83</v>
      </c>
      <c r="B4" s="9">
        <v>2.5</v>
      </c>
      <c r="C4" s="1">
        <f>0.0000486*POWER(1000,3)*B4/1000</f>
        <v>121.5</v>
      </c>
      <c r="E4" s="10">
        <f t="shared" si="1"/>
        <v>0</v>
      </c>
      <c r="F4" s="1"/>
    </row>
    <row r="5" spans="1:7" x14ac:dyDescent="0.3">
      <c r="A5" t="s">
        <v>96</v>
      </c>
      <c r="B5" s="9">
        <v>1.5</v>
      </c>
      <c r="C5">
        <f>0.000008547*POWER(1000,3)*B5/1000</f>
        <v>12.820499999999999</v>
      </c>
      <c r="E5" s="10">
        <f t="shared" si="1"/>
        <v>0</v>
      </c>
    </row>
    <row r="6" spans="1:7" x14ac:dyDescent="0.3">
      <c r="A6" t="s">
        <v>97</v>
      </c>
      <c r="B6" s="9">
        <v>3</v>
      </c>
      <c r="C6">
        <f>0.000019425*POWER(1000,3)*B6/1000</f>
        <v>58.274999999999999</v>
      </c>
      <c r="E6" s="10">
        <f t="shared" si="1"/>
        <v>0</v>
      </c>
    </row>
    <row r="7" spans="1:7" x14ac:dyDescent="0.3">
      <c r="A7" t="s">
        <v>98</v>
      </c>
      <c r="B7" s="9">
        <v>4</v>
      </c>
      <c r="C7">
        <f>0.000019425*POWER(1000,3)*B7/1000</f>
        <v>77.7</v>
      </c>
      <c r="E7" s="10">
        <f t="shared" si="1"/>
        <v>0</v>
      </c>
    </row>
    <row r="9" spans="1:7" x14ac:dyDescent="0.3">
      <c r="E9" s="11"/>
      <c r="F9" s="6"/>
      <c r="G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6" sqref="E16"/>
    </sheetView>
  </sheetViews>
  <sheetFormatPr baseColWidth="10" defaultRowHeight="14.4" x14ac:dyDescent="0.3"/>
  <cols>
    <col min="1" max="1" width="22.21875" customWidth="1"/>
    <col min="2" max="2" width="13.44140625" customWidth="1"/>
  </cols>
  <sheetData>
    <row r="1" spans="1:5" x14ac:dyDescent="0.3">
      <c r="A1" t="s">
        <v>1</v>
      </c>
      <c r="B1" t="s">
        <v>3</v>
      </c>
      <c r="C1" t="s">
        <v>117</v>
      </c>
      <c r="D1" t="s">
        <v>118</v>
      </c>
      <c r="E1" t="s">
        <v>102</v>
      </c>
    </row>
    <row r="2" spans="1:5" x14ac:dyDescent="0.3">
      <c r="A2" t="s">
        <v>119</v>
      </c>
      <c r="B2" t="s">
        <v>124</v>
      </c>
      <c r="C2" s="1">
        <f>0.000213682810551206*PI()*((10/2)*(10/2)-(9/2)*(9/2))*1000</f>
        <v>3.1886956521739194</v>
      </c>
      <c r="E2" s="10">
        <f>D2*C2</f>
        <v>0</v>
      </c>
    </row>
    <row r="3" spans="1:5" x14ac:dyDescent="0.3">
      <c r="A3" t="s">
        <v>119</v>
      </c>
      <c r="B3" t="s">
        <v>128</v>
      </c>
      <c r="C3" s="1">
        <f>0.000213682810551206*PI()*((12/2)*(12/2)-(11/2)*(11/2))*1000</f>
        <v>3.8600000000000079</v>
      </c>
      <c r="E3" s="10">
        <f t="shared" ref="E3:E4" si="0">D3*C3</f>
        <v>0</v>
      </c>
    </row>
    <row r="4" spans="1:5" x14ac:dyDescent="0.3">
      <c r="A4" t="s">
        <v>120</v>
      </c>
      <c r="B4" t="s">
        <v>129</v>
      </c>
      <c r="E4" s="10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2" sqref="G2:G3"/>
    </sheetView>
  </sheetViews>
  <sheetFormatPr baseColWidth="10" defaultRowHeight="14.4" x14ac:dyDescent="0.3"/>
  <cols>
    <col min="1" max="1" width="29.33203125" customWidth="1"/>
    <col min="3" max="3" width="13.88671875" customWidth="1"/>
    <col min="5" max="5" width="15.88671875" customWidth="1"/>
    <col min="6" max="6" width="14.88671875" customWidth="1"/>
  </cols>
  <sheetData>
    <row r="1" spans="1:8" x14ac:dyDescent="0.3">
      <c r="A1" t="s">
        <v>1</v>
      </c>
      <c r="B1" s="7" t="s">
        <v>3</v>
      </c>
      <c r="C1" s="7" t="s">
        <v>42</v>
      </c>
      <c r="D1" s="7" t="s">
        <v>40</v>
      </c>
      <c r="E1" s="7" t="s">
        <v>73</v>
      </c>
      <c r="F1" s="7" t="s">
        <v>45</v>
      </c>
      <c r="G1" s="7" t="s">
        <v>5</v>
      </c>
      <c r="H1" s="7" t="s">
        <v>2</v>
      </c>
    </row>
    <row r="2" spans="1:8" x14ac:dyDescent="0.3">
      <c r="A2" t="s">
        <v>38</v>
      </c>
      <c r="B2" t="s">
        <v>130</v>
      </c>
      <c r="C2" s="6">
        <v>6.5</v>
      </c>
      <c r="D2" t="s">
        <v>41</v>
      </c>
      <c r="E2" s="12">
        <f>C2</f>
        <v>6.5</v>
      </c>
      <c r="F2" s="7"/>
      <c r="G2" s="12">
        <f>F2*E2</f>
        <v>0</v>
      </c>
      <c r="H2" s="7"/>
    </row>
    <row r="3" spans="1:8" x14ac:dyDescent="0.3">
      <c r="A3" t="s">
        <v>38</v>
      </c>
      <c r="B3" t="s">
        <v>135</v>
      </c>
      <c r="C3" s="6">
        <v>10</v>
      </c>
      <c r="D3" t="s">
        <v>41</v>
      </c>
      <c r="E3" s="12">
        <v>10</v>
      </c>
      <c r="F3" s="7"/>
      <c r="G3" s="12">
        <f>F3*E3</f>
        <v>0</v>
      </c>
      <c r="H3" s="7"/>
    </row>
    <row r="4" spans="1:8" x14ac:dyDescent="0.3">
      <c r="A4" t="s">
        <v>38</v>
      </c>
      <c r="B4" t="s">
        <v>39</v>
      </c>
      <c r="C4" s="6">
        <v>13</v>
      </c>
      <c r="D4" t="s">
        <v>41</v>
      </c>
      <c r="E4" s="6">
        <f>C4</f>
        <v>13</v>
      </c>
      <c r="F4" s="7"/>
      <c r="G4" s="12">
        <f>F4*E4</f>
        <v>0</v>
      </c>
      <c r="H4" s="7"/>
    </row>
    <row r="5" spans="1:8" x14ac:dyDescent="0.3">
      <c r="A5" t="s">
        <v>38</v>
      </c>
      <c r="B5" t="s">
        <v>39</v>
      </c>
      <c r="C5" s="6">
        <v>13</v>
      </c>
      <c r="D5" t="s">
        <v>41</v>
      </c>
      <c r="E5" s="6">
        <f>C5</f>
        <v>13</v>
      </c>
      <c r="G5" s="6">
        <f>F5*E5</f>
        <v>0</v>
      </c>
      <c r="H5" t="s">
        <v>43</v>
      </c>
    </row>
    <row r="6" spans="1:8" x14ac:dyDescent="0.3">
      <c r="A6" t="s">
        <v>47</v>
      </c>
      <c r="B6" t="s">
        <v>130</v>
      </c>
      <c r="C6" s="6">
        <v>6.8</v>
      </c>
      <c r="D6" t="s">
        <v>44</v>
      </c>
      <c r="E6" s="6">
        <f>C6/90</f>
        <v>7.5555555555555556E-2</v>
      </c>
      <c r="G6" s="6">
        <f>F6*E6</f>
        <v>0</v>
      </c>
    </row>
    <row r="7" spans="1:8" x14ac:dyDescent="0.3">
      <c r="A7" t="s">
        <v>47</v>
      </c>
      <c r="B7" t="s">
        <v>39</v>
      </c>
      <c r="C7" s="6">
        <v>9</v>
      </c>
      <c r="D7" t="s">
        <v>44</v>
      </c>
      <c r="E7" s="6">
        <f>C7/90</f>
        <v>0.1</v>
      </c>
      <c r="G7" s="6">
        <f>F7*E7</f>
        <v>0</v>
      </c>
      <c r="H7" t="s">
        <v>43</v>
      </c>
    </row>
    <row r="8" spans="1:8" x14ac:dyDescent="0.3">
      <c r="A8" t="s">
        <v>47</v>
      </c>
      <c r="B8" t="s">
        <v>46</v>
      </c>
      <c r="C8" s="6">
        <v>16</v>
      </c>
      <c r="D8" t="s">
        <v>44</v>
      </c>
      <c r="E8" s="6">
        <f t="shared" ref="E8:E11" si="0">C8/90</f>
        <v>0.17777777777777778</v>
      </c>
      <c r="G8" s="6">
        <f t="shared" ref="G8:G11" si="1">F8*E8</f>
        <v>0</v>
      </c>
      <c r="H8" t="s">
        <v>43</v>
      </c>
    </row>
    <row r="9" spans="1:8" x14ac:dyDescent="0.3">
      <c r="A9" t="s">
        <v>50</v>
      </c>
      <c r="B9" t="s">
        <v>49</v>
      </c>
      <c r="C9" s="6">
        <v>17</v>
      </c>
      <c r="D9" t="s">
        <v>44</v>
      </c>
      <c r="E9" s="6">
        <f t="shared" si="0"/>
        <v>0.18888888888888888</v>
      </c>
      <c r="G9" s="6">
        <f t="shared" si="1"/>
        <v>0</v>
      </c>
      <c r="H9" t="s">
        <v>43</v>
      </c>
    </row>
    <row r="10" spans="1:8" x14ac:dyDescent="0.3">
      <c r="A10" t="s">
        <v>48</v>
      </c>
      <c r="B10" t="s">
        <v>49</v>
      </c>
      <c r="C10" s="6">
        <v>9</v>
      </c>
      <c r="D10" t="s">
        <v>44</v>
      </c>
      <c r="E10" s="6">
        <f t="shared" si="0"/>
        <v>0.1</v>
      </c>
      <c r="G10" s="6">
        <f t="shared" si="1"/>
        <v>0</v>
      </c>
      <c r="H10" t="s">
        <v>43</v>
      </c>
    </row>
    <row r="11" spans="1:8" x14ac:dyDescent="0.3">
      <c r="A11" t="s">
        <v>52</v>
      </c>
      <c r="B11" t="s">
        <v>51</v>
      </c>
      <c r="C11" s="6">
        <v>9</v>
      </c>
      <c r="D11" t="s">
        <v>44</v>
      </c>
      <c r="E11" s="6">
        <f t="shared" si="0"/>
        <v>0.1</v>
      </c>
      <c r="G11" s="6">
        <f t="shared" si="1"/>
        <v>0</v>
      </c>
      <c r="H11" t="s">
        <v>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A55" workbookViewId="0">
      <selection activeCell="H71" sqref="H71"/>
    </sheetView>
  </sheetViews>
  <sheetFormatPr baseColWidth="10" defaultRowHeight="14.4" x14ac:dyDescent="0.3"/>
  <cols>
    <col min="1" max="1" width="19.44140625" customWidth="1"/>
    <col min="3" max="3" width="14.109375" customWidth="1"/>
    <col min="4" max="4" width="23.109375" customWidth="1"/>
    <col min="9" max="9" width="15.6640625" customWidth="1"/>
    <col min="17" max="17" width="21.33203125" customWidth="1"/>
    <col min="19" max="19" width="12.77734375" customWidth="1"/>
    <col min="20" max="20" width="15.88671875" customWidth="1"/>
    <col min="22" max="22" width="12" bestFit="1" customWidth="1"/>
  </cols>
  <sheetData>
    <row r="1" spans="1:23" x14ac:dyDescent="0.3">
      <c r="A1" s="2" t="s">
        <v>6</v>
      </c>
      <c r="S1" s="2" t="s">
        <v>7</v>
      </c>
    </row>
    <row r="2" spans="1:23" x14ac:dyDescent="0.3">
      <c r="A2" t="s">
        <v>8</v>
      </c>
      <c r="G2" t="s">
        <v>9</v>
      </c>
      <c r="M2" t="s">
        <v>10</v>
      </c>
      <c r="S2" s="3">
        <v>5754</v>
      </c>
    </row>
    <row r="3" spans="1:2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G3" t="s">
        <v>16</v>
      </c>
      <c r="H3" t="s">
        <v>17</v>
      </c>
      <c r="I3" t="s">
        <v>14</v>
      </c>
      <c r="J3" t="s">
        <v>15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18</v>
      </c>
      <c r="S3" t="s">
        <v>11</v>
      </c>
      <c r="T3" t="s">
        <v>12</v>
      </c>
      <c r="U3" t="s">
        <v>19</v>
      </c>
      <c r="V3" t="s">
        <v>14</v>
      </c>
      <c r="W3" t="s">
        <v>15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20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20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20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10</v>
      </c>
      <c r="N15" t="s">
        <v>21</v>
      </c>
      <c r="S15" t="s">
        <v>10</v>
      </c>
      <c r="T15" t="s">
        <v>21</v>
      </c>
      <c r="U15" t="s">
        <v>123</v>
      </c>
    </row>
    <row r="16" spans="1:23" x14ac:dyDescent="0.3">
      <c r="D16" t="s">
        <v>20</v>
      </c>
      <c r="E16" s="4">
        <f>AVERAGE(E4:E15)</f>
        <v>3.7201299982926756E-5</v>
      </c>
      <c r="N16" t="s">
        <v>22</v>
      </c>
      <c r="O16" t="s">
        <v>13</v>
      </c>
      <c r="P16" t="s">
        <v>23</v>
      </c>
      <c r="Q16" t="s">
        <v>15</v>
      </c>
      <c r="S16" t="s">
        <v>121</v>
      </c>
      <c r="T16" t="s">
        <v>122</v>
      </c>
      <c r="U16" t="s">
        <v>126</v>
      </c>
      <c r="V16" t="s">
        <v>125</v>
      </c>
    </row>
    <row r="17" spans="1:22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  <c r="S17">
        <v>40</v>
      </c>
      <c r="T17">
        <v>30</v>
      </c>
      <c r="U17" s="1">
        <v>39.020000000000003</v>
      </c>
      <c r="V17" s="4">
        <f>U17/(PI()*((S17/2)*(S17/2)-(T17/2)*(T17/2))*1000)</f>
        <v>7.0974010050808657E-5</v>
      </c>
    </row>
    <row r="18" spans="1:22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  <c r="S18">
        <v>50</v>
      </c>
      <c r="T18">
        <v>30</v>
      </c>
      <c r="U18" s="1">
        <v>72.239999999999995</v>
      </c>
      <c r="V18" s="4">
        <f>U18/(PI()*((S18/2)*(S18/2)-(T18/2)*(T18/2))*1000)</f>
        <v>5.7486765444792583E-5</v>
      </c>
    </row>
    <row r="19" spans="1:22" x14ac:dyDescent="0.3">
      <c r="A19" t="s">
        <v>24</v>
      </c>
      <c r="B19" t="s">
        <v>21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  <c r="S19">
        <v>50</v>
      </c>
      <c r="T19">
        <v>40</v>
      </c>
      <c r="U19" s="1">
        <v>37.700000000000003</v>
      </c>
      <c r="V19" s="4">
        <f>U19/(PI()*((S19/2)*(S19/2)-(T19/2)*(T19/2))*1000)</f>
        <v>5.333458981835071E-5</v>
      </c>
    </row>
    <row r="20" spans="1:22" x14ac:dyDescent="0.3">
      <c r="B20" t="s">
        <v>22</v>
      </c>
      <c r="C20" t="s">
        <v>13</v>
      </c>
      <c r="D20" t="s">
        <v>23</v>
      </c>
      <c r="E20" t="s">
        <v>15</v>
      </c>
      <c r="N20">
        <v>18</v>
      </c>
      <c r="O20">
        <v>500</v>
      </c>
      <c r="P20" s="1">
        <v>6.36</v>
      </c>
      <c r="Q20" s="5">
        <f t="shared" si="5"/>
        <v>4.9986441385898987E-5</v>
      </c>
      <c r="S20">
        <v>60</v>
      </c>
      <c r="T20">
        <v>50</v>
      </c>
      <c r="U20" s="1">
        <v>41.96</v>
      </c>
      <c r="V20" s="4">
        <f>U20/(PI()*((S20/2)*(S20/2)-(T20/2)*(T20/2))*1000)</f>
        <v>4.8568301179170389E-5</v>
      </c>
    </row>
    <row r="21" spans="1:22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  <c r="S21">
        <v>100</v>
      </c>
      <c r="T21">
        <v>60</v>
      </c>
      <c r="U21" s="1">
        <v>330</v>
      </c>
      <c r="V21" s="4">
        <f>U21/(PI()*((S21/2)*(S21/2)-(T21/2)*(T21/2))*1000)</f>
        <v>6.5651414025406826E-5</v>
      </c>
    </row>
    <row r="22" spans="1:22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20</v>
      </c>
      <c r="Q22" s="5">
        <f>AVERAGE(Q17:Q21)</f>
        <v>8.541824653028432E-5</v>
      </c>
      <c r="U22" t="s">
        <v>20</v>
      </c>
      <c r="V22" s="4">
        <f>AVERAGE(V17:V21)</f>
        <v>5.9203016103705834E-5</v>
      </c>
    </row>
    <row r="23" spans="1:22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  <c r="S23">
        <v>6060</v>
      </c>
      <c r="T23" t="s">
        <v>127</v>
      </c>
    </row>
    <row r="24" spans="1:22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  <c r="S24">
        <v>12</v>
      </c>
      <c r="T24">
        <v>11</v>
      </c>
      <c r="U24" s="1">
        <f>1.93*2</f>
        <v>3.86</v>
      </c>
      <c r="V24" s="4">
        <f>U24/(PI()*((S24/2)*(S24/2)-(T24/2)*(T24/2))*1000)</f>
        <v>2.1368281055120556E-4</v>
      </c>
    </row>
    <row r="25" spans="1:22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  <c r="S25">
        <v>50</v>
      </c>
      <c r="T25">
        <v>46</v>
      </c>
      <c r="U25" s="1">
        <f>11.26*2</f>
        <v>22.52</v>
      </c>
      <c r="V25" s="4">
        <f>U25/(PI()*((S25/2)*(S25/2)-(T25/2)*(T25/2))*1000)</f>
        <v>7.4670194133947567E-5</v>
      </c>
    </row>
    <row r="26" spans="1:22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  <c r="U26" s="1"/>
      <c r="V26" s="4"/>
    </row>
    <row r="27" spans="1:22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  <c r="U27" s="1"/>
      <c r="V27" s="4"/>
    </row>
    <row r="28" spans="1:22" x14ac:dyDescent="0.3">
      <c r="D28" t="s">
        <v>20</v>
      </c>
      <c r="E28" s="5">
        <f>AVERAGE(E21:E27)</f>
        <v>6.0986186998733781E-5</v>
      </c>
      <c r="U28" s="1"/>
      <c r="V28" s="4"/>
    </row>
    <row r="29" spans="1:22" x14ac:dyDescent="0.3">
      <c r="V29" s="4"/>
    </row>
    <row r="30" spans="1:22" x14ac:dyDescent="0.3">
      <c r="A30" s="2" t="s">
        <v>25</v>
      </c>
      <c r="G30" s="2" t="s">
        <v>26</v>
      </c>
      <c r="N30" s="2" t="s">
        <v>28</v>
      </c>
    </row>
    <row r="31" spans="1:22" x14ac:dyDescent="0.3">
      <c r="A31" t="s">
        <v>27</v>
      </c>
      <c r="B31" t="s">
        <v>21</v>
      </c>
      <c r="G31" t="s">
        <v>27</v>
      </c>
      <c r="H31" t="s">
        <v>21</v>
      </c>
      <c r="N31" t="s">
        <v>29</v>
      </c>
      <c r="O31" t="s">
        <v>21</v>
      </c>
    </row>
    <row r="32" spans="1:22" x14ac:dyDescent="0.3">
      <c r="B32" t="s">
        <v>22</v>
      </c>
      <c r="C32" t="s">
        <v>13</v>
      </c>
      <c r="D32" t="s">
        <v>23</v>
      </c>
      <c r="E32" t="s">
        <v>15</v>
      </c>
      <c r="H32" t="s">
        <v>22</v>
      </c>
      <c r="I32" t="s">
        <v>13</v>
      </c>
      <c r="J32" t="s">
        <v>23</v>
      </c>
      <c r="K32" t="s">
        <v>15</v>
      </c>
      <c r="O32" t="s">
        <v>22</v>
      </c>
      <c r="P32" t="s">
        <v>13</v>
      </c>
      <c r="Q32" t="s">
        <v>23</v>
      </c>
      <c r="R32" t="s">
        <v>93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20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20</v>
      </c>
      <c r="R39" s="5">
        <f>AVERAGE(R33:R38)</f>
        <v>2.8834566715532905E-5</v>
      </c>
    </row>
    <row r="40" spans="1:18" x14ac:dyDescent="0.3">
      <c r="D40" t="s">
        <v>20</v>
      </c>
      <c r="E40" s="5">
        <f>AVERAGE(E33:E39)</f>
        <v>2.1272637062318042E-4</v>
      </c>
      <c r="K40" s="5"/>
    </row>
    <row r="43" spans="1:18" x14ac:dyDescent="0.3">
      <c r="A43" s="2" t="s">
        <v>30</v>
      </c>
    </row>
    <row r="44" spans="1:18" x14ac:dyDescent="0.3">
      <c r="A44" t="s">
        <v>31</v>
      </c>
      <c r="B44" t="s">
        <v>32</v>
      </c>
    </row>
    <row r="45" spans="1:18" x14ac:dyDescent="0.3">
      <c r="A45" t="s">
        <v>11</v>
      </c>
      <c r="B45" t="s">
        <v>12</v>
      </c>
      <c r="C45" t="s">
        <v>13</v>
      </c>
      <c r="D45" t="s">
        <v>14</v>
      </c>
      <c r="E45" t="s">
        <v>15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  <row r="48" spans="1:18" x14ac:dyDescent="0.3">
      <c r="A48" t="s">
        <v>53</v>
      </c>
      <c r="G48" t="s">
        <v>61</v>
      </c>
    </row>
    <row r="49" spans="1:10" x14ac:dyDescent="0.3">
      <c r="A49" t="s">
        <v>1</v>
      </c>
      <c r="B49" t="s">
        <v>23</v>
      </c>
      <c r="C49" t="s">
        <v>54</v>
      </c>
      <c r="D49" t="s">
        <v>92</v>
      </c>
      <c r="G49" t="s">
        <v>1</v>
      </c>
      <c r="H49" t="s">
        <v>65</v>
      </c>
      <c r="I49" t="s">
        <v>67</v>
      </c>
      <c r="J49" t="s">
        <v>15</v>
      </c>
    </row>
    <row r="50" spans="1:10" x14ac:dyDescent="0.3">
      <c r="A50" t="s">
        <v>56</v>
      </c>
      <c r="B50" s="1">
        <v>86.4</v>
      </c>
      <c r="C50">
        <f>60*25*3020</f>
        <v>4530000</v>
      </c>
      <c r="D50" s="4">
        <f>B50/C50</f>
        <v>1.9072847682119207E-5</v>
      </c>
      <c r="G50" t="s">
        <v>62</v>
      </c>
      <c r="H50" s="6">
        <v>1.1000000000000001</v>
      </c>
      <c r="I50" s="4">
        <f>7770/(POWER(1000,3))</f>
        <v>7.7700000000000001E-6</v>
      </c>
      <c r="J50" s="4">
        <f>I50*H50</f>
        <v>8.5470000000000013E-6</v>
      </c>
    </row>
    <row r="51" spans="1:10" x14ac:dyDescent="0.3">
      <c r="A51" t="s">
        <v>55</v>
      </c>
      <c r="B51" s="1">
        <v>60</v>
      </c>
      <c r="C51">
        <f>PI()*10*10*12000</f>
        <v>3769911.1843077517</v>
      </c>
      <c r="D51" s="4">
        <f t="shared" ref="D51:D60" si="11">B51/C51</f>
        <v>1.5915494309189534E-5</v>
      </c>
      <c r="G51" t="s">
        <v>63</v>
      </c>
      <c r="H51" s="6">
        <v>2.5</v>
      </c>
      <c r="I51" s="4">
        <f t="shared" ref="I51:I52" si="12">7770/(POWER(1000,3))</f>
        <v>7.7700000000000001E-6</v>
      </c>
      <c r="J51" s="4">
        <f t="shared" ref="J51:J53" si="13">I51*H51</f>
        <v>1.9425000000000001E-5</v>
      </c>
    </row>
    <row r="52" spans="1:10" x14ac:dyDescent="0.3">
      <c r="A52" t="s">
        <v>57</v>
      </c>
      <c r="B52" s="1">
        <v>28.32</v>
      </c>
      <c r="C52">
        <f>PI()*17.5*17.5*3000</f>
        <v>2886338.2504856223</v>
      </c>
      <c r="D52" s="4">
        <f t="shared" si="11"/>
        <v>9.8117398386121925E-6</v>
      </c>
      <c r="G52" t="s">
        <v>64</v>
      </c>
      <c r="H52" s="6">
        <v>2.5</v>
      </c>
      <c r="I52" s="4">
        <f t="shared" si="12"/>
        <v>7.7700000000000001E-6</v>
      </c>
      <c r="J52" s="4">
        <f t="shared" si="13"/>
        <v>1.9425000000000001E-5</v>
      </c>
    </row>
    <row r="53" spans="1:10" x14ac:dyDescent="0.3">
      <c r="A53" t="s">
        <v>58</v>
      </c>
      <c r="B53" s="1">
        <v>35.4</v>
      </c>
      <c r="C53">
        <f>80*15*3000</f>
        <v>3600000</v>
      </c>
      <c r="D53" s="4">
        <f t="shared" si="11"/>
        <v>9.8333333333333329E-6</v>
      </c>
      <c r="G53" t="s">
        <v>66</v>
      </c>
      <c r="H53" s="6">
        <v>18</v>
      </c>
      <c r="I53" s="4">
        <f>2700/(POWER(1000,3))</f>
        <v>2.7E-6</v>
      </c>
      <c r="J53" s="4">
        <f t="shared" si="13"/>
        <v>4.8600000000000002E-5</v>
      </c>
    </row>
    <row r="54" spans="1:10" x14ac:dyDescent="0.3">
      <c r="A54" t="s">
        <v>58</v>
      </c>
      <c r="B54" s="1">
        <v>81.599999999999994</v>
      </c>
      <c r="C54">
        <f>70*20*6000</f>
        <v>8400000</v>
      </c>
      <c r="D54" s="4">
        <f t="shared" si="11"/>
        <v>9.7142857142857135E-6</v>
      </c>
    </row>
    <row r="55" spans="1:10" x14ac:dyDescent="0.3">
      <c r="A55" t="s">
        <v>59</v>
      </c>
      <c r="B55" s="1">
        <v>8</v>
      </c>
      <c r="C55">
        <f>30*30*100</f>
        <v>90000</v>
      </c>
      <c r="D55" s="4">
        <f t="shared" ref="D55" si="14">B55/C55</f>
        <v>8.8888888888888893E-5</v>
      </c>
      <c r="I55" s="4"/>
    </row>
    <row r="56" spans="1:10" x14ac:dyDescent="0.3">
      <c r="A56" t="s">
        <v>59</v>
      </c>
      <c r="B56" s="1">
        <v>50</v>
      </c>
      <c r="C56">
        <f>140*50*285</f>
        <v>1995000</v>
      </c>
      <c r="D56" s="4">
        <f t="shared" si="11"/>
        <v>2.5062656641604011E-5</v>
      </c>
    </row>
    <row r="57" spans="1:10" x14ac:dyDescent="0.3">
      <c r="A57" t="s">
        <v>59</v>
      </c>
      <c r="B57" s="1">
        <v>46.2</v>
      </c>
      <c r="C57">
        <f>160*50*260</f>
        <v>2080000</v>
      </c>
      <c r="D57" s="4">
        <f t="shared" si="11"/>
        <v>2.2211538461538464E-5</v>
      </c>
    </row>
    <row r="58" spans="1:10" x14ac:dyDescent="0.3">
      <c r="A58" t="s">
        <v>60</v>
      </c>
      <c r="B58" s="1">
        <v>28</v>
      </c>
      <c r="C58">
        <f>PI()*65*65*103</f>
        <v>1367142.5830259381</v>
      </c>
      <c r="D58" s="4">
        <f t="shared" si="11"/>
        <v>2.0480672862977284E-5</v>
      </c>
    </row>
    <row r="59" spans="1:10" x14ac:dyDescent="0.3">
      <c r="A59" t="s">
        <v>60</v>
      </c>
      <c r="B59" s="1">
        <v>35.700000000000003</v>
      </c>
      <c r="C59">
        <f>PI()*65*65*113</f>
        <v>1499874.8726401068</v>
      </c>
      <c r="D59" s="4">
        <f t="shared" si="11"/>
        <v>2.380198551973887E-5</v>
      </c>
    </row>
    <row r="60" spans="1:10" x14ac:dyDescent="0.3">
      <c r="A60" t="s">
        <v>60</v>
      </c>
      <c r="B60" s="1">
        <v>13</v>
      </c>
      <c r="C60">
        <f>PI()*10*10*2000</f>
        <v>628318.5307179587</v>
      </c>
      <c r="D60" s="4">
        <f t="shared" si="11"/>
        <v>2.0690142601946392E-5</v>
      </c>
    </row>
    <row r="61" spans="1:10" x14ac:dyDescent="0.3">
      <c r="B61" s="1"/>
      <c r="C61" t="s">
        <v>87</v>
      </c>
      <c r="D61" s="4">
        <f>AVERAGE(D51,D50)</f>
        <v>1.7494170995654369E-5</v>
      </c>
    </row>
    <row r="62" spans="1:10" x14ac:dyDescent="0.3">
      <c r="C62" t="s">
        <v>20</v>
      </c>
      <c r="D62" s="4">
        <f>AVERAGE(D56:D60)</f>
        <v>2.2449399217561005E-5</v>
      </c>
    </row>
    <row r="64" spans="1:10" x14ac:dyDescent="0.3">
      <c r="A64" t="s">
        <v>88</v>
      </c>
    </row>
    <row r="65" spans="1:7" x14ac:dyDescent="0.3">
      <c r="A65" t="s">
        <v>11</v>
      </c>
      <c r="B65" t="s">
        <v>12</v>
      </c>
      <c r="C65" t="s">
        <v>13</v>
      </c>
      <c r="D65" t="s">
        <v>89</v>
      </c>
      <c r="E65" t="s">
        <v>14</v>
      </c>
      <c r="F65" t="s">
        <v>15</v>
      </c>
      <c r="G65" t="s">
        <v>90</v>
      </c>
    </row>
    <row r="66" spans="1:7" x14ac:dyDescent="0.3">
      <c r="A66">
        <v>80</v>
      </c>
      <c r="B66">
        <v>1000</v>
      </c>
      <c r="C66">
        <v>2000</v>
      </c>
      <c r="D66">
        <v>1284</v>
      </c>
      <c r="E66" s="1">
        <f>D66*C66*B66/1000000</f>
        <v>2568</v>
      </c>
      <c r="F66" s="4">
        <f>E66/(A66*B66*C66)</f>
        <v>1.605E-5</v>
      </c>
      <c r="G66" s="2" t="s">
        <v>91</v>
      </c>
    </row>
    <row r="67" spans="1:7" x14ac:dyDescent="0.3">
      <c r="A67">
        <v>50</v>
      </c>
      <c r="B67">
        <v>1000</v>
      </c>
      <c r="C67">
        <v>2000</v>
      </c>
      <c r="D67">
        <v>990</v>
      </c>
      <c r="E67" s="1">
        <f>D67*C67*B67/1000000</f>
        <v>1980</v>
      </c>
      <c r="F67" s="4">
        <f>E67/(A67*B67*C67)</f>
        <v>1.98E-5</v>
      </c>
    </row>
    <row r="68" spans="1:7" x14ac:dyDescent="0.3">
      <c r="A68">
        <v>30</v>
      </c>
      <c r="B68">
        <v>1000</v>
      </c>
      <c r="C68">
        <v>2000</v>
      </c>
      <c r="D68">
        <v>594</v>
      </c>
      <c r="E68" s="1">
        <f>D68*C68*B68/1000000</f>
        <v>1188</v>
      </c>
      <c r="F68" s="4">
        <f>E68/(A68*B68*C68)</f>
        <v>1.98E-5</v>
      </c>
    </row>
    <row r="69" spans="1:7" x14ac:dyDescent="0.3">
      <c r="A69">
        <v>40</v>
      </c>
      <c r="B69">
        <v>1000</v>
      </c>
      <c r="C69">
        <v>2000</v>
      </c>
      <c r="D69">
        <v>792</v>
      </c>
      <c r="E69" s="1">
        <f>D69*C69*B69/1000000</f>
        <v>1584</v>
      </c>
      <c r="F69" s="4">
        <f>E69/(A69*B69*C69)</f>
        <v>1.98E-5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  <hyperlink ref="G66" r:id="rId6"/>
    <hyperlink ref="A3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Fluid</vt:lpstr>
      <vt:lpstr>Hoses materials</vt:lpstr>
      <vt:lpstr>Miscellaneous</vt:lpstr>
      <vt:lpstr>Raw materials</vt:lpstr>
      <vt:lpstr>Sheet materials</vt:lpstr>
      <vt:lpstr>Tubing</vt:lpstr>
      <vt:lpstr>Plumbing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2019-06-19T17:11:33Z</dcterms:modified>
</cp:coreProperties>
</file>