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Bureau\"/>
    </mc:Choice>
  </mc:AlternateContent>
  <xr:revisionPtr revIDLastSave="0" documentId="13_ncr:1_{CEA68415-8D1A-4427-8CA8-1D99DFFD8738}" xr6:coauthVersionLast="43" xr6:coauthVersionMax="43" xr10:uidLastSave="{00000000-0000-0000-0000-000000000000}"/>
  <bookViews>
    <workbookView xWindow="-120" yWindow="-120" windowWidth="29040" windowHeight="15840" activeTab="1" xr2:uid="{CE75819C-F2BF-48A4-A25A-3F0C921A5E1F}"/>
  </bookViews>
  <sheets>
    <sheet name="Feuil1" sheetId="1" r:id="rId1"/>
    <sheet name="General" sheetId="6" r:id="rId2"/>
    <sheet name="Metrology" sheetId="12" r:id="rId3"/>
    <sheet name="Energies" sheetId="13" r:id="rId4"/>
    <sheet name="Manpower" sheetId="11" r:id="rId5"/>
    <sheet name="Assembly" sheetId="8" r:id="rId6"/>
    <sheet name="TIG Welder" sheetId="10" r:id="rId7"/>
    <sheet name="Material" sheetId="2" r:id="rId8"/>
    <sheet name="IT" sheetId="9" r:id="rId9"/>
    <sheet name="CNC mill" sheetId="3" r:id="rId10"/>
    <sheet name="Accessories for machining" sheetId="7" r:id="rId11"/>
    <sheet name="Laser cutter" sheetId="5" r:id="rId12"/>
    <sheet name="CNC lathes" sheetId="4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6" l="1"/>
  <c r="E19" i="12"/>
  <c r="E3" i="12"/>
  <c r="E4" i="12"/>
  <c r="E6" i="12"/>
  <c r="E7" i="12"/>
  <c r="E8" i="12"/>
  <c r="E10" i="12"/>
  <c r="C7" i="6" s="1"/>
  <c r="E11" i="12"/>
  <c r="E12" i="12"/>
  <c r="E14" i="12"/>
  <c r="E15" i="12"/>
  <c r="E16" i="12"/>
  <c r="E17" i="12"/>
  <c r="E18" i="12"/>
  <c r="C4" i="6" s="1"/>
  <c r="E2" i="12"/>
  <c r="C5" i="6" s="1"/>
  <c r="D21" i="12"/>
  <c r="E21" i="12" s="1"/>
  <c r="C24" i="6"/>
  <c r="B33" i="9"/>
  <c r="D2" i="9"/>
  <c r="C23" i="6" s="1"/>
  <c r="D6" i="9"/>
  <c r="D7" i="9"/>
  <c r="D11" i="9"/>
  <c r="D12" i="9"/>
  <c r="D13" i="9"/>
  <c r="D15" i="9"/>
  <c r="D16" i="9"/>
  <c r="D17" i="9"/>
  <c r="D18" i="9"/>
  <c r="D5" i="9"/>
  <c r="C21" i="6" s="1"/>
  <c r="C22" i="6"/>
  <c r="C47" i="6"/>
  <c r="C46" i="6"/>
  <c r="C44" i="6"/>
  <c r="B16" i="11"/>
  <c r="B15" i="11"/>
  <c r="C42" i="6"/>
  <c r="C17" i="6" s="1"/>
  <c r="C40" i="6"/>
  <c r="C41" i="6"/>
  <c r="C18" i="6" s="1"/>
  <c r="C39" i="6"/>
  <c r="C3" i="6" l="1"/>
  <c r="C20" i="6"/>
  <c r="E3" i="7"/>
  <c r="F4" i="7" s="1"/>
  <c r="F5" i="7" l="1"/>
  <c r="F3" i="7"/>
  <c r="J5" i="2"/>
  <c r="J6" i="2"/>
  <c r="J7" i="2"/>
  <c r="J8" i="2"/>
  <c r="J9" i="2"/>
  <c r="J10" i="2"/>
  <c r="J11" i="2"/>
  <c r="J4" i="2"/>
  <c r="J12" i="2" s="1"/>
  <c r="E22" i="2"/>
  <c r="E12" i="2"/>
  <c r="E16" i="2"/>
  <c r="E17" i="2"/>
  <c r="E18" i="2"/>
  <c r="E19" i="2"/>
  <c r="E20" i="2"/>
  <c r="E21" i="2"/>
  <c r="E15" i="2"/>
  <c r="E5" i="2"/>
  <c r="E6" i="2"/>
  <c r="E7" i="2"/>
  <c r="E8" i="2"/>
  <c r="E9" i="2"/>
  <c r="E10" i="2"/>
  <c r="E11" i="2"/>
  <c r="E4" i="2"/>
</calcChain>
</file>

<file path=xl/sharedStrings.xml><?xml version="1.0" encoding="utf-8"?>
<sst xmlns="http://schemas.openxmlformats.org/spreadsheetml/2006/main" count="352" uniqueCount="309">
  <si>
    <t>Vente</t>
  </si>
  <si>
    <t>Coûts variables</t>
  </si>
  <si>
    <t>Matière</t>
  </si>
  <si>
    <t>Produits chimiques (lubrifiants, nettoyant)</t>
  </si>
  <si>
    <t>Outils coupants</t>
  </si>
  <si>
    <t>Salaires</t>
  </si>
  <si>
    <t>Coûts fixes</t>
  </si>
  <si>
    <t>Loyer</t>
  </si>
  <si>
    <t>Electricité/eau/chauffage</t>
  </si>
  <si>
    <t>Rénovation/Maintien des constructions</t>
  </si>
  <si>
    <t>Nettoyage</t>
  </si>
  <si>
    <t>Téléphone</t>
  </si>
  <si>
    <t>Internet</t>
  </si>
  <si>
    <t>Site internet</t>
  </si>
  <si>
    <t>Assurances</t>
  </si>
  <si>
    <t>Comptable</t>
  </si>
  <si>
    <t>Coûts imprévus</t>
  </si>
  <si>
    <t>Intérêt</t>
  </si>
  <si>
    <t>sur prêt de banque</t>
  </si>
  <si>
    <t>sur découvert</t>
  </si>
  <si>
    <t>Autre</t>
  </si>
  <si>
    <t>Amortissement/dépréciation</t>
  </si>
  <si>
    <t>Constructions</t>
  </si>
  <si>
    <t>Machines</t>
  </si>
  <si>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</si>
  <si>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</si>
  <si>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</si>
  <si>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</si>
  <si>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</si>
  <si>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</si>
  <si>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</si>
  <si>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</si>
  <si>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</si>
  <si>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</si>
  <si>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</si>
  <si>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</si>
  <si>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</si>
  <si>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</si>
  <si>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</si>
  <si>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</si>
  <si>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</si>
  <si>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</si>
  <si>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</si>
  <si>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Cutting Fluid</t>
  </si>
  <si>
    <t>Turning</t>
  </si>
  <si>
    <t>2 Axis CNC Lathe</t>
  </si>
  <si>
    <t>3 Axis CNC Mill</t>
  </si>
  <si>
    <t>Turning tools</t>
  </si>
  <si>
    <t>Milling tools</t>
  </si>
  <si>
    <t xml:space="preserve">Operator </t>
  </si>
  <si>
    <t>Electricity</t>
  </si>
  <si>
    <t>Laser Cutting</t>
  </si>
  <si>
    <t>2D Laser cut</t>
  </si>
  <si>
    <t>Direct manufacturing cost</t>
  </si>
  <si>
    <t>Maintenance</t>
  </si>
  <si>
    <t xml:space="preserve">Electricity </t>
  </si>
  <si>
    <t>Welding</t>
  </si>
  <si>
    <t>TIG Welder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</si>
  <si>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</si>
  <si>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</si>
  <si>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</si>
  <si>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</si>
  <si>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</si>
  <si>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</si>
  <si>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</si>
  <si>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</si>
  <si>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</si>
  <si>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</si>
  <si>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</si>
  <si>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</si>
  <si>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</si>
  <si>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</si>
  <si>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</si>
  <si>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</si>
  <si>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Heating</t>
  </si>
  <si>
    <t>Water</t>
  </si>
  <si>
    <t>Compressed Air</t>
  </si>
  <si>
    <t>Maintenance of building</t>
  </si>
  <si>
    <t>Recycling/Waste Managment</t>
  </si>
  <si>
    <t>Administrative</t>
  </si>
  <si>
    <t>50% engineer</t>
  </si>
  <si>
    <t>IT</t>
  </si>
  <si>
    <t>Computers</t>
  </si>
  <si>
    <t>Internet/phone access</t>
  </si>
  <si>
    <t xml:space="preserve">General </t>
  </si>
  <si>
    <t>Insurance</t>
  </si>
  <si>
    <t>Security/safety</t>
  </si>
  <si>
    <t>Comptability</t>
  </si>
  <si>
    <t>Office furniture</t>
  </si>
  <si>
    <t>Fume extractor</t>
  </si>
  <si>
    <t>Manufacturing</t>
  </si>
  <si>
    <t>Band Saw</t>
  </si>
  <si>
    <t>Roller Cabinet</t>
  </si>
  <si>
    <t>Specific tools (clamp/magnets/…)</t>
  </si>
  <si>
    <t>Torque Wrench</t>
  </si>
  <si>
    <t>Electricity/electric supply (basic, not for machine)</t>
  </si>
  <si>
    <t>Chip managment</t>
  </si>
  <si>
    <t>Scrap</t>
  </si>
  <si>
    <t>Workstations</t>
  </si>
  <si>
    <t>Worktable/office/furniture</t>
  </si>
  <si>
    <t>Material cost</t>
  </si>
  <si>
    <t>Fasteners</t>
  </si>
  <si>
    <t>Stock</t>
  </si>
  <si>
    <t>Storage??</t>
  </si>
  <si>
    <t>Sanding</t>
  </si>
  <si>
    <t>Sand Paper</t>
  </si>
  <si>
    <t>Cleaning</t>
  </si>
  <si>
    <t>Cleaning furniture and OPE impact</t>
  </si>
  <si>
    <t>General Data</t>
  </si>
  <si>
    <t>Value</t>
  </si>
  <si>
    <t>Manpower</t>
  </si>
  <si>
    <t>Technician</t>
  </si>
  <si>
    <t>Cost and OPE Impact</t>
  </si>
  <si>
    <t>Engineer</t>
  </si>
  <si>
    <t>Sales/administrative</t>
  </si>
  <si>
    <t xml:space="preserve">Time </t>
  </si>
  <si>
    <t>Hours/week</t>
  </si>
  <si>
    <t>Week/year</t>
  </si>
  <si>
    <t>Base OPE</t>
  </si>
  <si>
    <t>General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</si>
  <si>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</si>
  <si>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</si>
  <si>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</si>
  <si>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</si>
  <si>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</si>
  <si>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</si>
  <si>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</si>
  <si>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</si>
  <si>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</si>
  <si>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</si>
  <si>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</si>
  <si>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</si>
  <si>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</si>
  <si>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</si>
  <si>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</si>
  <si>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</si>
  <si>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</si>
  <si>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</si>
  <si>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</si>
  <si>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</si>
  <si>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</si>
  <si>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</si>
  <si>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</si>
  <si>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</si>
  <si>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</si>
  <si>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</si>
  <si>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</si>
  <si>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</si>
  <si>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</si>
  <si>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</si>
  <si>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</si>
  <si>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</si>
  <si>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</si>
  <si>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</si>
  <si>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1295$</t>
  </si>
  <si>
    <t>https://www.baileigh.com/semi-auto-band-saw-bs-330sa</t>
  </si>
  <si>
    <t>Milling vise</t>
  </si>
  <si>
    <t>Stock Band saw</t>
  </si>
  <si>
    <t>13995$</t>
  </si>
  <si>
    <t>Baileigh</t>
  </si>
  <si>
    <t>150cmx300cm</t>
  </si>
  <si>
    <t>142000$</t>
  </si>
  <si>
    <t>122cmx122cm</t>
  </si>
  <si>
    <t>https://www.baileigh.com/water-jet-wj-4x4cnc#</t>
  </si>
  <si>
    <t>https://www.baileigh.com/cnc-laser-table-fl-510hd-500</t>
  </si>
  <si>
    <t>Water jet</t>
  </si>
  <si>
    <t>Laser cutter</t>
  </si>
  <si>
    <t>208995$</t>
  </si>
  <si>
    <t>1000W</t>
  </si>
  <si>
    <t>8mm max</t>
  </si>
  <si>
    <t>Selon doc, 1000W pour aluminium</t>
  </si>
  <si>
    <t>https://www.baileigh.com/hydraulic-shop-press-hsp-10h</t>
  </si>
  <si>
    <t>Manual Hydraulic press</t>
  </si>
  <si>
    <t>395$</t>
  </si>
  <si>
    <t>Fusion 360</t>
  </si>
  <si>
    <t>https://www.autodesk.fr/products/fusion-360/subscribe?plc=F360&amp;term=1-YEAR&amp;support=ADVANCED&amp;quantity=1</t>
  </si>
  <si>
    <t>Office 365 business</t>
  </si>
  <si>
    <t>Roller cabinet + standard tooling</t>
  </si>
  <si>
    <t>https://www.promeca.com/composition-v5-servante-chrono-6m3-facom-chrono-v5pb-promotion</t>
  </si>
  <si>
    <t>1079.10$ HT</t>
  </si>
  <si>
    <t>Clé dynamo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</si>
  <si>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</si>
  <si>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</si>
  <si>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</si>
  <si>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</si>
  <si>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</si>
  <si>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</si>
  <si>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</si>
  <si>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</si>
  <si>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4386€HT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</si>
  <si>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</si>
  <si>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</si>
  <si>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</si>
  <si>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</si>
  <si>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146€ HT</t>
  </si>
  <si>
    <t>https://www.promeca.com/soudage-et-accessoires/equipements-du-soudeur/vetements-specifiques-du-soudeur</t>
  </si>
  <si>
    <t>Clothes/gloves</t>
  </si>
  <si>
    <t>50€ HT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</si>
  <si>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</si>
  <si>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</si>
  <si>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</si>
  <si>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</si>
  <si>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</si>
  <si>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</si>
  <si>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</si>
  <si>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</si>
  <si>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</si>
  <si>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</si>
  <si>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</si>
  <si>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</si>
  <si>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</si>
  <si>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</si>
  <si>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</si>
  <si>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</si>
  <si>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</si>
  <si>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</si>
  <si>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</si>
  <si>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</si>
  <si>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</si>
  <si>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</si>
  <si>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</si>
  <si>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</si>
  <si>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</si>
  <si>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</si>
  <si>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</si>
  <si>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</si>
  <si>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</si>
  <si>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</si>
  <si>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</si>
  <si>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</si>
  <si>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</si>
  <si>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</si>
  <si>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</si>
  <si>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</si>
  <si>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</si>
  <si>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</si>
  <si>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</si>
  <si>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</si>
  <si>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</si>
  <si>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Engineer - Grade III A</t>
  </si>
  <si>
    <t>Yearly for the company</t>
  </si>
  <si>
    <t>Technician - Grade 22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</si>
  <si>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</si>
  <si>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</si>
  <si>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</si>
  <si>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</si>
  <si>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</si>
  <si>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</si>
  <si>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</si>
  <si>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</si>
  <si>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</si>
  <si>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To be modified with consumption of machine later on </t>
  </si>
  <si>
    <t>Price /kWh HT</t>
  </si>
  <si>
    <t>Subscription 36kVa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</si>
  <si>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</si>
  <si>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</si>
  <si>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</si>
  <si>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</si>
  <si>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</si>
  <si>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</si>
  <si>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</si>
  <si>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</si>
  <si>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</si>
  <si>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</si>
  <si>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</si>
  <si>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</si>
  <si>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</si>
  <si>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</si>
  <si>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</si>
  <si>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</si>
  <si>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</si>
  <si>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</si>
  <si>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</si>
  <si>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</si>
  <si>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</si>
  <si>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</si>
  <si>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</si>
  <si>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</si>
  <si>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</si>
  <si>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8579€ HT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</si>
  <si>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</si>
  <si>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</si>
  <si>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</si>
  <si>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</si>
  <si>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</si>
  <si>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</si>
  <si>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</si>
  <si>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</si>
  <si>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</si>
  <si>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 xml:space="preserve"> Printers (4000 A4pages B&amp;W, 1600 A4pages Colors)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</si>
  <si>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</si>
  <si>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</si>
  <si>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</si>
  <si>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</si>
  <si>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Telephone/mobile phone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</si>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</sst>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[$€-2]\ #,##0.00;[Red]\-[$€-2]\ #,##0.00"/>
    <numFmt numFmtId="165" formatCode="_-* #,##0.0000\ &quot;€&quot;_-;\-* #,##0.0000\ &quot;€&quot;_-;_-* &quot;-&quot;??\ &quot;€&quot;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16" borderId="0" xfId="0" applyFill="1"/>
    <xf numFmtId="0" fontId="2" fillId="17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3" fillId="11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164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0" fontId="0" fillId="2" borderId="0" xfId="0" applyFill="1"/>
    <xf numFmtId="165" fontId="0" fillId="0" borderId="0" xfId="1" applyNumberFormat="1" applyFont="1"/>
    <xf numFmtId="0" fontId="0" fillId="18" borderId="0" xfId="0" applyFill="1"/>
    <xf numFmtId="166" fontId="0" fillId="0" borderId="0" xfId="0" applyNumberFormat="1"/>
    <xf numFmtId="167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sslaser.com/metal-cutting-produc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ascnc.com/shop/category/pricelis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F01E-2D93-410F-BC7D-EB956F7D9444}">
  <dimension ref="A1:B22"/>
  <sheetViews>
    <sheetView topLeftCell="A4" workbookViewId="0">
      <selection activeCell="A39" sqref="A39:A40"/>
    </sheetView>
  </sheetViews>
  <sheetFormatPr baseColWidth="10" defaultRowHeight="15" x14ac:dyDescent="0.25"/>
  <cols>
    <col min="1" max="1" width="37.140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A6" t="s">
        <v>6</v>
      </c>
      <c r="B6" t="s">
        <v>5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2" spans="1:2" x14ac:dyDescent="0.25">
      <c r="B12" t="s">
        <v>12</v>
      </c>
    </row>
    <row r="13" spans="1:2" x14ac:dyDescent="0.25"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1:2" x14ac:dyDescent="0.25">
      <c r="A17" t="s">
        <v>17</v>
      </c>
      <c r="B17" t="s">
        <v>18</v>
      </c>
    </row>
    <row r="18" spans="1:2" x14ac:dyDescent="0.25">
      <c r="B18" t="s">
        <v>19</v>
      </c>
    </row>
    <row r="19" spans="1:2" x14ac:dyDescent="0.25">
      <c r="B19" t="s">
        <v>20</v>
      </c>
    </row>
    <row r="20" spans="1:2" x14ac:dyDescent="0.25">
      <c r="A20" t="s">
        <v>21</v>
      </c>
      <c r="B20" t="s">
        <v>22</v>
      </c>
    </row>
    <row r="21" spans="1:2" x14ac:dyDescent="0.25">
      <c r="B21" t="s">
        <v>23</v>
      </c>
    </row>
    <row r="22" spans="1:2" x14ac:dyDescent="0.25">
      <c r="B22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8F9C-6374-4FC1-9CD1-FAF62F23455A}">
  <dimension ref="A1:C19"/>
  <sheetViews>
    <sheetView workbookViewId="0">
      <selection activeCell="C19" sqref="C19"/>
    </sheetView>
  </sheetViews>
  <sheetFormatPr baseColWidth="10" defaultRowHeight="15" x14ac:dyDescent="0.25"/>
  <cols>
    <col min="1" max="1" width="51.5703125" bestFit="1" customWidth="1"/>
    <col min="2" max="2" width="11.85546875" bestFit="1" customWidth="1"/>
  </cols>
  <sheetData>
    <row r="1" spans="1:3" x14ac:dyDescent="0.25">
      <c r="A1" s="22" t="s">
        <v>36</v>
      </c>
    </row>
    <row r="2" spans="1:3" x14ac:dyDescent="0.25">
      <c r="A2" t="s">
        <v>121</v>
      </c>
      <c r="B2" s="2">
        <v>80000</v>
      </c>
      <c r="C2" s="22" t="s">
        <v>123</v>
      </c>
    </row>
    <row r="3" spans="1:3" x14ac:dyDescent="0.25">
      <c r="A3" t="s">
        <v>122</v>
      </c>
    </row>
    <row r="4" spans="1:3" x14ac:dyDescent="0.25">
      <c r="A4" t="s">
        <v>124</v>
      </c>
      <c r="B4" t="s">
        <v>125</v>
      </c>
      <c r="C4">
        <v>1016</v>
      </c>
    </row>
    <row r="5" spans="1:3" x14ac:dyDescent="0.25">
      <c r="B5" t="s">
        <v>126</v>
      </c>
      <c r="C5">
        <v>660</v>
      </c>
    </row>
    <row r="6" spans="1:3" x14ac:dyDescent="0.25">
      <c r="B6" t="s">
        <v>127</v>
      </c>
      <c r="C6">
        <v>635</v>
      </c>
    </row>
    <row r="7" spans="1:3" x14ac:dyDescent="0.25">
      <c r="A7" t="s">
        <v>128</v>
      </c>
    </row>
    <row r="8" spans="1:3" x14ac:dyDescent="0.25">
      <c r="A8" t="s">
        <v>129</v>
      </c>
    </row>
    <row r="9" spans="1:3" x14ac:dyDescent="0.25">
      <c r="A9" t="s">
        <v>130</v>
      </c>
    </row>
    <row r="10" spans="1:3" x14ac:dyDescent="0.25">
      <c r="A10" t="s">
        <v>131</v>
      </c>
      <c r="B10" t="s">
        <v>125</v>
      </c>
      <c r="C10">
        <v>1372</v>
      </c>
    </row>
    <row r="11" spans="1:3" x14ac:dyDescent="0.25">
      <c r="B11" t="s">
        <v>126</v>
      </c>
      <c r="C11">
        <v>610</v>
      </c>
    </row>
    <row r="12" spans="1:3" x14ac:dyDescent="0.25">
      <c r="A12" t="s">
        <v>132</v>
      </c>
      <c r="B12" t="s">
        <v>133</v>
      </c>
    </row>
    <row r="13" spans="1:3" x14ac:dyDescent="0.25">
      <c r="A13" t="s">
        <v>134</v>
      </c>
      <c r="B13" t="s">
        <v>135</v>
      </c>
    </row>
    <row r="14" spans="1:3" x14ac:dyDescent="0.25">
      <c r="A14" t="s">
        <v>136</v>
      </c>
      <c r="B14" t="s">
        <v>137</v>
      </c>
    </row>
    <row r="15" spans="1:3" x14ac:dyDescent="0.25">
      <c r="A15" t="s">
        <v>138</v>
      </c>
      <c r="B15" t="s">
        <v>139</v>
      </c>
    </row>
    <row r="16" spans="1:3" x14ac:dyDescent="0.25">
      <c r="A16" t="s">
        <v>140</v>
      </c>
      <c r="B16" t="s">
        <v>141</v>
      </c>
    </row>
    <row r="17" spans="1:3" x14ac:dyDescent="0.25">
      <c r="A17" t="s">
        <v>55</v>
      </c>
      <c r="B17" t="s">
        <v>142</v>
      </c>
    </row>
    <row r="19" spans="1:3" x14ac:dyDescent="0.25">
      <c r="A19" t="s">
        <v>200</v>
      </c>
      <c r="B19" t="s">
        <v>201</v>
      </c>
      <c r="C19" t="s">
        <v>202</v>
      </c>
    </row>
  </sheetData>
  <hyperlinks>
    <hyperlink ref="A1" r:id="rId1" xr:uid="{D87BE077-FBAD-4470-AE46-C2A521D1C95A}"/>
    <hyperlink ref="C2" r:id="rId2" xr:uid="{8DD2D8AC-F91F-4BDD-88D8-E92AD1B8785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DE6C-0499-4E38-B78B-E24301945BCE}">
  <dimension ref="A1:F9"/>
  <sheetViews>
    <sheetView workbookViewId="0">
      <selection activeCell="B11" sqref="B11"/>
    </sheetView>
  </sheetViews>
  <sheetFormatPr baseColWidth="10" defaultRowHeight="15" x14ac:dyDescent="0.25"/>
  <cols>
    <col min="1" max="1" width="18.7109375" bestFit="1" customWidth="1"/>
  </cols>
  <sheetData>
    <row r="1" spans="1:6" x14ac:dyDescent="0.25">
      <c r="A1" t="s">
        <v>143</v>
      </c>
      <c r="B1" t="s">
        <v>150</v>
      </c>
    </row>
    <row r="2" spans="1:6" x14ac:dyDescent="0.25">
      <c r="B2" t="s">
        <v>145</v>
      </c>
      <c r="C2" t="s">
        <v>147</v>
      </c>
      <c r="D2" t="s">
        <v>146</v>
      </c>
      <c r="E2" t="s">
        <v>148</v>
      </c>
    </row>
    <row r="3" spans="1:6" x14ac:dyDescent="0.25">
      <c r="A3" t="s">
        <v>144</v>
      </c>
      <c r="B3" s="23">
        <v>0.04</v>
      </c>
      <c r="C3">
        <v>5</v>
      </c>
      <c r="D3" s="2">
        <v>79.52</v>
      </c>
      <c r="E3">
        <f>208*B3</f>
        <v>8.32</v>
      </c>
      <c r="F3" s="24">
        <f>$E$3*D3/C3</f>
        <v>132.32128</v>
      </c>
    </row>
    <row r="4" spans="1:6" x14ac:dyDescent="0.25">
      <c r="A4" t="s">
        <v>149</v>
      </c>
      <c r="C4">
        <v>20</v>
      </c>
      <c r="D4" s="2">
        <v>236.84</v>
      </c>
      <c r="F4" s="24">
        <f t="shared" ref="F4:F5" si="0">$E$3*D4/C4</f>
        <v>98.525440000000003</v>
      </c>
    </row>
    <row r="5" spans="1:6" x14ac:dyDescent="0.25">
      <c r="C5">
        <v>200</v>
      </c>
      <c r="D5" s="2">
        <v>2116</v>
      </c>
      <c r="F5" s="24">
        <f t="shared" si="0"/>
        <v>88.025599999999997</v>
      </c>
    </row>
    <row r="7" spans="1:6" x14ac:dyDescent="0.25">
      <c r="A7" t="s">
        <v>156</v>
      </c>
      <c r="B7" t="s">
        <v>151</v>
      </c>
      <c r="C7" s="2">
        <v>2500</v>
      </c>
    </row>
    <row r="9" spans="1:6" x14ac:dyDescent="0.25">
      <c r="A9" t="s">
        <v>157</v>
      </c>
      <c r="B9" t="s">
        <v>155</v>
      </c>
      <c r="C9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EF85-2FE8-4B91-9C72-7F274AF59AF6}">
  <dimension ref="A1:K7"/>
  <sheetViews>
    <sheetView workbookViewId="0">
      <selection activeCell="C7" sqref="C7"/>
    </sheetView>
  </sheetViews>
  <sheetFormatPr baseColWidth="10" defaultRowHeight="15" x14ac:dyDescent="0.25"/>
  <cols>
    <col min="2" max="2" width="13.140625" bestFit="1" customWidth="1"/>
  </cols>
  <sheetData>
    <row r="1" spans="1:11" x14ac:dyDescent="0.25">
      <c r="A1" s="22" t="s">
        <v>37</v>
      </c>
    </row>
    <row r="3" spans="1:11" x14ac:dyDescent="0.25">
      <c r="A3" t="s">
        <v>166</v>
      </c>
    </row>
    <row r="4" spans="1:11" x14ac:dyDescent="0.25">
      <c r="A4" t="s">
        <v>159</v>
      </c>
      <c r="B4" t="s">
        <v>160</v>
      </c>
      <c r="C4" t="s">
        <v>168</v>
      </c>
      <c r="D4" t="s">
        <v>167</v>
      </c>
      <c r="E4" t="s">
        <v>169</v>
      </c>
      <c r="F4" t="s">
        <v>164</v>
      </c>
      <c r="K4" t="s">
        <v>170</v>
      </c>
    </row>
    <row r="6" spans="1:11" x14ac:dyDescent="0.25">
      <c r="A6" t="s">
        <v>165</v>
      </c>
    </row>
    <row r="7" spans="1:11" x14ac:dyDescent="0.25">
      <c r="A7" t="s">
        <v>159</v>
      </c>
      <c r="B7" t="s">
        <v>162</v>
      </c>
      <c r="D7" t="s">
        <v>161</v>
      </c>
      <c r="F7" t="s">
        <v>163</v>
      </c>
    </row>
  </sheetData>
  <hyperlinks>
    <hyperlink ref="A1" r:id="rId1" xr:uid="{851F5C67-BAB8-49A1-896D-849705F721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47B-3FC6-4E00-9E51-22AB77171136}">
  <dimension ref="A1"/>
  <sheetViews>
    <sheetView workbookViewId="0">
      <selection activeCell="I25" sqref="I25"/>
    </sheetView>
  </sheetViews>
  <sheetFormatPr baseColWidth="10" defaultRowHeight="15" x14ac:dyDescent="0.25"/>
  <sheetData>
    <row r="1" spans="1:1" x14ac:dyDescent="0.25">
      <c r="A1" s="22" t="s">
        <v>36</v>
      </c>
    </row>
  </sheetData>
  <hyperlinks>
    <hyperlink ref="A1" r:id="rId1" xr:uid="{F57AD832-C197-4AB5-80D7-9956AD22D56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2E59-26F6-41B6-8D22-66B526DB6BB8}">
  <dimension ref="A1:O50"/>
  <sheetViews>
    <sheetView tabSelected="1" workbookViewId="0">
      <selection activeCell="C15" sqref="C15"/>
    </sheetView>
  </sheetViews>
  <sheetFormatPr baseColWidth="10" defaultRowHeight="15" x14ac:dyDescent="0.25"/>
  <cols>
    <col min="1" max="1" width="14.5703125" bestFit="1" customWidth="1"/>
    <col min="2" max="2" width="45.5703125" bestFit="1" customWidth="1"/>
    <col min="3" max="3" width="11.85546875" bestFit="1" customWidth="1"/>
    <col min="5" max="5" width="23.85546875" bestFit="1" customWidth="1"/>
    <col min="6" max="6" width="31" bestFit="1" customWidth="1"/>
    <col min="7" max="7" width="19.140625" bestFit="1" customWidth="1"/>
    <col min="9" max="9" width="21" bestFit="1" customWidth="1"/>
    <col min="10" max="10" width="14.5703125" bestFit="1" customWidth="1"/>
  </cols>
  <sheetData>
    <row r="1" spans="1:15" x14ac:dyDescent="0.25">
      <c r="A1" s="38" t="s">
        <v>38</v>
      </c>
      <c r="B1" s="38"/>
      <c r="C1" s="38"/>
      <c r="E1" s="36" t="s">
        <v>53</v>
      </c>
      <c r="F1" s="36"/>
      <c r="G1" s="36"/>
      <c r="I1" s="37" t="s">
        <v>58</v>
      </c>
      <c r="J1" s="37"/>
      <c r="K1" s="37"/>
      <c r="M1" s="39" t="s">
        <v>100</v>
      </c>
      <c r="N1" s="39"/>
      <c r="O1" s="39"/>
    </row>
    <row r="2" spans="1:15" x14ac:dyDescent="0.25">
      <c r="A2" s="3" t="s">
        <v>67</v>
      </c>
      <c r="B2" s="3" t="s">
        <v>59</v>
      </c>
      <c r="C2" s="3" t="s">
        <v>42</v>
      </c>
      <c r="E2" s="8" t="s">
        <v>40</v>
      </c>
      <c r="F2" s="8" t="s">
        <v>41</v>
      </c>
      <c r="G2" s="8" t="s">
        <v>42</v>
      </c>
      <c r="I2" s="12" t="s">
        <v>40</v>
      </c>
      <c r="J2" s="12" t="s">
        <v>59</v>
      </c>
      <c r="K2" s="12" t="s">
        <v>42</v>
      </c>
      <c r="M2" s="16" t="s">
        <v>40</v>
      </c>
      <c r="N2" s="16" t="s">
        <v>41</v>
      </c>
      <c r="O2" s="16" t="s">
        <v>42</v>
      </c>
    </row>
    <row r="3" spans="1:15" x14ac:dyDescent="0.25">
      <c r="A3" s="4" t="s">
        <v>68</v>
      </c>
      <c r="B3" t="s">
        <v>306</v>
      </c>
      <c r="C3" s="25">
        <f>SUM(Metrology!E14:E17)</f>
        <v>2320</v>
      </c>
      <c r="E3" s="9" t="s">
        <v>39</v>
      </c>
      <c r="F3" t="s">
        <v>46</v>
      </c>
      <c r="I3" s="13" t="s">
        <v>60</v>
      </c>
      <c r="J3" t="s">
        <v>94</v>
      </c>
      <c r="N3" t="s">
        <v>101</v>
      </c>
    </row>
    <row r="4" spans="1:15" x14ac:dyDescent="0.25">
      <c r="A4" s="4"/>
      <c r="B4" t="s">
        <v>305</v>
      </c>
      <c r="C4" s="25">
        <f>SUM(Metrology!E18:E19)</f>
        <v>1838.4</v>
      </c>
      <c r="E4" s="9"/>
      <c r="F4" t="s">
        <v>48</v>
      </c>
      <c r="I4" s="13"/>
      <c r="J4" t="s">
        <v>61</v>
      </c>
      <c r="N4" t="s">
        <v>102</v>
      </c>
    </row>
    <row r="5" spans="1:15" x14ac:dyDescent="0.25">
      <c r="A5" s="4"/>
      <c r="B5" t="s">
        <v>304</v>
      </c>
      <c r="C5" s="25">
        <f>SUM(Metrology!E2:E8)+Metrology!E2+Metrology!E4+Metrology!E3+Metrology!E7+Metrology!E8</f>
        <v>1272</v>
      </c>
      <c r="E5" s="9"/>
      <c r="F5" t="s">
        <v>43</v>
      </c>
      <c r="I5" s="14" t="s">
        <v>62</v>
      </c>
      <c r="J5" t="s">
        <v>63</v>
      </c>
    </row>
    <row r="6" spans="1:15" x14ac:dyDescent="0.25">
      <c r="A6" s="4"/>
      <c r="B6" t="s">
        <v>71</v>
      </c>
      <c r="E6" s="9"/>
      <c r="F6" t="s">
        <v>49</v>
      </c>
      <c r="I6" s="14"/>
      <c r="J6" t="s">
        <v>64</v>
      </c>
    </row>
    <row r="7" spans="1:15" x14ac:dyDescent="0.25">
      <c r="A7" s="4"/>
      <c r="B7" t="s">
        <v>307</v>
      </c>
      <c r="C7" s="25">
        <f>SUM(Metrology!E10:E12)</f>
        <v>3209.6000000000004</v>
      </c>
      <c r="E7" s="9"/>
      <c r="I7" s="14"/>
    </row>
    <row r="8" spans="1:15" x14ac:dyDescent="0.25">
      <c r="A8" s="4"/>
      <c r="B8" t="s">
        <v>308</v>
      </c>
      <c r="C8" s="25">
        <f>2*Metrology!E21</f>
        <v>492.90039304557206</v>
      </c>
      <c r="E8" s="9"/>
      <c r="I8" s="14"/>
    </row>
    <row r="9" spans="1:15" x14ac:dyDescent="0.25">
      <c r="A9" s="5" t="s">
        <v>72</v>
      </c>
      <c r="B9" s="33" t="s">
        <v>73</v>
      </c>
      <c r="E9" s="9"/>
      <c r="F9" t="s">
        <v>50</v>
      </c>
      <c r="I9" s="14"/>
      <c r="J9" t="s">
        <v>61</v>
      </c>
    </row>
    <row r="10" spans="1:15" x14ac:dyDescent="0.25">
      <c r="A10" s="5"/>
      <c r="B10" t="s">
        <v>95</v>
      </c>
      <c r="E10" s="9"/>
      <c r="F10" t="s">
        <v>54</v>
      </c>
      <c r="G10" t="s">
        <v>112</v>
      </c>
      <c r="I10" s="15" t="s">
        <v>104</v>
      </c>
      <c r="J10" t="s">
        <v>105</v>
      </c>
    </row>
    <row r="11" spans="1:15" x14ac:dyDescent="0.25">
      <c r="A11" s="5"/>
      <c r="B11" t="s">
        <v>74</v>
      </c>
      <c r="E11" s="9"/>
      <c r="F11" t="s">
        <v>96</v>
      </c>
      <c r="I11" s="18"/>
      <c r="J11" t="s">
        <v>61</v>
      </c>
    </row>
    <row r="12" spans="1:15" x14ac:dyDescent="0.25">
      <c r="A12" s="5"/>
      <c r="B12" t="s">
        <v>75</v>
      </c>
      <c r="E12" s="10" t="s">
        <v>44</v>
      </c>
      <c r="F12" t="s">
        <v>45</v>
      </c>
    </row>
    <row r="13" spans="1:15" x14ac:dyDescent="0.25">
      <c r="A13" s="5"/>
      <c r="B13" t="s">
        <v>76</v>
      </c>
      <c r="E13" s="10"/>
      <c r="F13" t="s">
        <v>47</v>
      </c>
    </row>
    <row r="14" spans="1:15" x14ac:dyDescent="0.25">
      <c r="A14" s="5"/>
      <c r="B14" s="33" t="s">
        <v>77</v>
      </c>
      <c r="E14" s="10"/>
      <c r="F14" t="s">
        <v>43</v>
      </c>
    </row>
    <row r="15" spans="1:15" x14ac:dyDescent="0.25">
      <c r="A15" s="5"/>
      <c r="B15" t="s">
        <v>78</v>
      </c>
      <c r="E15" s="10"/>
      <c r="F15" t="s">
        <v>49</v>
      </c>
    </row>
    <row r="16" spans="1:15" x14ac:dyDescent="0.25">
      <c r="A16" s="5"/>
      <c r="B16" t="s">
        <v>99</v>
      </c>
      <c r="E16" s="10"/>
      <c r="F16" t="s">
        <v>50</v>
      </c>
    </row>
    <row r="17" spans="1:7" x14ac:dyDescent="0.25">
      <c r="A17" s="6" t="s">
        <v>79</v>
      </c>
      <c r="B17" t="s">
        <v>234</v>
      </c>
      <c r="C17" s="24">
        <f>C42</f>
        <v>31454</v>
      </c>
      <c r="E17" s="10"/>
      <c r="F17" t="s">
        <v>54</v>
      </c>
      <c r="G17" t="s">
        <v>112</v>
      </c>
    </row>
    <row r="18" spans="1:7" x14ac:dyDescent="0.25">
      <c r="A18" s="6"/>
      <c r="B18" t="s">
        <v>80</v>
      </c>
      <c r="C18" s="24">
        <f>C41/2</f>
        <v>27459.5</v>
      </c>
      <c r="E18" s="10"/>
      <c r="F18" t="s">
        <v>96</v>
      </c>
    </row>
    <row r="19" spans="1:7" x14ac:dyDescent="0.25">
      <c r="A19" s="6"/>
      <c r="E19" s="11" t="s">
        <v>51</v>
      </c>
      <c r="F19" t="s">
        <v>52</v>
      </c>
    </row>
    <row r="20" spans="1:7" x14ac:dyDescent="0.25">
      <c r="A20" s="7" t="s">
        <v>81</v>
      </c>
      <c r="B20" t="s">
        <v>82</v>
      </c>
      <c r="C20" s="24">
        <f>IT!D11+IT!D12+IT!D13+4*IT!D15+IT!D16+3*IT!D17+IT!D18</f>
        <v>4796.88</v>
      </c>
      <c r="E20" s="11"/>
      <c r="F20" t="s">
        <v>49</v>
      </c>
    </row>
    <row r="21" spans="1:7" x14ac:dyDescent="0.25">
      <c r="A21" s="7"/>
      <c r="B21" t="s">
        <v>289</v>
      </c>
      <c r="C21" s="24">
        <f>IT!D5+2*IT!D6+IT!D7+2*IT!D8+IT!D9</f>
        <v>470.50200000000001</v>
      </c>
      <c r="E21" s="11"/>
      <c r="F21" t="s">
        <v>55</v>
      </c>
    </row>
    <row r="22" spans="1:7" x14ac:dyDescent="0.25">
      <c r="A22" s="7"/>
      <c r="B22" t="s">
        <v>287</v>
      </c>
      <c r="C22" s="24">
        <f>IT!D3*12*3</f>
        <v>316.8</v>
      </c>
      <c r="E22" s="11"/>
      <c r="F22" t="s">
        <v>54</v>
      </c>
      <c r="G22" t="s">
        <v>112</v>
      </c>
    </row>
    <row r="23" spans="1:7" x14ac:dyDescent="0.25">
      <c r="A23" s="7"/>
      <c r="B23" t="s">
        <v>288</v>
      </c>
      <c r="C23" s="24">
        <f>IT!D2*2</f>
        <v>796.80000000000007</v>
      </c>
      <c r="E23" s="11"/>
      <c r="F23" t="s">
        <v>97</v>
      </c>
    </row>
    <row r="24" spans="1:7" x14ac:dyDescent="0.25">
      <c r="A24" s="7"/>
      <c r="B24" t="s">
        <v>83</v>
      </c>
      <c r="C24" s="24">
        <f>12*IT!D20</f>
        <v>1224</v>
      </c>
      <c r="E24" s="9" t="s">
        <v>56</v>
      </c>
      <c r="F24" t="s">
        <v>57</v>
      </c>
    </row>
    <row r="25" spans="1:7" x14ac:dyDescent="0.25">
      <c r="A25" s="7"/>
      <c r="B25" t="s">
        <v>294</v>
      </c>
      <c r="E25" s="9"/>
      <c r="F25" t="s">
        <v>65</v>
      </c>
    </row>
    <row r="26" spans="1:7" x14ac:dyDescent="0.25">
      <c r="A26" s="4" t="s">
        <v>84</v>
      </c>
      <c r="B26" t="s">
        <v>85</v>
      </c>
      <c r="E26" s="9"/>
      <c r="F26" t="s">
        <v>49</v>
      </c>
    </row>
    <row r="27" spans="1:7" x14ac:dyDescent="0.25">
      <c r="A27" s="4"/>
      <c r="B27" t="s">
        <v>86</v>
      </c>
      <c r="E27" s="9"/>
      <c r="F27" t="s">
        <v>50</v>
      </c>
    </row>
    <row r="28" spans="1:7" x14ac:dyDescent="0.25">
      <c r="A28" s="4"/>
      <c r="B28" t="s">
        <v>87</v>
      </c>
      <c r="E28" s="9"/>
      <c r="F28" t="s">
        <v>66</v>
      </c>
    </row>
    <row r="29" spans="1:7" x14ac:dyDescent="0.25">
      <c r="A29" s="4"/>
      <c r="B29" t="s">
        <v>88</v>
      </c>
      <c r="E29" s="9"/>
      <c r="F29" t="s">
        <v>89</v>
      </c>
    </row>
    <row r="30" spans="1:7" x14ac:dyDescent="0.25">
      <c r="A30" s="4"/>
      <c r="B30" s="17" t="s">
        <v>103</v>
      </c>
      <c r="E30" s="20"/>
      <c r="F30" t="s">
        <v>93</v>
      </c>
    </row>
    <row r="31" spans="1:7" x14ac:dyDescent="0.25">
      <c r="A31" s="5" t="s">
        <v>90</v>
      </c>
      <c r="B31" t="s">
        <v>91</v>
      </c>
      <c r="E31" s="21"/>
      <c r="F31" t="s">
        <v>54</v>
      </c>
      <c r="G31" t="s">
        <v>112</v>
      </c>
    </row>
    <row r="32" spans="1:7" x14ac:dyDescent="0.25">
      <c r="A32" s="5"/>
      <c r="B32" t="s">
        <v>92</v>
      </c>
    </row>
    <row r="33" spans="1:3" x14ac:dyDescent="0.25">
      <c r="A33" s="5"/>
      <c r="B33" t="s">
        <v>98</v>
      </c>
    </row>
    <row r="34" spans="1:3" x14ac:dyDescent="0.25">
      <c r="A34" s="6" t="s">
        <v>106</v>
      </c>
      <c r="B34" t="s">
        <v>107</v>
      </c>
    </row>
    <row r="37" spans="1:3" x14ac:dyDescent="0.25">
      <c r="A37" s="40" t="s">
        <v>108</v>
      </c>
      <c r="B37" s="40"/>
      <c r="C37" s="40"/>
    </row>
    <row r="38" spans="1:3" x14ac:dyDescent="0.25">
      <c r="A38" s="19" t="s">
        <v>67</v>
      </c>
      <c r="B38" s="19" t="s">
        <v>41</v>
      </c>
      <c r="C38" s="19" t="s">
        <v>109</v>
      </c>
    </row>
    <row r="39" spans="1:3" x14ac:dyDescent="0.25">
      <c r="A39" t="s">
        <v>110</v>
      </c>
      <c r="B39" t="s">
        <v>61</v>
      </c>
      <c r="C39" s="24">
        <f>Manpower!C5</f>
        <v>21376</v>
      </c>
    </row>
    <row r="40" spans="1:3" x14ac:dyDescent="0.25">
      <c r="B40" t="s">
        <v>111</v>
      </c>
      <c r="C40" s="24">
        <f>Manpower!C6</f>
        <v>31454</v>
      </c>
    </row>
    <row r="41" spans="1:3" x14ac:dyDescent="0.25">
      <c r="B41" t="s">
        <v>113</v>
      </c>
      <c r="C41" s="24">
        <f>Manpower!C7</f>
        <v>54919</v>
      </c>
    </row>
    <row r="42" spans="1:3" x14ac:dyDescent="0.25">
      <c r="B42" t="s">
        <v>114</v>
      </c>
      <c r="C42" s="24">
        <f>Manpower!C6</f>
        <v>31454</v>
      </c>
    </row>
    <row r="43" spans="1:3" x14ac:dyDescent="0.25">
      <c r="A43" t="s">
        <v>115</v>
      </c>
      <c r="B43" t="s">
        <v>116</v>
      </c>
      <c r="C43">
        <v>35</v>
      </c>
    </row>
    <row r="44" spans="1:3" x14ac:dyDescent="0.25">
      <c r="B44" t="s">
        <v>117</v>
      </c>
      <c r="C44" s="30">
        <f>Manpower!B16</f>
        <v>45.6</v>
      </c>
    </row>
    <row r="45" spans="1:3" x14ac:dyDescent="0.25">
      <c r="B45" t="s">
        <v>118</v>
      </c>
      <c r="C45" s="29">
        <v>0.85</v>
      </c>
    </row>
    <row r="46" spans="1:3" x14ac:dyDescent="0.25">
      <c r="A46" t="s">
        <v>119</v>
      </c>
      <c r="B46" t="s">
        <v>254</v>
      </c>
      <c r="C46" s="24">
        <f>Energies!B5</f>
        <v>300.60000000000002</v>
      </c>
    </row>
    <row r="47" spans="1:3" x14ac:dyDescent="0.25">
      <c r="B47" t="s">
        <v>255</v>
      </c>
      <c r="C47">
        <f>Energies!B6</f>
        <v>8.6199999999999999E-2</v>
      </c>
    </row>
    <row r="48" spans="1:3" x14ac:dyDescent="0.25">
      <c r="B48" t="s">
        <v>120</v>
      </c>
    </row>
    <row r="49" spans="2:3" x14ac:dyDescent="0.25">
      <c r="B49" t="s">
        <v>285</v>
      </c>
      <c r="C49">
        <v>1.12964</v>
      </c>
    </row>
    <row r="50" spans="2:3" x14ac:dyDescent="0.25">
      <c r="B50" t="s">
        <v>286</v>
      </c>
      <c r="C50" s="29">
        <v>0.2</v>
      </c>
    </row>
  </sheetData>
  <mergeCells count="5">
    <mergeCell ref="E1:G1"/>
    <mergeCell ref="I1:K1"/>
    <mergeCell ref="A1:C1"/>
    <mergeCell ref="M1:O1"/>
    <mergeCell ref="A37:C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4A6A-2E2D-4927-B2FE-CAA3343F254D}">
  <dimension ref="A1:F21"/>
  <sheetViews>
    <sheetView workbookViewId="0">
      <selection activeCell="E12" sqref="E12"/>
    </sheetView>
  </sheetViews>
  <sheetFormatPr baseColWidth="10" defaultRowHeight="15" x14ac:dyDescent="0.25"/>
  <cols>
    <col min="1" max="1" width="28.28515625" bestFit="1" customWidth="1"/>
  </cols>
  <sheetData>
    <row r="1" spans="1:6" x14ac:dyDescent="0.25">
      <c r="A1" t="s">
        <v>59</v>
      </c>
      <c r="B1" t="s">
        <v>298</v>
      </c>
      <c r="C1" t="s">
        <v>299</v>
      </c>
      <c r="D1" t="s">
        <v>300</v>
      </c>
      <c r="E1" t="s">
        <v>301</v>
      </c>
    </row>
    <row r="2" spans="1:6" x14ac:dyDescent="0.25">
      <c r="A2" t="s">
        <v>208</v>
      </c>
      <c r="B2" t="s">
        <v>204</v>
      </c>
      <c r="D2" s="28">
        <v>149</v>
      </c>
      <c r="E2" s="25">
        <f>D2*(1-General!$C$50)</f>
        <v>119.2</v>
      </c>
      <c r="F2" s="22" t="s">
        <v>203</v>
      </c>
    </row>
    <row r="3" spans="1:6" x14ac:dyDescent="0.25">
      <c r="A3" t="s">
        <v>206</v>
      </c>
      <c r="B3">
        <v>0.01</v>
      </c>
      <c r="D3" s="28">
        <v>129</v>
      </c>
      <c r="E3" s="25">
        <f>D3*(1-General!$C$50)</f>
        <v>103.2</v>
      </c>
      <c r="F3" t="s">
        <v>205</v>
      </c>
    </row>
    <row r="4" spans="1:6" x14ac:dyDescent="0.25">
      <c r="A4" t="s">
        <v>70</v>
      </c>
      <c r="B4">
        <v>0.01</v>
      </c>
      <c r="D4" s="28">
        <v>60</v>
      </c>
      <c r="E4" s="25">
        <f>D4*(1-General!$C$50)</f>
        <v>48</v>
      </c>
      <c r="F4" t="s">
        <v>207</v>
      </c>
    </row>
    <row r="5" spans="1:6" x14ac:dyDescent="0.25">
      <c r="E5" s="25"/>
    </row>
    <row r="6" spans="1:6" x14ac:dyDescent="0.25">
      <c r="A6" t="s">
        <v>210</v>
      </c>
      <c r="D6" s="28">
        <v>392</v>
      </c>
      <c r="E6" s="25">
        <f>D6*(1-General!$C$50)</f>
        <v>313.60000000000002</v>
      </c>
      <c r="F6" t="s">
        <v>209</v>
      </c>
    </row>
    <row r="7" spans="1:6" x14ac:dyDescent="0.25">
      <c r="A7" t="s">
        <v>214</v>
      </c>
      <c r="D7" s="28">
        <v>167</v>
      </c>
      <c r="E7" s="25">
        <f>D7*(1-General!$C$50)</f>
        <v>133.6</v>
      </c>
      <c r="F7" t="s">
        <v>211</v>
      </c>
    </row>
    <row r="8" spans="1:6" x14ac:dyDescent="0.25">
      <c r="A8" t="s">
        <v>213</v>
      </c>
      <c r="D8" s="28">
        <v>94</v>
      </c>
      <c r="E8" s="25">
        <f>D8*(1-General!$C$50)</f>
        <v>75.2</v>
      </c>
      <c r="F8" t="s">
        <v>212</v>
      </c>
    </row>
    <row r="9" spans="1:6" x14ac:dyDescent="0.25">
      <c r="E9" s="25"/>
    </row>
    <row r="10" spans="1:6" x14ac:dyDescent="0.25">
      <c r="A10" t="s">
        <v>215</v>
      </c>
      <c r="D10" s="28">
        <v>282</v>
      </c>
      <c r="E10" s="25">
        <f>D10*(1-General!$C$50)</f>
        <v>225.60000000000002</v>
      </c>
      <c r="F10" t="s">
        <v>216</v>
      </c>
    </row>
    <row r="11" spans="1:6" x14ac:dyDescent="0.25">
      <c r="A11" t="s">
        <v>218</v>
      </c>
      <c r="D11" s="28">
        <v>408</v>
      </c>
      <c r="E11" s="25">
        <f>D11*(1-General!$C$50)</f>
        <v>326.40000000000003</v>
      </c>
    </row>
    <row r="12" spans="1:6" x14ac:dyDescent="0.25">
      <c r="A12" t="s">
        <v>219</v>
      </c>
      <c r="D12" s="28">
        <v>3322</v>
      </c>
      <c r="E12" s="25">
        <f>D12*(1-General!$C$50)</f>
        <v>2657.6000000000004</v>
      </c>
      <c r="F12" t="s">
        <v>217</v>
      </c>
    </row>
    <row r="13" spans="1:6" x14ac:dyDescent="0.25">
      <c r="E13" s="25"/>
    </row>
    <row r="14" spans="1:6" x14ac:dyDescent="0.25">
      <c r="A14" t="s">
        <v>220</v>
      </c>
      <c r="B14" t="s">
        <v>221</v>
      </c>
      <c r="D14" s="28">
        <v>1390</v>
      </c>
      <c r="E14" s="25">
        <f>D14*(1-General!$C$50)</f>
        <v>1112</v>
      </c>
      <c r="F14" t="s">
        <v>222</v>
      </c>
    </row>
    <row r="15" spans="1:6" x14ac:dyDescent="0.25">
      <c r="B15" t="s">
        <v>224</v>
      </c>
      <c r="D15" s="28">
        <v>1202</v>
      </c>
      <c r="E15" s="25">
        <f>D15*(1-General!$C$50)</f>
        <v>961.6</v>
      </c>
      <c r="F15" t="s">
        <v>223</v>
      </c>
    </row>
    <row r="16" spans="1:6" x14ac:dyDescent="0.25">
      <c r="B16" t="s">
        <v>226</v>
      </c>
      <c r="D16" s="28">
        <v>146</v>
      </c>
      <c r="E16" s="25">
        <f>D16*(1-General!$C$50)</f>
        <v>116.80000000000001</v>
      </c>
      <c r="F16" t="s">
        <v>225</v>
      </c>
    </row>
    <row r="17" spans="1:6" x14ac:dyDescent="0.25">
      <c r="B17" t="s">
        <v>228</v>
      </c>
      <c r="D17" s="28">
        <v>162</v>
      </c>
      <c r="E17" s="25">
        <f>D17*(1-General!$C$50)</f>
        <v>129.6</v>
      </c>
      <c r="F17" t="s">
        <v>227</v>
      </c>
    </row>
    <row r="18" spans="1:6" x14ac:dyDescent="0.25">
      <c r="A18" t="s">
        <v>69</v>
      </c>
      <c r="B18" t="s">
        <v>230</v>
      </c>
      <c r="D18" s="28">
        <v>1623</v>
      </c>
      <c r="E18" s="25">
        <f>D18*(1-General!$C$50)</f>
        <v>1298.4000000000001</v>
      </c>
      <c r="F18" s="22" t="s">
        <v>229</v>
      </c>
    </row>
    <row r="19" spans="1:6" x14ac:dyDescent="0.25">
      <c r="B19" s="26" t="s">
        <v>302</v>
      </c>
      <c r="D19" s="28">
        <v>675</v>
      </c>
      <c r="E19" s="25">
        <f>D19*(1-General!$C$50)</f>
        <v>540</v>
      </c>
      <c r="F19" t="s">
        <v>303</v>
      </c>
    </row>
    <row r="20" spans="1:6" x14ac:dyDescent="0.25">
      <c r="B20" s="26"/>
      <c r="E20" s="25"/>
    </row>
    <row r="21" spans="1:6" x14ac:dyDescent="0.25">
      <c r="A21" t="s">
        <v>231</v>
      </c>
      <c r="B21" t="s">
        <v>233</v>
      </c>
      <c r="C21" s="34">
        <v>348</v>
      </c>
      <c r="D21" s="35">
        <f>Metrology!C21/(General!C49)</f>
        <v>308.06274565348252</v>
      </c>
      <c r="E21" s="25">
        <f>D21*(1-General!$C$50)</f>
        <v>246.45019652278603</v>
      </c>
      <c r="F21" s="22" t="s">
        <v>232</v>
      </c>
    </row>
  </sheetData>
  <hyperlinks>
    <hyperlink ref="F2" r:id="rId1" xr:uid="{58DA363D-2D93-46A9-8D7C-0B5ED87DF868}"/>
    <hyperlink ref="F21" r:id="rId2" xr:uid="{082AA6A4-2406-4004-9E43-1501E0B29EF7}"/>
    <hyperlink ref="F18" r:id="rId3" xr:uid="{D91E9628-A254-43A5-A037-02481B0A8B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6EF-A592-4848-BAEA-E441E8495A29}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50</v>
      </c>
      <c r="B1" t="s">
        <v>250</v>
      </c>
    </row>
    <row r="3" spans="1:2" x14ac:dyDescent="0.25">
      <c r="A3" s="31" t="s">
        <v>251</v>
      </c>
    </row>
    <row r="5" spans="1:2" x14ac:dyDescent="0.25">
      <c r="A5" t="s">
        <v>253</v>
      </c>
      <c r="B5" s="2">
        <v>300.60000000000002</v>
      </c>
    </row>
    <row r="6" spans="1:2" x14ac:dyDescent="0.25">
      <c r="A6" t="s">
        <v>252</v>
      </c>
      <c r="B6" s="32">
        <v>8.6199999999999999E-2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036-5546-4CAB-92C2-E90497369D05}">
  <dimension ref="A1:C16"/>
  <sheetViews>
    <sheetView workbookViewId="0">
      <selection activeCell="B16" sqref="B16"/>
    </sheetView>
  </sheetViews>
  <sheetFormatPr baseColWidth="10" defaultRowHeight="15" x14ac:dyDescent="0.25"/>
  <cols>
    <col min="1" max="1" width="43.7109375" bestFit="1" customWidth="1"/>
    <col min="3" max="3" width="21.5703125" bestFit="1" customWidth="1"/>
  </cols>
  <sheetData>
    <row r="1" spans="1:3" x14ac:dyDescent="0.25">
      <c r="A1" t="s">
        <v>235</v>
      </c>
      <c r="B1" s="22" t="s">
        <v>190</v>
      </c>
    </row>
    <row r="2" spans="1:3" x14ac:dyDescent="0.25">
      <c r="A2" t="s">
        <v>236</v>
      </c>
      <c r="B2" s="22" t="s">
        <v>191</v>
      </c>
    </row>
    <row r="4" spans="1:3" x14ac:dyDescent="0.25">
      <c r="B4" t="s">
        <v>238</v>
      </c>
      <c r="C4" t="s">
        <v>240</v>
      </c>
    </row>
    <row r="5" spans="1:3" x14ac:dyDescent="0.25">
      <c r="A5" t="s">
        <v>237</v>
      </c>
      <c r="B5" s="2">
        <v>1592</v>
      </c>
      <c r="C5" s="2">
        <v>21376</v>
      </c>
    </row>
    <row r="6" spans="1:3" x14ac:dyDescent="0.25">
      <c r="A6" t="s">
        <v>241</v>
      </c>
      <c r="B6" s="2">
        <v>2054</v>
      </c>
      <c r="C6" s="2">
        <v>31454</v>
      </c>
    </row>
    <row r="7" spans="1:3" x14ac:dyDescent="0.25">
      <c r="A7" t="s">
        <v>239</v>
      </c>
      <c r="B7" s="2">
        <v>3333</v>
      </c>
      <c r="C7" s="2">
        <v>54919</v>
      </c>
    </row>
    <row r="10" spans="1:3" x14ac:dyDescent="0.25">
      <c r="A10" t="s">
        <v>243</v>
      </c>
      <c r="B10" t="s">
        <v>242</v>
      </c>
    </row>
    <row r="11" spans="1:3" x14ac:dyDescent="0.25">
      <c r="A11" t="s">
        <v>244</v>
      </c>
      <c r="B11">
        <v>365</v>
      </c>
    </row>
    <row r="12" spans="1:3" x14ac:dyDescent="0.25">
      <c r="A12" t="s">
        <v>245</v>
      </c>
      <c r="B12">
        <v>104</v>
      </c>
    </row>
    <row r="13" spans="1:3" x14ac:dyDescent="0.25">
      <c r="A13" t="s">
        <v>246</v>
      </c>
      <c r="B13">
        <v>8</v>
      </c>
    </row>
    <row r="14" spans="1:3" x14ac:dyDescent="0.25">
      <c r="A14" t="s">
        <v>247</v>
      </c>
      <c r="B14">
        <v>25</v>
      </c>
    </row>
    <row r="15" spans="1:3" x14ac:dyDescent="0.25">
      <c r="A15" t="s">
        <v>248</v>
      </c>
      <c r="B15">
        <f>B11-B12-B13-B14</f>
        <v>228</v>
      </c>
    </row>
    <row r="16" spans="1:3" x14ac:dyDescent="0.25">
      <c r="A16" t="s">
        <v>249</v>
      </c>
      <c r="B16" s="30">
        <f>B15/5</f>
        <v>45.6</v>
      </c>
    </row>
  </sheetData>
  <hyperlinks>
    <hyperlink ref="B1" r:id="rId1" xr:uid="{77E3761D-D50B-49EB-9456-1ABE9C4BA444}"/>
    <hyperlink ref="B2" r:id="rId2" xr:uid="{91619E3B-26A2-41F9-8981-7952596A870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045D-BA9D-4645-BBE6-821FC0C971AC}">
  <dimension ref="A1:D9"/>
  <sheetViews>
    <sheetView workbookViewId="0">
      <selection activeCell="B9" sqref="B9"/>
    </sheetView>
  </sheetViews>
  <sheetFormatPr baseColWidth="10" defaultRowHeight="15" x14ac:dyDescent="0.25"/>
  <cols>
    <col min="1" max="1" width="30" bestFit="1" customWidth="1"/>
  </cols>
  <sheetData>
    <row r="1" spans="1:4" x14ac:dyDescent="0.25">
      <c r="A1" t="s">
        <v>152</v>
      </c>
      <c r="B1" t="s">
        <v>153</v>
      </c>
      <c r="C1" t="s">
        <v>154</v>
      </c>
    </row>
    <row r="3" spans="1:4" x14ac:dyDescent="0.25">
      <c r="A3" t="s">
        <v>172</v>
      </c>
      <c r="B3" t="s">
        <v>171</v>
      </c>
      <c r="C3" t="s">
        <v>173</v>
      </c>
    </row>
    <row r="5" spans="1:4" x14ac:dyDescent="0.25">
      <c r="A5" t="s">
        <v>177</v>
      </c>
      <c r="B5" t="s">
        <v>178</v>
      </c>
      <c r="C5" t="s">
        <v>179</v>
      </c>
    </row>
    <row r="7" spans="1:4" x14ac:dyDescent="0.25">
      <c r="A7" t="s">
        <v>180</v>
      </c>
      <c r="B7" t="s">
        <v>181</v>
      </c>
      <c r="C7" t="s">
        <v>182</v>
      </c>
      <c r="D7" s="25">
        <v>283.8</v>
      </c>
    </row>
    <row r="8" spans="1:4" x14ac:dyDescent="0.25">
      <c r="B8" t="s">
        <v>183</v>
      </c>
      <c r="C8" t="s">
        <v>184</v>
      </c>
      <c r="D8" s="25">
        <v>173.75</v>
      </c>
    </row>
    <row r="9" spans="1:4" x14ac:dyDescent="0.25">
      <c r="B9" s="26" t="s">
        <v>186</v>
      </c>
      <c r="C9" t="s">
        <v>185</v>
      </c>
      <c r="D9" s="27">
        <v>153.08000000000001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2A31-2CF8-497B-80D7-A7402E14FDAF}">
  <dimension ref="A1:C9"/>
  <sheetViews>
    <sheetView workbookViewId="0">
      <selection activeCell="C9" sqref="C9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3" x14ac:dyDescent="0.25">
      <c r="A1" t="s">
        <v>187</v>
      </c>
      <c r="B1" t="s">
        <v>188</v>
      </c>
      <c r="C1" t="s">
        <v>189</v>
      </c>
    </row>
    <row r="3" spans="1:3" x14ac:dyDescent="0.25">
      <c r="A3" t="s">
        <v>193</v>
      </c>
      <c r="B3" t="s">
        <v>192</v>
      </c>
      <c r="C3" t="s">
        <v>194</v>
      </c>
    </row>
    <row r="5" spans="1:3" x14ac:dyDescent="0.25">
      <c r="A5" t="s">
        <v>196</v>
      </c>
      <c r="B5" t="s">
        <v>195</v>
      </c>
      <c r="C5" t="s">
        <v>197</v>
      </c>
    </row>
    <row r="7" spans="1:3" x14ac:dyDescent="0.25">
      <c r="A7" t="s">
        <v>199</v>
      </c>
      <c r="B7" t="s">
        <v>198</v>
      </c>
    </row>
    <row r="9" spans="1:3" x14ac:dyDescent="0.25">
      <c r="A9" t="s">
        <v>277</v>
      </c>
      <c r="B9" t="s">
        <v>278</v>
      </c>
      <c r="C9" t="s">
        <v>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E3DF-8095-40C8-89A5-34A98EA6B556}">
  <dimension ref="A1:J22"/>
  <sheetViews>
    <sheetView workbookViewId="0">
      <selection activeCell="J12" sqref="J12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</cols>
  <sheetData>
    <row r="1" spans="1:10" x14ac:dyDescent="0.25">
      <c r="A1" t="s">
        <v>29</v>
      </c>
    </row>
    <row r="2" spans="1:10" x14ac:dyDescent="0.25">
      <c r="A2" t="s">
        <v>24</v>
      </c>
      <c r="G2" t="s">
        <v>33</v>
      </c>
    </row>
    <row r="3" spans="1:10" x14ac:dyDescent="0.25">
      <c r="A3" t="s">
        <v>28</v>
      </c>
      <c r="B3" t="s">
        <v>25</v>
      </c>
      <c r="C3" t="s">
        <v>26</v>
      </c>
      <c r="D3" t="s">
        <v>31</v>
      </c>
      <c r="E3" t="s">
        <v>27</v>
      </c>
      <c r="G3" t="s">
        <v>34</v>
      </c>
      <c r="H3" t="s">
        <v>35</v>
      </c>
      <c r="I3" t="s">
        <v>31</v>
      </c>
      <c r="J3" t="s">
        <v>27</v>
      </c>
    </row>
    <row r="4" spans="1:10" x14ac:dyDescent="0.25">
      <c r="A4">
        <v>32</v>
      </c>
      <c r="B4">
        <v>32</v>
      </c>
      <c r="C4">
        <v>550</v>
      </c>
      <c r="D4" s="2">
        <v>23.26</v>
      </c>
      <c r="E4" s="1">
        <f>D4/(A4*B4*C4)</f>
        <v>4.1299715909090912E-5</v>
      </c>
      <c r="G4">
        <v>10</v>
      </c>
      <c r="H4">
        <v>500</v>
      </c>
      <c r="I4" s="2">
        <v>5.14</v>
      </c>
      <c r="J4" s="1">
        <f>I4/(PI()*G4^2*H4)</f>
        <v>3.2722256299693677E-5</v>
      </c>
    </row>
    <row r="5" spans="1:10" x14ac:dyDescent="0.25">
      <c r="A5">
        <v>32</v>
      </c>
      <c r="B5">
        <v>50</v>
      </c>
      <c r="C5">
        <v>360</v>
      </c>
      <c r="D5" s="2">
        <v>20.56</v>
      </c>
      <c r="E5" s="1">
        <f t="shared" ref="E5:E11" si="0">D5/(A5*B5*C5)</f>
        <v>3.5694444444444444E-5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</row>
    <row r="6" spans="1:10" x14ac:dyDescent="0.25">
      <c r="A6">
        <v>32</v>
      </c>
      <c r="B6">
        <v>50</v>
      </c>
      <c r="C6">
        <v>550</v>
      </c>
      <c r="D6" s="2">
        <v>31.82</v>
      </c>
      <c r="E6" s="1">
        <f t="shared" si="0"/>
        <v>3.6159090909090908E-5</v>
      </c>
      <c r="G6">
        <v>25</v>
      </c>
      <c r="H6">
        <v>990</v>
      </c>
      <c r="I6" s="2">
        <v>26.99</v>
      </c>
      <c r="J6" s="1">
        <f t="shared" si="1"/>
        <v>1.388474154036446E-5</v>
      </c>
    </row>
    <row r="7" spans="1:10" x14ac:dyDescent="0.25">
      <c r="A7">
        <v>32</v>
      </c>
      <c r="B7">
        <v>60</v>
      </c>
      <c r="C7">
        <v>265</v>
      </c>
      <c r="D7" s="2">
        <v>15.91</v>
      </c>
      <c r="E7" s="1">
        <f t="shared" si="0"/>
        <v>3.1269654088050312E-5</v>
      </c>
      <c r="G7">
        <v>30</v>
      </c>
      <c r="H7">
        <v>990</v>
      </c>
      <c r="I7" s="2">
        <v>34.28</v>
      </c>
      <c r="J7" s="1">
        <f t="shared" si="1"/>
        <v>1.2246535239484113E-5</v>
      </c>
    </row>
    <row r="8" spans="1:10" x14ac:dyDescent="0.25">
      <c r="A8">
        <v>40</v>
      </c>
      <c r="B8">
        <v>120</v>
      </c>
      <c r="C8">
        <v>120</v>
      </c>
      <c r="D8" s="2">
        <v>21.85</v>
      </c>
      <c r="E8" s="1">
        <f t="shared" si="0"/>
        <v>3.7934027777777779E-5</v>
      </c>
      <c r="G8">
        <v>40</v>
      </c>
      <c r="H8">
        <v>160</v>
      </c>
      <c r="I8" s="2">
        <v>10.92</v>
      </c>
      <c r="J8" s="1">
        <f t="shared" si="1"/>
        <v>1.357790608252732E-5</v>
      </c>
    </row>
    <row r="9" spans="1:10" x14ac:dyDescent="0.25">
      <c r="A9">
        <v>50</v>
      </c>
      <c r="B9">
        <v>100</v>
      </c>
      <c r="C9">
        <v>100</v>
      </c>
      <c r="D9" s="2">
        <v>17.989999999999998</v>
      </c>
      <c r="E9" s="1">
        <f t="shared" si="0"/>
        <v>3.5979999999999998E-5</v>
      </c>
      <c r="G9">
        <v>40</v>
      </c>
      <c r="H9">
        <v>500</v>
      </c>
      <c r="I9" s="2">
        <v>25.7</v>
      </c>
      <c r="J9" s="1">
        <f t="shared" si="1"/>
        <v>1.0225705093654274E-5</v>
      </c>
    </row>
    <row r="10" spans="1:10" x14ac:dyDescent="0.25">
      <c r="A10">
        <v>50</v>
      </c>
      <c r="B10">
        <v>100</v>
      </c>
      <c r="C10">
        <v>300</v>
      </c>
      <c r="D10" s="2">
        <v>53.98</v>
      </c>
      <c r="E10" s="1">
        <f t="shared" si="0"/>
        <v>3.5986666666666665E-5</v>
      </c>
      <c r="G10">
        <v>40</v>
      </c>
      <c r="H10">
        <v>800</v>
      </c>
      <c r="I10" s="2">
        <v>43.7</v>
      </c>
      <c r="J10" s="1">
        <f t="shared" si="1"/>
        <v>1.0867298457993479E-5</v>
      </c>
    </row>
    <row r="11" spans="1:10" x14ac:dyDescent="0.25">
      <c r="A11">
        <v>50</v>
      </c>
      <c r="B11">
        <v>100</v>
      </c>
      <c r="C11">
        <v>500</v>
      </c>
      <c r="D11" s="2">
        <v>83.54</v>
      </c>
      <c r="E11" s="1">
        <f t="shared" si="0"/>
        <v>3.3416E-5</v>
      </c>
      <c r="G11">
        <v>50</v>
      </c>
      <c r="H11">
        <v>150</v>
      </c>
      <c r="I11" s="2">
        <v>14.69</v>
      </c>
      <c r="J11" s="1">
        <f t="shared" si="1"/>
        <v>1.2469259274773026E-5</v>
      </c>
    </row>
    <row r="12" spans="1:10" x14ac:dyDescent="0.25">
      <c r="D12" t="s">
        <v>32</v>
      </c>
      <c r="E12" s="1">
        <f>AVERAGE(E4:E11)</f>
        <v>3.5967449974390129E-5</v>
      </c>
      <c r="I12" t="s">
        <v>32</v>
      </c>
      <c r="J12" s="1">
        <f>AVERAGE(J4:J11)</f>
        <v>1.4970377000558874E-5</v>
      </c>
    </row>
    <row r="13" spans="1:10" x14ac:dyDescent="0.25">
      <c r="A13" t="s">
        <v>30</v>
      </c>
    </row>
    <row r="14" spans="1:10" x14ac:dyDescent="0.25">
      <c r="A14" t="s">
        <v>28</v>
      </c>
      <c r="B14" t="s">
        <v>25</v>
      </c>
      <c r="C14" t="s">
        <v>26</v>
      </c>
      <c r="D14" t="s">
        <v>31</v>
      </c>
      <c r="E14" t="s">
        <v>27</v>
      </c>
    </row>
    <row r="15" spans="1:10" x14ac:dyDescent="0.25">
      <c r="A15">
        <v>40</v>
      </c>
      <c r="B15">
        <v>40</v>
      </c>
      <c r="C15">
        <v>80</v>
      </c>
      <c r="D15" s="2">
        <v>5.2</v>
      </c>
      <c r="E15" s="1">
        <f>D15/(A15*B15*C15)</f>
        <v>4.0624999999999998E-5</v>
      </c>
    </row>
    <row r="16" spans="1:10" x14ac:dyDescent="0.25">
      <c r="A16">
        <v>40</v>
      </c>
      <c r="B16">
        <v>40</v>
      </c>
      <c r="C16">
        <v>160</v>
      </c>
      <c r="D16" s="2">
        <v>9.18</v>
      </c>
      <c r="E16" s="1">
        <f t="shared" ref="E16:E21" si="2">D16/(A16*B16*C16)</f>
        <v>3.5859374999999996E-5</v>
      </c>
    </row>
    <row r="17" spans="1:5" x14ac:dyDescent="0.25">
      <c r="A17">
        <v>40</v>
      </c>
      <c r="B17">
        <v>40</v>
      </c>
      <c r="C17">
        <v>500</v>
      </c>
      <c r="D17" s="2">
        <v>25.09</v>
      </c>
      <c r="E17" s="1">
        <f t="shared" si="2"/>
        <v>3.1362499999999997E-5</v>
      </c>
    </row>
    <row r="18" spans="1:5" x14ac:dyDescent="0.25">
      <c r="A18">
        <v>50</v>
      </c>
      <c r="B18">
        <v>50</v>
      </c>
      <c r="C18">
        <v>500</v>
      </c>
      <c r="D18" s="2">
        <v>41.62</v>
      </c>
      <c r="E18" s="1">
        <f t="shared" si="2"/>
        <v>3.3296000000000001E-5</v>
      </c>
    </row>
    <row r="19" spans="1:5" x14ac:dyDescent="0.25">
      <c r="A19">
        <v>50</v>
      </c>
      <c r="B19">
        <v>50</v>
      </c>
      <c r="C19">
        <v>100</v>
      </c>
      <c r="D19" s="2">
        <v>9.18</v>
      </c>
      <c r="E19" s="1">
        <f t="shared" si="2"/>
        <v>3.6720000000000001E-5</v>
      </c>
    </row>
    <row r="20" spans="1:5" x14ac:dyDescent="0.25">
      <c r="A20">
        <v>60</v>
      </c>
      <c r="B20">
        <v>60</v>
      </c>
      <c r="C20">
        <v>500</v>
      </c>
      <c r="D20" s="2">
        <v>57.83</v>
      </c>
      <c r="E20" s="1">
        <f t="shared" si="2"/>
        <v>3.2127777777777776E-5</v>
      </c>
    </row>
    <row r="21" spans="1:5" x14ac:dyDescent="0.25">
      <c r="A21">
        <v>60</v>
      </c>
      <c r="B21">
        <v>60</v>
      </c>
      <c r="C21">
        <v>995</v>
      </c>
      <c r="D21" s="2">
        <v>119.95</v>
      </c>
      <c r="E21" s="1">
        <f t="shared" si="2"/>
        <v>3.348687883863763E-5</v>
      </c>
    </row>
    <row r="22" spans="1:5" x14ac:dyDescent="0.25">
      <c r="D22" t="s">
        <v>32</v>
      </c>
      <c r="E22" s="1">
        <f>AVERAGE(E15:E21)</f>
        <v>3.478250451663077E-5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8E5E-9C1A-45B2-9992-CAE5D3D51765}">
  <dimension ref="A1:E33"/>
  <sheetViews>
    <sheetView workbookViewId="0">
      <selection activeCell="E21" sqref="E21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282</v>
      </c>
      <c r="C1" t="s">
        <v>281</v>
      </c>
      <c r="D1" t="s">
        <v>280</v>
      </c>
    </row>
    <row r="2" spans="1:5" x14ac:dyDescent="0.25">
      <c r="A2" t="s">
        <v>174</v>
      </c>
      <c r="B2" t="s">
        <v>283</v>
      </c>
      <c r="C2" s="2">
        <v>498</v>
      </c>
      <c r="D2" s="2">
        <f>C2*(1-General!$C$50)</f>
        <v>398.40000000000003</v>
      </c>
      <c r="E2" t="s">
        <v>175</v>
      </c>
    </row>
    <row r="3" spans="1:5" x14ac:dyDescent="0.25">
      <c r="A3" t="s">
        <v>176</v>
      </c>
      <c r="B3" t="s">
        <v>284</v>
      </c>
      <c r="C3" s="2"/>
      <c r="D3" s="2">
        <v>8.8000000000000007</v>
      </c>
      <c r="E3" t="s">
        <v>276</v>
      </c>
    </row>
    <row r="4" spans="1:5" x14ac:dyDescent="0.25">
      <c r="C4" s="2"/>
      <c r="D4" s="2"/>
    </row>
    <row r="5" spans="1:5" x14ac:dyDescent="0.25">
      <c r="A5" t="s">
        <v>256</v>
      </c>
      <c r="C5" s="2">
        <v>241.2</v>
      </c>
      <c r="D5" s="2">
        <f>C5*(1-General!$C$50)</f>
        <v>192.96</v>
      </c>
      <c r="E5" t="s">
        <v>257</v>
      </c>
    </row>
    <row r="6" spans="1:5" x14ac:dyDescent="0.25">
      <c r="A6" t="s">
        <v>262</v>
      </c>
      <c r="C6" s="2">
        <v>50</v>
      </c>
      <c r="D6" s="2">
        <f>C6*(1-General!$C$50)</f>
        <v>40</v>
      </c>
      <c r="E6" t="s">
        <v>263</v>
      </c>
    </row>
    <row r="7" spans="1:5" x14ac:dyDescent="0.25">
      <c r="A7" t="s">
        <v>265</v>
      </c>
      <c r="C7" s="2">
        <v>137.99</v>
      </c>
      <c r="D7" s="2">
        <f>C7*(1-General!$C$50)</f>
        <v>110.39200000000001</v>
      </c>
      <c r="E7" t="s">
        <v>264</v>
      </c>
    </row>
    <row r="8" spans="1:5" x14ac:dyDescent="0.25">
      <c r="A8" t="s">
        <v>290</v>
      </c>
      <c r="C8" s="2"/>
      <c r="D8" s="2">
        <v>23.6</v>
      </c>
      <c r="E8" t="s">
        <v>291</v>
      </c>
    </row>
    <row r="9" spans="1:5" x14ac:dyDescent="0.25">
      <c r="A9" t="s">
        <v>292</v>
      </c>
      <c r="C9" s="2"/>
      <c r="D9" s="2">
        <v>39.950000000000003</v>
      </c>
      <c r="E9" t="s">
        <v>293</v>
      </c>
    </row>
    <row r="10" spans="1:5" x14ac:dyDescent="0.25">
      <c r="C10" s="2"/>
      <c r="D10" s="2"/>
    </row>
    <row r="11" spans="1:5" x14ac:dyDescent="0.25">
      <c r="A11" t="s">
        <v>266</v>
      </c>
      <c r="C11" s="2">
        <v>2097.6</v>
      </c>
      <c r="D11" s="2">
        <f>C11*(1-General!$C$50)</f>
        <v>1678.08</v>
      </c>
      <c r="E11" t="s">
        <v>267</v>
      </c>
    </row>
    <row r="12" spans="1:5" x14ac:dyDescent="0.25">
      <c r="A12" t="s">
        <v>259</v>
      </c>
      <c r="C12" s="2">
        <v>2150.1</v>
      </c>
      <c r="D12" s="2">
        <f>C12*(1-General!$C$50)</f>
        <v>1720.08</v>
      </c>
      <c r="E12" t="s">
        <v>258</v>
      </c>
    </row>
    <row r="13" spans="1:5" x14ac:dyDescent="0.25">
      <c r="A13" t="s">
        <v>274</v>
      </c>
      <c r="C13" s="2">
        <v>620.4</v>
      </c>
      <c r="D13" s="2">
        <f>C13*(1-General!$C$50)</f>
        <v>496.32</v>
      </c>
      <c r="E13" t="s">
        <v>275</v>
      </c>
    </row>
    <row r="14" spans="1:5" x14ac:dyDescent="0.25">
      <c r="C14" s="2"/>
      <c r="D14" s="2"/>
    </row>
    <row r="15" spans="1:5" x14ac:dyDescent="0.25">
      <c r="A15" t="s">
        <v>261</v>
      </c>
      <c r="C15" s="2">
        <v>183.6</v>
      </c>
      <c r="D15" s="2">
        <f>C15*(1-General!$C$50)</f>
        <v>146.88</v>
      </c>
      <c r="E15" t="s">
        <v>260</v>
      </c>
    </row>
    <row r="16" spans="1:5" x14ac:dyDescent="0.25">
      <c r="A16" t="s">
        <v>269</v>
      </c>
      <c r="C16" s="2">
        <v>54</v>
      </c>
      <c r="D16" s="2">
        <f>C16*(1-General!$C$50)</f>
        <v>43.2</v>
      </c>
      <c r="E16" t="s">
        <v>268</v>
      </c>
    </row>
    <row r="17" spans="1:5" x14ac:dyDescent="0.25">
      <c r="A17" t="s">
        <v>270</v>
      </c>
      <c r="C17" s="2">
        <v>40.799999999999997</v>
      </c>
      <c r="D17" s="2">
        <f>C17*(1-General!$C$50)</f>
        <v>32.64</v>
      </c>
      <c r="E17" t="s">
        <v>271</v>
      </c>
    </row>
    <row r="18" spans="1:5" x14ac:dyDescent="0.25">
      <c r="A18" t="s">
        <v>272</v>
      </c>
      <c r="C18" s="2">
        <v>217.2</v>
      </c>
      <c r="D18" s="2">
        <f>C18*(1-General!$C$50)</f>
        <v>173.76</v>
      </c>
      <c r="E18" t="s">
        <v>273</v>
      </c>
    </row>
    <row r="20" spans="1:5" x14ac:dyDescent="0.25">
      <c r="A20" t="s">
        <v>296</v>
      </c>
      <c r="B20" t="s">
        <v>295</v>
      </c>
      <c r="D20" s="2">
        <v>102</v>
      </c>
      <c r="E20" t="s">
        <v>297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Feuil1</vt:lpstr>
      <vt:lpstr>General</vt:lpstr>
      <vt:lpstr>Metrology</vt:lpstr>
      <vt:lpstr>Energies</vt:lpstr>
      <vt:lpstr>Manpower</vt:lpstr>
      <vt:lpstr>Assembly</vt:lpstr>
      <vt:lpstr>TIG Welder</vt:lpstr>
      <vt:lpstr>Material</vt:lpstr>
      <vt:lpstr>IT</vt:lpstr>
      <vt:lpstr>CNC mill</vt:lpstr>
      <vt:lpstr>Accessories for machining</vt:lpstr>
      <vt:lpstr>Laser cutter</vt:lpstr>
      <vt:lpstr>CNC lathes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2019-05-14T20:38:38Z</dcterms:modified>
</cp:coreProperties>
</file>