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OneDrive\Documents\EPSA\Optipute\CR - Cost Report\CBOM\"/>
    </mc:Choice>
  </mc:AlternateContent>
  <xr:revisionPtr revIDLastSave="0" documentId="13_ncr:1_{04BFC163-A494-4F12-A672-B2F15610626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ummary" sheetId="6" r:id="rId1"/>
    <sheet name="Manpower &amp; time" sheetId="11" r:id="rId2"/>
    <sheet name="Energies" sheetId="13" r:id="rId3"/>
    <sheet name="Metrology" sheetId="12" r:id="rId4"/>
    <sheet name="IT" sheetId="9" r:id="rId5"/>
    <sheet name="Office" sheetId="14" r:id="rId6"/>
    <sheet name="Tooling and small machinery" sheetId="8" r:id="rId7"/>
    <sheet name="CNC mill" sheetId="3" r:id="rId8"/>
    <sheet name="CNC lathe" sheetId="4" r:id="rId9"/>
    <sheet name="Laser cutter" sheetId="5" r:id="rId10"/>
    <sheet name="Welding" sheetId="10" r:id="rId11"/>
    <sheet name="Material" sheetId="2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59" i="6" l="1"/>
  <c r="R57" i="6"/>
  <c r="R58" i="6"/>
  <c r="R56" i="6"/>
  <c r="S56" i="6" s="1"/>
  <c r="R54" i="6"/>
  <c r="S54" i="6" s="1"/>
  <c r="R55" i="6"/>
  <c r="S55" i="6" s="1"/>
  <c r="R53" i="6"/>
  <c r="S53" i="6"/>
  <c r="S50" i="6"/>
  <c r="R52" i="6" s="1"/>
  <c r="S49" i="6"/>
  <c r="S48" i="6"/>
  <c r="S58" i="6"/>
  <c r="S57" i="6"/>
  <c r="S18" i="6"/>
  <c r="Q18" i="6"/>
  <c r="F11" i="4"/>
  <c r="F12" i="4"/>
  <c r="F10" i="4"/>
  <c r="E10" i="4"/>
  <c r="Q15" i="6"/>
  <c r="S14" i="6"/>
  <c r="Q13" i="6"/>
  <c r="S13" i="6" s="1"/>
  <c r="Q12" i="6"/>
  <c r="S12" i="6" s="1"/>
  <c r="B5" i="4"/>
  <c r="S11" i="6"/>
  <c r="M13" i="6"/>
  <c r="M15" i="6"/>
  <c r="M17" i="6" s="1"/>
  <c r="Q14" i="6"/>
  <c r="Q10" i="6"/>
  <c r="S52" i="6" l="1"/>
  <c r="S59" i="6"/>
  <c r="M16" i="6"/>
  <c r="K36" i="2"/>
  <c r="K35" i="2"/>
  <c r="K34" i="2"/>
  <c r="K33" i="2"/>
  <c r="E34" i="2"/>
  <c r="E35" i="2"/>
  <c r="E33" i="2"/>
  <c r="E40" i="2" s="1"/>
  <c r="E39" i="2"/>
  <c r="E38" i="2"/>
  <c r="E37" i="2"/>
  <c r="E36" i="2"/>
  <c r="E5" i="2"/>
  <c r="E6" i="2"/>
  <c r="E7" i="2"/>
  <c r="E4" i="2"/>
  <c r="W5" i="2"/>
  <c r="W6" i="2"/>
  <c r="W4" i="2"/>
  <c r="W7" i="2" s="1"/>
  <c r="K37" i="2" l="1"/>
  <c r="H35" i="6" l="1"/>
  <c r="H31" i="6"/>
  <c r="H28" i="6"/>
  <c r="Q19" i="2" l="1"/>
  <c r="Q20" i="2"/>
  <c r="Q21" i="2"/>
  <c r="Q18" i="2"/>
  <c r="Q17" i="2"/>
  <c r="E23" i="2"/>
  <c r="E22" i="2"/>
  <c r="E24" i="2"/>
  <c r="E25" i="2"/>
  <c r="E26" i="2"/>
  <c r="E27" i="2"/>
  <c r="E21" i="2"/>
  <c r="Q22" i="2" l="1"/>
  <c r="E28" i="2"/>
  <c r="M5" i="6"/>
  <c r="B5" i="13" l="1"/>
  <c r="B6" i="13" s="1"/>
  <c r="H14" i="6" s="1"/>
  <c r="J14" i="6" s="1"/>
  <c r="B30" i="11"/>
  <c r="H21" i="6" s="1"/>
  <c r="J21" i="6" s="1"/>
  <c r="D6" i="11"/>
  <c r="D7" i="11"/>
  <c r="D5" i="11"/>
  <c r="F8" i="11"/>
  <c r="G6" i="11"/>
  <c r="G7" i="11"/>
  <c r="G5" i="11"/>
  <c r="K23" i="11"/>
  <c r="K24" i="11"/>
  <c r="K22" i="11"/>
  <c r="M7" i="6"/>
  <c r="M8" i="6" l="1"/>
  <c r="M9" i="6"/>
  <c r="G8" i="11"/>
  <c r="H20" i="6" s="1"/>
  <c r="J20" i="6" s="1"/>
  <c r="Q26" i="6"/>
  <c r="S26" i="6" s="1"/>
  <c r="Q27" i="6"/>
  <c r="S27" i="6" s="1"/>
  <c r="Q25" i="6"/>
  <c r="S25" i="6" s="1"/>
  <c r="Q24" i="6"/>
  <c r="S24" i="6" s="1"/>
  <c r="H9" i="6"/>
  <c r="J9" i="6" s="1"/>
  <c r="H6" i="6"/>
  <c r="J6" i="6" s="1"/>
  <c r="Q28" i="6"/>
  <c r="S28" i="6" s="1"/>
  <c r="E29" i="3"/>
  <c r="F29" i="3" s="1"/>
  <c r="F3" i="8"/>
  <c r="H33" i="6" s="1"/>
  <c r="J33" i="6" s="1"/>
  <c r="J35" i="6"/>
  <c r="F7" i="8"/>
  <c r="F4" i="8"/>
  <c r="F2" i="8"/>
  <c r="Q5" i="6"/>
  <c r="S5" i="6" s="1"/>
  <c r="Q4" i="6"/>
  <c r="S4" i="6" s="1"/>
  <c r="J16" i="6"/>
  <c r="J36" i="6"/>
  <c r="J17" i="6"/>
  <c r="J31" i="6"/>
  <c r="J28" i="6"/>
  <c r="J12" i="6"/>
  <c r="J13" i="6"/>
  <c r="J29" i="6"/>
  <c r="J30" i="6"/>
  <c r="J32" i="6"/>
  <c r="B22" i="3"/>
  <c r="Q3" i="6" s="1"/>
  <c r="B2" i="3"/>
  <c r="H34" i="6" l="1"/>
  <c r="J34" i="6" s="1"/>
  <c r="F31" i="3"/>
  <c r="S10" i="6" s="1"/>
  <c r="Q29" i="6"/>
  <c r="S29" i="6" s="1"/>
  <c r="Q6" i="6"/>
  <c r="S6" i="6" s="1"/>
  <c r="S3" i="6"/>
  <c r="F30" i="3"/>
  <c r="E19" i="12"/>
  <c r="E3" i="12"/>
  <c r="E4" i="12"/>
  <c r="E6" i="12"/>
  <c r="E7" i="12"/>
  <c r="E8" i="12"/>
  <c r="E10" i="12"/>
  <c r="E11" i="12"/>
  <c r="E12" i="12"/>
  <c r="E14" i="12"/>
  <c r="E15" i="12"/>
  <c r="E16" i="12"/>
  <c r="E17" i="12"/>
  <c r="E18" i="12"/>
  <c r="E2" i="12"/>
  <c r="D21" i="12"/>
  <c r="E21" i="12" s="1"/>
  <c r="H8" i="6" s="1"/>
  <c r="J8" i="6" s="1"/>
  <c r="H27" i="6"/>
  <c r="J27" i="6" s="1"/>
  <c r="B33" i="9"/>
  <c r="D2" i="9"/>
  <c r="H26" i="6" s="1"/>
  <c r="J26" i="6" s="1"/>
  <c r="D6" i="9"/>
  <c r="D7" i="9"/>
  <c r="D11" i="9"/>
  <c r="D12" i="9"/>
  <c r="D13" i="9"/>
  <c r="D15" i="9"/>
  <c r="D16" i="9"/>
  <c r="D17" i="9"/>
  <c r="D18" i="9"/>
  <c r="D5" i="9"/>
  <c r="H23" i="6" s="1"/>
  <c r="J23" i="6" s="1"/>
  <c r="H25" i="6"/>
  <c r="J25" i="6" s="1"/>
  <c r="C14" i="6"/>
  <c r="C13" i="6"/>
  <c r="B15" i="11"/>
  <c r="B16" i="11" s="1"/>
  <c r="C9" i="6" s="1"/>
  <c r="C6" i="6"/>
  <c r="H18" i="6" s="1"/>
  <c r="J18" i="6" s="1"/>
  <c r="C4" i="6"/>
  <c r="C5" i="6"/>
  <c r="C3" i="6"/>
  <c r="S36" i="6" l="1"/>
  <c r="H22" i="6"/>
  <c r="J22" i="6" s="1"/>
  <c r="Q7" i="6"/>
  <c r="H15" i="6"/>
  <c r="J15" i="6" s="1"/>
  <c r="J26" i="11"/>
  <c r="H19" i="6"/>
  <c r="J19" i="6" s="1"/>
  <c r="C12" i="6"/>
  <c r="F26" i="11"/>
  <c r="B28" i="11"/>
  <c r="H5" i="11" s="1"/>
  <c r="R44" i="6" s="1"/>
  <c r="S44" i="6" s="1"/>
  <c r="G26" i="11"/>
  <c r="B26" i="11"/>
  <c r="C26" i="11"/>
  <c r="E26" i="11"/>
  <c r="D26" i="11"/>
  <c r="H24" i="6"/>
  <c r="J24" i="6" s="1"/>
  <c r="H5" i="6"/>
  <c r="J5" i="6" s="1"/>
  <c r="H7" i="6"/>
  <c r="J7" i="6" s="1"/>
  <c r="H4" i="6"/>
  <c r="J4" i="6" s="1"/>
  <c r="H3" i="6"/>
  <c r="J3" i="6" s="1"/>
  <c r="R41" i="6" l="1"/>
  <c r="S41" i="6" s="1"/>
  <c r="J41" i="6"/>
  <c r="J39" i="6"/>
  <c r="H6" i="11"/>
  <c r="R45" i="6" s="1"/>
  <c r="S45" i="6" s="1"/>
  <c r="H7" i="11"/>
  <c r="R46" i="6" s="1"/>
  <c r="S46" i="6" s="1"/>
  <c r="I25" i="11"/>
  <c r="D25" i="11"/>
  <c r="F25" i="11"/>
  <c r="J25" i="11"/>
  <c r="G25" i="11"/>
  <c r="C25" i="11"/>
  <c r="B25" i="11"/>
  <c r="E25" i="11"/>
  <c r="H25" i="11"/>
  <c r="I26" i="11"/>
  <c r="H26" i="11"/>
  <c r="J5" i="2"/>
  <c r="J6" i="2"/>
  <c r="J7" i="2"/>
  <c r="J8" i="2"/>
  <c r="J9" i="2"/>
  <c r="J10" i="2"/>
  <c r="J11" i="2"/>
  <c r="J4" i="2"/>
  <c r="Q5" i="2"/>
  <c r="Q6" i="2"/>
  <c r="Q7" i="2"/>
  <c r="Q8" i="2"/>
  <c r="Q9" i="2"/>
  <c r="Q10" i="2"/>
  <c r="Q4" i="2"/>
  <c r="E9" i="2"/>
  <c r="E10" i="2"/>
  <c r="E11" i="2"/>
  <c r="E12" i="2"/>
  <c r="E13" i="2"/>
  <c r="E14" i="2"/>
  <c r="E15" i="2"/>
  <c r="E8" i="2"/>
  <c r="R42" i="6" l="1"/>
  <c r="S42" i="6" s="1"/>
  <c r="J42" i="6"/>
  <c r="R43" i="6"/>
  <c r="S43" i="6" s="1"/>
  <c r="J43" i="6"/>
  <c r="J40" i="6"/>
  <c r="S37" i="6" s="1"/>
  <c r="K26" i="11"/>
  <c r="E16" i="2"/>
  <c r="Q11" i="2"/>
  <c r="J12" i="2"/>
  <c r="K25" i="11"/>
  <c r="R47" i="6" l="1"/>
  <c r="S47" i="6" s="1"/>
  <c r="S38" i="6"/>
  <c r="R40" i="6" s="1"/>
  <c r="S40" i="6" s="1"/>
</calcChain>
</file>

<file path=xl/sharedStrings.xml><?xml version="1.0" encoding="utf-8"?>
<sst xmlns="http://schemas.openxmlformats.org/spreadsheetml/2006/main" count="564" uniqueCount="403">
  <si>
    <t>Alu 7075 T6</t>
  </si>
  <si>
    <t>largeur (mm)</t>
  </si>
  <si>
    <t>longueur (mm)</t>
  </si>
  <si>
    <t>Prix volumique (€/mm^3)</t>
  </si>
  <si>
    <t>Epaisseur (mm)</t>
  </si>
  <si>
    <t>http://www.blockenstock.fr/epaisseur-32mm-et-plus-c102x2963106</t>
  </si>
  <si>
    <t>2017A</t>
  </si>
  <si>
    <t xml:space="preserve">Prix </t>
  </si>
  <si>
    <t>Moyenne</t>
  </si>
  <si>
    <t>Alu 7075</t>
  </si>
  <si>
    <t>Diamètre (mm)</t>
  </si>
  <si>
    <t xml:space="preserve">Longueur </t>
  </si>
  <si>
    <t>https://www.haascnc.com/shop/category/pricelist.html</t>
  </si>
  <si>
    <t>https://www.bosslaser.com/metal-cutting-product/</t>
  </si>
  <si>
    <t>Overheads cost</t>
  </si>
  <si>
    <t>Milling</t>
  </si>
  <si>
    <t>OP</t>
  </si>
  <si>
    <t>Description</t>
  </si>
  <si>
    <t>Cost</t>
  </si>
  <si>
    <t>Turning</t>
  </si>
  <si>
    <t xml:space="preserve">Operator </t>
  </si>
  <si>
    <t>Electricity</t>
  </si>
  <si>
    <t>Laser Cutting</t>
  </si>
  <si>
    <t>2D Laser cut</t>
  </si>
  <si>
    <t>Maintenance</t>
  </si>
  <si>
    <t xml:space="preserve">Electricity </t>
  </si>
  <si>
    <t>Welding</t>
  </si>
  <si>
    <t>Direct Assembly Cost</t>
  </si>
  <si>
    <t xml:space="preserve">Description </t>
  </si>
  <si>
    <t>Tighten bolts</t>
  </si>
  <si>
    <t>Operator</t>
  </si>
  <si>
    <t>Interference assembly</t>
  </si>
  <si>
    <t>Hydraulic press</t>
  </si>
  <si>
    <t>Gages?</t>
  </si>
  <si>
    <t>Specific PPE</t>
  </si>
  <si>
    <t>Filler</t>
  </si>
  <si>
    <t>Category</t>
  </si>
  <si>
    <t>Metrology</t>
  </si>
  <si>
    <t>Inside micrometer</t>
  </si>
  <si>
    <t>Indicator</t>
  </si>
  <si>
    <t>Profile projector</t>
  </si>
  <si>
    <t>Real Estate</t>
  </si>
  <si>
    <t>Shop floor</t>
  </si>
  <si>
    <t>Water</t>
  </si>
  <si>
    <t>Compressed Air</t>
  </si>
  <si>
    <t>Maintenance of building</t>
  </si>
  <si>
    <t>Recycling/Waste Managment</t>
  </si>
  <si>
    <t>IT</t>
  </si>
  <si>
    <t>Computers</t>
  </si>
  <si>
    <t>Internet/phone access</t>
  </si>
  <si>
    <t>Insurance</t>
  </si>
  <si>
    <t>Security/safety</t>
  </si>
  <si>
    <t>Office furniture</t>
  </si>
  <si>
    <t>Fume extractor</t>
  </si>
  <si>
    <t>Manufacturing</t>
  </si>
  <si>
    <t>Band Saw</t>
  </si>
  <si>
    <t>Torque Wrench</t>
  </si>
  <si>
    <t>Chip managment</t>
  </si>
  <si>
    <t>Scrap</t>
  </si>
  <si>
    <t>Workstations</t>
  </si>
  <si>
    <t>Material cost</t>
  </si>
  <si>
    <t>Fasteners</t>
  </si>
  <si>
    <t>Stock</t>
  </si>
  <si>
    <t>Storage??</t>
  </si>
  <si>
    <t>Sanding</t>
  </si>
  <si>
    <t>Sand Paper</t>
  </si>
  <si>
    <t>General Data</t>
  </si>
  <si>
    <t>Value</t>
  </si>
  <si>
    <t>Manpower</t>
  </si>
  <si>
    <t>Technician</t>
  </si>
  <si>
    <t>Engineer</t>
  </si>
  <si>
    <t>Sales/administrative</t>
  </si>
  <si>
    <t xml:space="preserve">Time </t>
  </si>
  <si>
    <t>Hours/week</t>
  </si>
  <si>
    <t>Week/year</t>
  </si>
  <si>
    <t>Base OPE</t>
  </si>
  <si>
    <t>Water rate</t>
  </si>
  <si>
    <t xml:space="preserve">VF-3SSYT </t>
  </si>
  <si>
    <t>12000 rpm</t>
  </si>
  <si>
    <t>https://www.haascnc.com/machines/vertical-mills/vf-series/models/medium/vf-3ssyt.html</t>
  </si>
  <si>
    <t>travel</t>
  </si>
  <si>
    <t>x</t>
  </si>
  <si>
    <t>y</t>
  </si>
  <si>
    <t>z</t>
  </si>
  <si>
    <t>22.4kW</t>
  </si>
  <si>
    <t>122Nm @ 2000rpm</t>
  </si>
  <si>
    <t>électrobroche</t>
  </si>
  <si>
    <t>table</t>
  </si>
  <si>
    <t>Max cutting speed</t>
  </si>
  <si>
    <t>21.2m/min</t>
  </si>
  <si>
    <t xml:space="preserve">poussée max sur axes </t>
  </si>
  <si>
    <t>13723N</t>
  </si>
  <si>
    <t>Outils</t>
  </si>
  <si>
    <t xml:space="preserve"> 30+1</t>
  </si>
  <si>
    <t xml:space="preserve">Lubrification </t>
  </si>
  <si>
    <t>208L</t>
  </si>
  <si>
    <t xml:space="preserve">Air </t>
  </si>
  <si>
    <t>113L/min @ 6.9 bar</t>
  </si>
  <si>
    <t>3phase 440 VAC 35-70A</t>
  </si>
  <si>
    <t>Coolant</t>
  </si>
  <si>
    <t>Rocol Ultra cut  250+</t>
  </si>
  <si>
    <t>Dilution</t>
  </si>
  <si>
    <t>Prix</t>
  </si>
  <si>
    <t>Qté (L)</t>
  </si>
  <si>
    <t>Produit pur pour réservoir fraiseuse</t>
  </si>
  <si>
    <t>https://www.otelo.fr/catalogue/huile-coupe/rocol-0003050209-skg.html</t>
  </si>
  <si>
    <t>https://www.otelo.fr/catalogue/fluides-huiles-coupe-solubles.html</t>
  </si>
  <si>
    <t>https://www.hoffmann-group.com/FR/fr/hof/Accessoires-machines/Etaux/Etau-haute-pression-CN---NC8/p/360405-125L</t>
  </si>
  <si>
    <t xml:space="preserve">Sheet metal bender </t>
  </si>
  <si>
    <t>https://www.baileigh.com/sheet-metal-brake-hb-4816e</t>
  </si>
  <si>
    <t>https://www.baileigh.com/semi-auto-band-saw-bs-330sa</t>
  </si>
  <si>
    <t>Milling vise</t>
  </si>
  <si>
    <t>Stock Band saw</t>
  </si>
  <si>
    <t>Baileigh</t>
  </si>
  <si>
    <t>150cmx300cm</t>
  </si>
  <si>
    <t>142000$</t>
  </si>
  <si>
    <t>122cmx122cm</t>
  </si>
  <si>
    <t>https://www.baileigh.com/water-jet-wj-4x4cnc#</t>
  </si>
  <si>
    <t>https://www.baileigh.com/cnc-laser-table-fl-510hd-500</t>
  </si>
  <si>
    <t>Water jet</t>
  </si>
  <si>
    <t>Laser cutter</t>
  </si>
  <si>
    <t>208995$</t>
  </si>
  <si>
    <t>1000W</t>
  </si>
  <si>
    <t>8mm max</t>
  </si>
  <si>
    <t>Selon doc, 1000W pour aluminium</t>
  </si>
  <si>
    <t>https://www.baileigh.com/hydraulic-shop-press-hsp-10h</t>
  </si>
  <si>
    <t>Manual Hydraulic press</t>
  </si>
  <si>
    <t>Fusion 360</t>
  </si>
  <si>
    <t>https://www.autodesk.fr/products/fusion-360/subscribe?plc=F360&amp;term=1-YEAR&amp;support=ADVANCED&amp;quantity=1</t>
  </si>
  <si>
    <t>Office 365 business</t>
  </si>
  <si>
    <t>https://www.promeca.com/composition-v5-servante-chrono-6m3-facom-chrono-v5pb-promotion</t>
  </si>
  <si>
    <t>60-340</t>
  </si>
  <si>
    <t>https://www.promeca.com/cle-dynamo-a-declenchement-avec-cliquet-60-340-nm-facom-s-208a340</t>
  </si>
  <si>
    <t>40-200</t>
  </si>
  <si>
    <t>https://www.promeca.com/cle-dynamometrique-40-200-nm-facom-s-208-200pb-promotion</t>
  </si>
  <si>
    <t>https://www.promeca.com/cle-dynamometrique-10-50-nm-facom-j208-50pb-promotion</t>
  </si>
  <si>
    <t>10-50'</t>
  </si>
  <si>
    <t>Tig Welder AC/DC</t>
  </si>
  <si>
    <t>https://www.promeca.com/poste-a-souder-tig220-ac-dc-ta34-ref-eau-esab-caddy-tig2200iac-dc</t>
  </si>
  <si>
    <t>https://www.gestionnaire-paie.com/convention-collective-automobile-salaires-minima/</t>
  </si>
  <si>
    <t>https://travail-emploi.gouv.fr/emploi/accompagnement-des-tpe-pme/tpe-pme/article/le-simulateur-du-cout-d-embauche</t>
  </si>
  <si>
    <t>https://www.promeca.com/cagoule-speedglas-100v-noir-751120</t>
  </si>
  <si>
    <t>Welding helmet</t>
  </si>
  <si>
    <t>https://www.promeca.com/soudage-et-accessoires/equipements-du-soudeur/vetements-specifiques-du-soudeur</t>
  </si>
  <si>
    <t>Clothes/gloves</t>
  </si>
  <si>
    <t>https://www.promeca.com/soudage-et-accessoires/consommables-de-soudage/metaux-d-apport-soudage-tig</t>
  </si>
  <si>
    <t>Metal rod</t>
  </si>
  <si>
    <t>Tool Holder</t>
  </si>
  <si>
    <t>https://www.hoffmann-group.com/FR/fr/hof/Accessoires-machines/Porte-outils/c/30</t>
  </si>
  <si>
    <t>80€ HT env</t>
  </si>
  <si>
    <t>https://shop.mitutoyo.fr/web/mitutoyo/fr_FR/mitutoyo/1305010043843/Comparateur%20%C3%A0%20palpeur%20orientable%2C%20mod%C3%A8le%20horizontal/$catalogue/mitutoyoData/PR/513-401-10E/index.xhtml</t>
  </si>
  <si>
    <t>0.001mm</t>
  </si>
  <si>
    <t>https://shop.mitutoyo.fr/web/mitutoyo/fr_FR/mitutoyo/1305198758390/Comparateur%20%C3%A0%20palpeur%20orientable%2C%20mod%C3%A8le%20horizontal/$catalogue/mitutoyoData/PR/513-908/index.xhtml</t>
  </si>
  <si>
    <t>Base + movable head indicator</t>
  </si>
  <si>
    <t>https://shop.mitutoyo.fr/web/mitutoyo/fr_FR/mitutoyo/1300888710750/Comparateur%20m%C3%A9canique%2C%20dos%20plat/$catalogue/mitutoyoData/PR/2044SB/index.xhtml</t>
  </si>
  <si>
    <t xml:space="preserve">moveable head Indicator </t>
  </si>
  <si>
    <t>https://shop.mitutoyo.fr/web/mitutoyo/fr_FR/mitutoyo/01.05.0331/Base%20pneumatique/index.xhtml</t>
  </si>
  <si>
    <t xml:space="preserve">pneumatic base </t>
  </si>
  <si>
    <t>https://shop.mitutoyo.fr/web/mitutoyo/fr_FR/mitutoyo/01.05.03/Support%20articul%C3%A9%20magn%C3%A9ti/$catalogue/mitutoyoData/PR/7019B/index.xhtml</t>
  </si>
  <si>
    <t>https://shop.mitutoyo.fr/web/mitutoyo/fr_FR/mitutoyo/01.05.033/Base%20magn%C3%A9tique%20avec%20r%C3%A9glage%20fin/$catalogue/mitutoyoData/PR/7011SN/index.xhtml</t>
  </si>
  <si>
    <t>Magnetic stand basic</t>
  </si>
  <si>
    <t>Magnetic stand multiple joint</t>
  </si>
  <si>
    <t>V Block</t>
  </si>
  <si>
    <t>https://shop.mitutoyo.fr/web/mitutoyo/fr_FR/mitutoyo/01.05.077/Paire%20de%20v%C3%A9s/$catalogue/mitutoyoData/PR/911-111/index.xhtml</t>
  </si>
  <si>
    <t>https://shop.mitutoyo.fr/web/mitutoyo/fr_FR/mitutoyo/01.07.01/Jeu%20de%20cales%20-%20m%C3%A9trique%20-%20Cert.%20Insp.%20-%20ISO/$catalogue/mitutoyoData/PR/516-942-10/index.xhtml</t>
  </si>
  <si>
    <t>Granit surface plate</t>
  </si>
  <si>
    <t>Gauge block set</t>
  </si>
  <si>
    <t>External Micrometer</t>
  </si>
  <si>
    <t>0-100 0.001</t>
  </si>
  <si>
    <t>https://shop.mitutoyo.fr/web/mitutoyo/fr_FR/mitutoyo/01.02.01.0/Microm%C3%A8tre%20DIGIMATIC%20IP65%20en%20jeu%200-100%20mm/$catalogue/mitutoyoData/PR/293-963/index.xhtml</t>
  </si>
  <si>
    <t>https://shop.mitutoyo.fr/web/mitutoyo/fr_FR/mitutoyo/01.02.01.032/Microm.%20d%27ext%C3%A9rieur%20col%20de%20cygne%20en%20jeu/$catalogue/mitutoyoData/PR/103-915-10/index.xhtml</t>
  </si>
  <si>
    <t>150-300 0.01</t>
  </si>
  <si>
    <t>https://shop.mitutoyo.fr/web/mitutoyo/fr_FR/mitutoyo/01.02.01.031/Microm.%20d%27ext%C3%A9rieur%20col%20de%20cygne/$catalogue/mitutoyoData/PR/103-141-10/index.xhtml</t>
  </si>
  <si>
    <t>100-125 0.01</t>
  </si>
  <si>
    <t>https://shop.mitutoyo.fr/web/mitutoyo/fr_FR/mitutoyo/01.02.01.031/Microm.%20d%27ext%C3%A9rieur%20col%20de%20cygne/$catalogue/mitutoyoData/PR/103-142-10/index.xhtml</t>
  </si>
  <si>
    <t>125-150 0.01</t>
  </si>
  <si>
    <t>https://shop.mitutoyo.fr/web/mitutoyo/fr_FR/mitutoyo/1355993040307/Microm%C3%A8tre%20d%27int%C3%A9rieur%20Holtest%20en%20jeu%2020-50%20mm/$catalogue/mitutoyoData/PR/368-992/index.xhtml</t>
  </si>
  <si>
    <t>20-50 0.005</t>
  </si>
  <si>
    <t xml:space="preserve">Electronic depth gauge </t>
  </si>
  <si>
    <t>http://www.starrett.com/metrology/product-detail/3753A-8~200</t>
  </si>
  <si>
    <t>0-200 0.01</t>
  </si>
  <si>
    <t>Administrative/sales people</t>
  </si>
  <si>
    <t>Automotive wage table</t>
  </si>
  <si>
    <t>Wage cost calculation for salary</t>
  </si>
  <si>
    <t>Operator - Grade 4</t>
  </si>
  <si>
    <t>Brut/month</t>
  </si>
  <si>
    <t>Yearly for the company</t>
  </si>
  <si>
    <t>https://www.juristique.org/social/duree-du-travail</t>
  </si>
  <si>
    <t>Working time</t>
  </si>
  <si>
    <t>Days/year</t>
  </si>
  <si>
    <t>Days of weekend</t>
  </si>
  <si>
    <t>Bank holliday</t>
  </si>
  <si>
    <t>Payed holliday (5 week)</t>
  </si>
  <si>
    <t>Theoretical worked days</t>
  </si>
  <si>
    <t>Theoretical worked week</t>
  </si>
  <si>
    <t>https://www.kelwatt.fr/guide/prix-electricite-entreprise</t>
  </si>
  <si>
    <t>Price /kWh HT</t>
  </si>
  <si>
    <t xml:space="preserve">Electricity Subscription </t>
  </si>
  <si>
    <t>Electricity Rate /kWh</t>
  </si>
  <si>
    <t>Printer A3/A4/… Scan/Fax/Copy</t>
  </si>
  <si>
    <t>https://store.hp.com/FranceStore/Merch/Product.aspx?id=G5J38A&amp;opt=A80&amp;sel=PRN</t>
  </si>
  <si>
    <t>https://store.hp.com/FranceStore/Merch/Product.aspx?id=6QN64ET&amp;opt=ABF&amp;sel=DTP</t>
  </si>
  <si>
    <t>CAD PC</t>
  </si>
  <si>
    <t>https://store.hp.com/FranceStore/Merch/Product.aspx?id=3ML21AT&amp;opt=ABB&amp;mastersku=3ML21AT&amp;masteropt=ABB&amp;sel=MTO&amp;</t>
  </si>
  <si>
    <t>Screen 24"</t>
  </si>
  <si>
    <t xml:space="preserve">Black cartridge 2000 pages </t>
  </si>
  <si>
    <t>https://store.hp.com/FranceStore/Merch/Product.aspx?id=L0S70AE&amp;opt=&amp;mastersku=L0S70AE&amp;masteropt=&amp;sel=SUP&amp;</t>
  </si>
  <si>
    <t>https://store.hp.com/FranceStore/Merch/Product.aspx?id=3HZ52AE&amp;opt=&amp;mastersku=3HZ52AE&amp;masteropt=&amp;sel=SUP&amp;</t>
  </si>
  <si>
    <t xml:space="preserve">4 pack cartridge 1600 pages </t>
  </si>
  <si>
    <t>Laptop</t>
  </si>
  <si>
    <t>https://store.hp.com/FranceStore/Merch/Product.aspx?id=2ZC41ET&amp;opt=ABF&amp;mastersku=2ZC41ET&amp;masteropt=ABF&amp;sel=NTB&amp;</t>
  </si>
  <si>
    <t>https://store.hp.com/FranceStore/Merch/Product.aspx?id=1KM17AA&amp;opt=&amp;mastersku=1KM17AA&amp;masteropt=&amp;sel=DEF&amp;</t>
  </si>
  <si>
    <t>Laptop backpack</t>
  </si>
  <si>
    <t xml:space="preserve">Keyboard and mouse </t>
  </si>
  <si>
    <t>https://store.hp.com/FranceStore/Merch/Product.aspx?id=T6T83AA&amp;opt=ABF&amp;mastersku=T6T83AA&amp;masteropt=ABF&amp;sel=ACC&amp;</t>
  </si>
  <si>
    <t xml:space="preserve">Docking station </t>
  </si>
  <si>
    <t>https://store.hp.com/FranceStore/Merch/Product.aspx?id=1MK33AA&amp;opt=ABB&amp;mastersku=1MK33AA&amp;masteropt=ABB&amp;sel=ACC&amp;</t>
  </si>
  <si>
    <t xml:space="preserve">Office computer </t>
  </si>
  <si>
    <t>https://store.hp.com/FranceStore/Merch/Product.aspx?id=4CZ83ET&amp;opt=ABF&amp;mastersku=4CZ83ET&amp;masteropt=ABF&amp;sel=DTP&amp;</t>
  </si>
  <si>
    <t>https://products.office.com/fr-fr/compare-all-microsoft-office-products?tab=2</t>
  </si>
  <si>
    <t>Adjustable height Welding table + clamping devices , squares</t>
  </si>
  <si>
    <t>https://www.siegmund.com/fr/1-Tables-de-soudure/98-Professional-Extreme/2400x1200x200/Panorama,101.php</t>
  </si>
  <si>
    <t>HT</t>
  </si>
  <si>
    <t>TTC</t>
  </si>
  <si>
    <t>Comment on price</t>
  </si>
  <si>
    <t>/Year/user</t>
  </si>
  <si>
    <t>/month/user</t>
  </si>
  <si>
    <t>Taux Euro --&gt; Dollar</t>
  </si>
  <si>
    <t xml:space="preserve">TVA </t>
  </si>
  <si>
    <t>Office Pack (3 license)</t>
  </si>
  <si>
    <t>Dedicated Software (Fusion 360) - 2 license</t>
  </si>
  <si>
    <t>A4 *2500</t>
  </si>
  <si>
    <t>https://www.officedepot.fr/a/pb/Papier-Office-Depot-A4-80-g-m2-Blanc-Business-2500-Feuilles/pr=&amp;id=1456200/</t>
  </si>
  <si>
    <t>A3*2500</t>
  </si>
  <si>
    <t>https://www.officedepot.fr/a/pb/Papier-Office-Depot-A3-80-g-m2-Blanc-Everyday-2500-Feuilles/pr=&amp;id=3057842/</t>
  </si>
  <si>
    <t>Telephone/mobile phone</t>
  </si>
  <si>
    <t>/month</t>
  </si>
  <si>
    <t>Internet/phone access 2 standard line, one mobile</t>
  </si>
  <si>
    <t>Orange Document</t>
  </si>
  <si>
    <t>Spec</t>
  </si>
  <si>
    <t xml:space="preserve">Price dollar </t>
  </si>
  <si>
    <t>Price TTC</t>
  </si>
  <si>
    <t>Price HT</t>
  </si>
  <si>
    <t>12-20 0.005</t>
  </si>
  <si>
    <t>https://shop.mitutoyo.fr/web/mitutoyo/fr_FR/mitutoyo/1355993040307/Microm%C3%A8tre%20d%27int%C3%A9rieur%20Holtest%20en%20jeu/$catalogue/mitutoyoData/PR/368-991/index.xhtml</t>
  </si>
  <si>
    <t>Indicators</t>
  </si>
  <si>
    <t>Inside micrometers</t>
  </si>
  <si>
    <t>Micrometres</t>
  </si>
  <si>
    <t xml:space="preserve">Reference Block </t>
  </si>
  <si>
    <t>Depth gauges</t>
  </si>
  <si>
    <t>https://www.master-outillage.com/facom/13765-servante-rouge-7-tiroirs-composition-d-outillage-v8-facom-jetv8m3-3148519073409.html</t>
  </si>
  <si>
    <t>Qté</t>
  </si>
  <si>
    <t>Source</t>
  </si>
  <si>
    <t>Quote</t>
  </si>
  <si>
    <t>Amortissement (année)</t>
  </si>
  <si>
    <t>Printer</t>
  </si>
  <si>
    <t>Printer consumable (4000 A4pages B&amp;W, 1600 A4pages Colors)</t>
  </si>
  <si>
    <t>Cost/year</t>
  </si>
  <si>
    <t>3 Axis CNC Mill Direct</t>
  </si>
  <si>
    <t>Manufacturing cost</t>
  </si>
  <si>
    <t>Milling tool holders</t>
  </si>
  <si>
    <t>Fixtures</t>
  </si>
  <si>
    <t>Variable</t>
  </si>
  <si>
    <t>No</t>
  </si>
  <si>
    <t>Yes</t>
  </si>
  <si>
    <t>Chip management</t>
  </si>
  <si>
    <t>Cutting fluid</t>
  </si>
  <si>
    <t>Cutting tools</t>
  </si>
  <si>
    <t xml:space="preserve">Way of costing </t>
  </si>
  <si>
    <t>Electricity/time</t>
  </si>
  <si>
    <t>Volume</t>
  </si>
  <si>
    <t>Volume/time</t>
  </si>
  <si>
    <t>5 % of initial cost /year</t>
  </si>
  <si>
    <t>Price $ HT</t>
  </si>
  <si>
    <t>Price $ TTC</t>
  </si>
  <si>
    <t>Spec info</t>
  </si>
  <si>
    <t xml:space="preserve">Roller cabinet + standard tooling </t>
  </si>
  <si>
    <t>Tooling kit V3</t>
  </si>
  <si>
    <t>Tooling kit V5</t>
  </si>
  <si>
    <t>OPE</t>
  </si>
  <si>
    <t>OPM per job (Cleaning in min)</t>
  </si>
  <si>
    <t>Explanation</t>
  </si>
  <si>
    <t>Technician - Grade 25</t>
  </si>
  <si>
    <t>Engineer - Grade IV A</t>
  </si>
  <si>
    <t>Specific workstation and tooling</t>
  </si>
  <si>
    <t>weight/length</t>
  </si>
  <si>
    <t>Gaz</t>
  </si>
  <si>
    <t>https://www.orexad.com/fr/projecteur-de-profil-pj-h30/p-G1213001821</t>
  </si>
  <si>
    <t>Profil projector</t>
  </si>
  <si>
    <t>510x342 mm</t>
  </si>
  <si>
    <t>Measruement column</t>
  </si>
  <si>
    <t>https://www.orexad.com/fr/colonne-de-mesure-817clm-cap-600-770-pupitre-2d/p-G1197000019</t>
  </si>
  <si>
    <t xml:space="preserve">Measurement column </t>
  </si>
  <si>
    <t>600mm</t>
  </si>
  <si>
    <t>TIG Welder &amp; Chiller</t>
  </si>
  <si>
    <t>Tig Chiller</t>
  </si>
  <si>
    <t>https://www.orexad.com/fr/refroidisseurs-cool-arc/p-G1189001474</t>
  </si>
  <si>
    <t>https://www.orexad.com/fr/mobiflex-200-m-systeme-d-aspiration-des-fumees/p-G1189001541</t>
  </si>
  <si>
    <t>3% of initial cost/year</t>
  </si>
  <si>
    <t>Welding Helmet</t>
  </si>
  <si>
    <t>Number of machine/workstation</t>
  </si>
  <si>
    <t>Total time of production of machin or station per year (in hours)</t>
  </si>
  <si>
    <t>Welding/assy , CNC mill, CNC lathe, Laser Cutting, 2 Assembly</t>
  </si>
  <si>
    <t>Removal rate (min/mm^3)</t>
  </si>
  <si>
    <t>Programation time / mm^3 (40% of machining time)</t>
  </si>
  <si>
    <t>Setup time (fixture and tools) (min)</t>
  </si>
  <si>
    <t>People efficiency</t>
  </si>
  <si>
    <t>Sum</t>
  </si>
  <si>
    <t>CNC mill</t>
  </si>
  <si>
    <t>CNC lathe</t>
  </si>
  <si>
    <t>Assembly 1</t>
  </si>
  <si>
    <t>Assembly 2</t>
  </si>
  <si>
    <t>Welding/Assembly</t>
  </si>
  <si>
    <t xml:space="preserve">CNC programmation </t>
  </si>
  <si>
    <t>40% engineer</t>
  </si>
  <si>
    <t>Total</t>
  </si>
  <si>
    <t>Sum (hrs)</t>
  </si>
  <si>
    <t>Required  (hrs)</t>
  </si>
  <si>
    <t>Fixed cost (10% of the time)</t>
  </si>
  <si>
    <t>Variable cost for 1 op (€/hour)</t>
  </si>
  <si>
    <t>Manwork availability (90%) /year (hrs)</t>
  </si>
  <si>
    <t xml:space="preserve">Shopfloor allocation </t>
  </si>
  <si>
    <t>Because prototyping company so not running all time, 6 percent used for maintenance and cleaning of shop floor</t>
  </si>
  <si>
    <t xml:space="preserve">People not working all time, need to pay them during this time </t>
  </si>
  <si>
    <t>Maintenance manwork cost</t>
  </si>
  <si>
    <t>Yearly for the company (90%)</t>
  </si>
  <si>
    <t>Manwork</t>
  </si>
  <si>
    <t>10% of manwork OPE</t>
  </si>
  <si>
    <t>Maintenance manwork</t>
  </si>
  <si>
    <t>Power consumption (kW)</t>
  </si>
  <si>
    <t>Cost/hour</t>
  </si>
  <si>
    <t>Subscription €/kVA</t>
  </si>
  <si>
    <t xml:space="preserve">Power needed </t>
  </si>
  <si>
    <t>Electricity subscription</t>
  </si>
  <si>
    <t>Electricity consumption for office and small components (avg 16kW)</t>
  </si>
  <si>
    <t>https://www.fournisseurs-electricite.com/edf/pro/tarifs-reglementes/jaune#decomposition-facture</t>
  </si>
  <si>
    <t>https://www.fournisseurs-electricite.com/guides/compteur/puissance/estimation?fbclid=IwAR0M9rlabDNFJxLa_aehdEGtK33qlQUwFO2xf_a1OlrFo_cEoo8_Df1M5hg</t>
  </si>
  <si>
    <t>€/hour</t>
  </si>
  <si>
    <t>Cost of machining part (€/mm^3)</t>
  </si>
  <si>
    <t>Cost of programing part Technician(€/mm^3)</t>
  </si>
  <si>
    <t>Cost of programing part Engineer (€/mm^3)</t>
  </si>
  <si>
    <t>Cost of programing part Operator (€/mm^3)</t>
  </si>
  <si>
    <t>Fixed cost/hour to charge on operation (machine/station/programing/metrology)</t>
  </si>
  <si>
    <t>Rond plein</t>
  </si>
  <si>
    <t>diamètre (mm)</t>
  </si>
  <si>
    <t>Alu 7075 T651</t>
  </si>
  <si>
    <t>https://www.telecomsupplier.fr/avaya-3730-dect-combine.html</t>
  </si>
  <si>
    <t>Mobile phone for shop floor</t>
  </si>
  <si>
    <t>https://www.telecomsupplier.fr/avaya-1608-i-ip-telephone-paquet-de-4.html</t>
  </si>
  <si>
    <t>4 phones</t>
  </si>
  <si>
    <t xml:space="preserve"> Cost of Setup + cleaning</t>
  </si>
  <si>
    <t>Yearly fixed cost of machine</t>
  </si>
  <si>
    <t>Fixed cost of machine / hour</t>
  </si>
  <si>
    <t>Cost of machine/hour running</t>
  </si>
  <si>
    <t>Link</t>
  </si>
  <si>
    <t>https://www.francebureau.com/media/catalogue-mobilier/bureau-modulaire-kibo.pdf</t>
  </si>
  <si>
    <t xml:space="preserve">Angle worktable </t>
  </si>
  <si>
    <t>Drawer</t>
  </si>
  <si>
    <t>Armoire sans porte</t>
  </si>
  <si>
    <t xml:space="preserve">Armoire avec porte </t>
  </si>
  <si>
    <t>Direction worktable</t>
  </si>
  <si>
    <t>https://www.francebureau.com/media/catalogue-mobilier/bureau-direction-etretat.pdf</t>
  </si>
  <si>
    <t>Meeting table</t>
  </si>
  <si>
    <t>https://www.francebureau.com/media/catalogue-mobilier/table-reunion-modulable-arc-reunion.pdf</t>
  </si>
  <si>
    <t>Chair</t>
  </si>
  <si>
    <t>https://www.francebureau.com/alto-16.html</t>
  </si>
  <si>
    <t>https://www.orexad.com/fr/etabli-standard/p-G1359000849</t>
  </si>
  <si>
    <t xml:space="preserve">Standard workstation </t>
  </si>
  <si>
    <t>https://www.orexad.com/fr/etabli-standard/p-G1359000830</t>
  </si>
  <si>
    <t>Standard workstation with drawer</t>
  </si>
  <si>
    <t>Roller Cabinet (3 V3 and 3+ V5)</t>
  </si>
  <si>
    <t xml:space="preserve"> </t>
  </si>
  <si>
    <t>Hauteur (mm)</t>
  </si>
  <si>
    <t>https://lemetal.fr/148-tole-plane-aluminium</t>
  </si>
  <si>
    <t>Acier S325JR</t>
  </si>
  <si>
    <t>https://rhmetal.fr/87-rond-acier-noir-s235</t>
  </si>
  <si>
    <t>https://www.metalaladecoupe.com/francais/barres_rondes_5_50.asp?tbout=acier</t>
  </si>
  <si>
    <t>Refilling/year (1time)</t>
  </si>
  <si>
    <t>Turning tool holders</t>
  </si>
  <si>
    <t>Energies</t>
  </si>
  <si>
    <t>Others</t>
  </si>
  <si>
    <t>Margin</t>
  </si>
  <si>
    <t>Summary</t>
  </si>
  <si>
    <t>Sum of fixed cost/year</t>
  </si>
  <si>
    <t>Worktable &amp; office storage</t>
  </si>
  <si>
    <t xml:space="preserve">Office </t>
  </si>
  <si>
    <t>Fixed Cost</t>
  </si>
  <si>
    <t>Manpower cost</t>
  </si>
  <si>
    <t>Operator cost/hour</t>
  </si>
  <si>
    <t>Engineer cost/hour</t>
  </si>
  <si>
    <t>Measuring time / mm^3 (30% of machining time)</t>
  </si>
  <si>
    <t>Cost of measuring part Operator (€/mm^3)</t>
  </si>
  <si>
    <t>Cost of measuring part Technician(€/mm^3)</t>
  </si>
  <si>
    <t>Cost of measuring part Engineer (€/mm^3)</t>
  </si>
  <si>
    <t>Without margin</t>
  </si>
  <si>
    <t>With margin</t>
  </si>
  <si>
    <t>CNC lathe with Y Axis</t>
  </si>
  <si>
    <t>Driven tool holder</t>
  </si>
  <si>
    <t>Turning insert holders</t>
  </si>
  <si>
    <t>Haas</t>
  </si>
  <si>
    <t>Hoffman</t>
  </si>
  <si>
    <t>Cooling tank capacity (L)</t>
  </si>
  <si>
    <t>Technician cost/hour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</si>
</sst>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00\ &quot;€&quot;_-;\-* #,##0.0000\ &quot;€&quot;_-;_-* &quot;-&quot;??\ &quot;€&quot;_-;_-@_-"/>
    <numFmt numFmtId="165" formatCode="_-[$$-409]* #,##0.00_ ;_-[$$-409]* \-#,##0.00\ ;_-[$$-409]* &quot;-&quot;??_ ;_-@_ "/>
    <numFmt numFmtId="166" formatCode="_-* #,##0.00\ [$€-40C]_-;\-* #,##0.00\ [$€-40C]_-;_-* &quot;-&quot;??\ [$€-40C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17">
    <xf numFmtId="0" fontId="0" fillId="0" borderId="0" xfId="0"/>
    <xf numFmtId="11" fontId="0" fillId="0" borderId="0" xfId="0" applyNumberFormat="1"/>
    <xf numFmtId="44" fontId="0" fillId="0" borderId="0" xfId="1" applyFont="1"/>
    <xf numFmtId="0" fontId="2" fillId="4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2" borderId="0" xfId="0" applyFont="1" applyFill="1"/>
    <xf numFmtId="0" fontId="0" fillId="16" borderId="0" xfId="0" applyFill="1"/>
    <xf numFmtId="0" fontId="4" fillId="11" borderId="0" xfId="0" applyFont="1" applyFill="1" applyAlignment="1">
      <alignment horizontal="center" vertical="center"/>
    </xf>
    <xf numFmtId="0" fontId="3" fillId="11" borderId="0" xfId="0" applyFont="1" applyFill="1"/>
    <xf numFmtId="0" fontId="5" fillId="0" borderId="0" xfId="2"/>
    <xf numFmtId="9" fontId="0" fillId="0" borderId="0" xfId="0" applyNumberFormat="1"/>
    <xf numFmtId="44" fontId="0" fillId="0" borderId="0" xfId="0" applyNumberFormat="1"/>
    <xf numFmtId="8" fontId="0" fillId="0" borderId="0" xfId="0" applyNumberFormat="1"/>
    <xf numFmtId="17" fontId="0" fillId="0" borderId="0" xfId="0" applyNumberFormat="1"/>
    <xf numFmtId="6" fontId="0" fillId="0" borderId="0" xfId="0" applyNumberFormat="1"/>
    <xf numFmtId="9" fontId="0" fillId="0" borderId="0" xfId="3" applyFont="1"/>
    <xf numFmtId="1" fontId="0" fillId="0" borderId="0" xfId="0" applyNumberFormat="1"/>
    <xf numFmtId="164" fontId="0" fillId="0" borderId="0" xfId="1" applyNumberFormat="1" applyFont="1"/>
    <xf numFmtId="0" fontId="0" fillId="18" borderId="0" xfId="0" applyFill="1"/>
    <xf numFmtId="165" fontId="0" fillId="0" borderId="0" xfId="0" applyNumberFormat="1"/>
    <xf numFmtId="166" fontId="0" fillId="0" borderId="0" xfId="0" applyNumberFormat="1"/>
    <xf numFmtId="0" fontId="2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0" xfId="0" applyNumberFormat="1"/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9" fontId="2" fillId="11" borderId="0" xfId="3" applyFont="1" applyFill="1" applyAlignment="1">
      <alignment horizontal="center" vertical="center"/>
    </xf>
    <xf numFmtId="0" fontId="0" fillId="0" borderId="0" xfId="3" applyNumberFormat="1" applyFont="1"/>
    <xf numFmtId="0" fontId="0" fillId="3" borderId="0" xfId="0" applyFill="1"/>
    <xf numFmtId="0" fontId="0" fillId="0" borderId="0" xfId="0" applyFill="1"/>
    <xf numFmtId="11" fontId="2" fillId="11" borderId="0" xfId="0" applyNumberFormat="1" applyFont="1" applyFill="1" applyAlignment="1">
      <alignment horizontal="center" vertical="center"/>
    </xf>
    <xf numFmtId="9" fontId="2" fillId="12" borderId="0" xfId="3" applyFont="1" applyFill="1" applyAlignment="1">
      <alignment horizontal="center" vertical="center"/>
    </xf>
    <xf numFmtId="11" fontId="2" fillId="12" borderId="0" xfId="0" applyNumberFormat="1" applyFont="1" applyFill="1" applyAlignment="1">
      <alignment horizontal="center" vertical="center"/>
    </xf>
    <xf numFmtId="11" fontId="0" fillId="0" borderId="0" xfId="1" applyNumberFormat="1" applyFont="1"/>
    <xf numFmtId="44" fontId="0" fillId="19" borderId="0" xfId="1" applyFont="1" applyFill="1"/>
    <xf numFmtId="0" fontId="2" fillId="17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2" fillId="20" borderId="0" xfId="0" applyFont="1" applyFill="1" applyBorder="1" applyAlignment="1">
      <alignment horizontal="center" vertical="center"/>
    </xf>
    <xf numFmtId="0" fontId="0" fillId="0" borderId="0" xfId="0" applyBorder="1"/>
    <xf numFmtId="44" fontId="0" fillId="0" borderId="0" xfId="0" applyNumberFormat="1" applyBorder="1"/>
    <xf numFmtId="0" fontId="2" fillId="21" borderId="0" xfId="0" applyFont="1" applyFill="1" applyAlignment="1">
      <alignment horizontal="center" vertical="center"/>
    </xf>
    <xf numFmtId="0" fontId="0" fillId="21" borderId="0" xfId="0" applyFill="1"/>
    <xf numFmtId="0" fontId="0" fillId="22" borderId="0" xfId="0" applyFill="1"/>
    <xf numFmtId="0" fontId="2" fillId="22" borderId="0" xfId="0" applyFont="1" applyFill="1" applyAlignment="1">
      <alignment horizontal="center" vertical="center"/>
    </xf>
    <xf numFmtId="8" fontId="0" fillId="0" borderId="3" xfId="0" applyNumberFormat="1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18" borderId="0" xfId="0" applyFont="1" applyFill="1"/>
    <xf numFmtId="9" fontId="0" fillId="0" borderId="0" xfId="3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Fill="1" applyAlignment="1">
      <alignment horizontal="center" vertic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0" xfId="0" applyBorder="1"/>
    <xf numFmtId="0" fontId="2" fillId="0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8" fontId="0" fillId="0" borderId="11" xfId="0" applyNumberFormat="1" applyBorder="1"/>
    <xf numFmtId="0" fontId="2" fillId="0" borderId="0" xfId="0" applyFont="1" applyFill="1" applyBorder="1" applyAlignment="1">
      <alignment vertical="center"/>
    </xf>
    <xf numFmtId="44" fontId="0" fillId="0" borderId="3" xfId="1" applyFont="1" applyBorder="1"/>
    <xf numFmtId="44" fontId="0" fillId="0" borderId="11" xfId="1" applyFont="1" applyFill="1" applyBorder="1" applyAlignment="1">
      <alignment horizontal="center" vertical="center"/>
    </xf>
    <xf numFmtId="44" fontId="0" fillId="0" borderId="6" xfId="1" applyFont="1" applyFill="1" applyBorder="1" applyAlignment="1">
      <alignment vertical="center"/>
    </xf>
    <xf numFmtId="0" fontId="2" fillId="12" borderId="0" xfId="0" applyFont="1" applyFill="1" applyAlignment="1">
      <alignment horizontal="center" vertical="center"/>
    </xf>
    <xf numFmtId="0" fontId="3" fillId="0" borderId="0" xfId="2" applyFont="1"/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44" fontId="2" fillId="0" borderId="3" xfId="0" applyNumberFormat="1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4" fontId="2" fillId="0" borderId="11" xfId="0" applyNumberFormat="1" applyFont="1" applyFill="1" applyBorder="1" applyAlignment="1">
      <alignment horizontal="center" vertical="center"/>
    </xf>
    <xf numFmtId="0" fontId="0" fillId="12" borderId="10" xfId="0" applyFill="1" applyBorder="1"/>
    <xf numFmtId="0" fontId="0" fillId="12" borderId="0" xfId="0" applyFill="1" applyBorder="1"/>
    <xf numFmtId="11" fontId="0" fillId="0" borderId="0" xfId="0" applyNumberFormat="1" applyFont="1" applyFill="1" applyBorder="1" applyAlignment="1">
      <alignment horizontal="right" vertical="center"/>
    </xf>
    <xf numFmtId="11" fontId="2" fillId="0" borderId="11" xfId="0" applyNumberFormat="1" applyFont="1" applyBorder="1"/>
    <xf numFmtId="0" fontId="0" fillId="12" borderId="4" xfId="0" applyFill="1" applyBorder="1"/>
    <xf numFmtId="0" fontId="0" fillId="12" borderId="5" xfId="0" applyFill="1" applyBorder="1"/>
    <xf numFmtId="0" fontId="2" fillId="0" borderId="5" xfId="0" applyFont="1" applyFill="1" applyBorder="1" applyAlignment="1">
      <alignment horizontal="center" vertical="center"/>
    </xf>
    <xf numFmtId="44" fontId="0" fillId="0" borderId="5" xfId="0" applyNumberFormat="1" applyFont="1" applyFill="1" applyBorder="1" applyAlignment="1">
      <alignment horizontal="right" vertical="center"/>
    </xf>
    <xf numFmtId="44" fontId="2" fillId="0" borderId="6" xfId="1" applyFont="1" applyBorder="1"/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0" fillId="11" borderId="10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</cellXfs>
  <cellStyles count="4">
    <cellStyle name="Lien hypertexte" xfId="2" builtinId="8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aileigh.com/cnc-laser-table-fl-510hd-500" TargetMode="External"/><Relationship Id="rId1" Type="http://schemas.openxmlformats.org/officeDocument/2006/relationships/hyperlink" Target="https://www.bosslaser.com/metal-cutting-product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rhmetal.fr/87-rond-acier-noir-s235" TargetMode="External"/><Relationship Id="rId2" Type="http://schemas.openxmlformats.org/officeDocument/2006/relationships/hyperlink" Target="https://lemetal.fr/148-tole-plane-aluminium" TargetMode="External"/><Relationship Id="rId1" Type="http://schemas.openxmlformats.org/officeDocument/2006/relationships/hyperlink" Target="http://www.blockenstock.fr/epaisseur-32mm-et-plus-c102x2963106" TargetMode="External"/><Relationship Id="rId4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uristique.org/social/duree-du-travail" TargetMode="External"/><Relationship Id="rId2" Type="http://schemas.openxmlformats.org/officeDocument/2006/relationships/hyperlink" Target="https://travail-emploi.gouv.fr/emploi/accompagnement-des-tpe-pme/tpe-pme/article/le-simulateur-du-cout-d-embauche" TargetMode="External"/><Relationship Id="rId1" Type="http://schemas.openxmlformats.org/officeDocument/2006/relationships/hyperlink" Target="https://www.gestionnaire-paie.com/convention-collective-automobile-salaires-minima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elwatt.fr/guide/prix-electricite-entrepris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.mitutoyo.fr/web/mitutoyo/fr_FR/mitutoyo/1355993040307/Microm%C3%A8tre%20d%27int%C3%A9rieur%20Holtest%20en%20jeu%2020-50%20mm/$catalogue/mitutoyoData/PR/368-992/index.xhtml" TargetMode="External"/><Relationship Id="rId2" Type="http://schemas.openxmlformats.org/officeDocument/2006/relationships/hyperlink" Target="http://www.starrett.com/metrology/product-detail/3753A-8~200" TargetMode="External"/><Relationship Id="rId1" Type="http://schemas.openxmlformats.org/officeDocument/2006/relationships/hyperlink" Target="https://shop.mitutoyo.fr/web/mitutoyo/fr_FR/mitutoyo/1305010043843/Comparateur%20%C3%A0%20palpeur%20orientable%2C%20mod%C3%A8le%20horizontal/$catalogue/mitutoyoData/PR/513-401-10E/index.x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ileigh.com/sheet-metal-brake-hb-4816e" TargetMode="External"/><Relationship Id="rId7" Type="http://schemas.openxmlformats.org/officeDocument/2006/relationships/hyperlink" Target="https://www.promeca.com/cle-dynamometrique-10-50-nm-facom-j208-50pb-promotion" TargetMode="External"/><Relationship Id="rId2" Type="http://schemas.openxmlformats.org/officeDocument/2006/relationships/hyperlink" Target="https://www.master-outillage.com/facom/13765-servante-rouge-7-tiroirs-composition-d-outillage-v8-facom-jetv8m3-3148519073409.html" TargetMode="External"/><Relationship Id="rId1" Type="http://schemas.openxmlformats.org/officeDocument/2006/relationships/hyperlink" Target="https://www.promeca.com/composition-v5-servante-chrono-6m3-facom-chrono-v5pb-promotion" TargetMode="External"/><Relationship Id="rId6" Type="http://schemas.openxmlformats.org/officeDocument/2006/relationships/hyperlink" Target="https://www.promeca.com/cle-dynamometrique-40-200-nm-facom-s-208-200pb-promotion" TargetMode="External"/><Relationship Id="rId5" Type="http://schemas.openxmlformats.org/officeDocument/2006/relationships/hyperlink" Target="https://www.promeca.com/cle-dynamo-a-declenchement-avec-cliquet-60-340-nm-facom-s-208a340" TargetMode="External"/><Relationship Id="rId4" Type="http://schemas.openxmlformats.org/officeDocument/2006/relationships/hyperlink" Target="https://www.baileigh.com/hydraulic-shop-press-hsp-10h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ffmann-group.com/FR/fr/hof/Accessoires-machines/Etaux/Etau-haute-pression-CN---NC8/p/360405-125L" TargetMode="External"/><Relationship Id="rId2" Type="http://schemas.openxmlformats.org/officeDocument/2006/relationships/hyperlink" Target="https://www.haascnc.com/machines/vertical-mills/vf-series/models/medium/vf-3ssyt.html" TargetMode="External"/><Relationship Id="rId1" Type="http://schemas.openxmlformats.org/officeDocument/2006/relationships/hyperlink" Target="https://www.haascnc.com/shop/category/pricelist.html" TargetMode="External"/><Relationship Id="rId4" Type="http://schemas.openxmlformats.org/officeDocument/2006/relationships/hyperlink" Target="https://www.hoffmann-group.com/FR/fr/hof/Accessoires-machines/Porte-outils/c/3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aascnc.com/shop/category/priceli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0"/>
  <sheetViews>
    <sheetView tabSelected="1" topLeftCell="L1" workbookViewId="0">
      <selection activeCell="L1" sqref="L1:Q1"/>
    </sheetView>
  </sheetViews>
  <sheetFormatPr baseColWidth="10" defaultRowHeight="15" x14ac:dyDescent="0.25"/>
  <cols>
    <col min="2" max="2" width="33" customWidth="1"/>
    <col min="3" max="3" width="11.85546875" bestFit="1" customWidth="1"/>
    <col min="4" max="4" width="57.85546875" customWidth="1"/>
    <col min="5" max="5" width="4.85546875" customWidth="1"/>
    <col min="6" max="6" width="14.5703125" bestFit="1" customWidth="1"/>
    <col min="7" max="7" width="62" bestFit="1" customWidth="1"/>
    <col min="8" max="8" width="11.85546875" bestFit="1" customWidth="1"/>
    <col min="9" max="9" width="14.7109375" bestFit="1" customWidth="1"/>
    <col min="10" max="10" width="11.85546875" customWidth="1"/>
    <col min="11" max="11" width="4.5703125" customWidth="1"/>
    <col min="12" max="12" width="47.5703125" bestFit="1" customWidth="1"/>
    <col min="13" max="13" width="23.85546875" customWidth="1"/>
    <col min="14" max="14" width="31" bestFit="1" customWidth="1"/>
    <col min="15" max="15" width="8.42578125" bestFit="1" customWidth="1"/>
    <col min="16" max="16" width="37.140625" bestFit="1" customWidth="1"/>
    <col min="17" max="17" width="12.85546875" bestFit="1" customWidth="1"/>
    <col min="18" max="18" width="15" bestFit="1" customWidth="1"/>
    <col min="19" max="19" width="19.140625" customWidth="1"/>
    <col min="20" max="20" width="4.7109375" customWidth="1"/>
    <col min="21" max="21" width="21" bestFit="1" customWidth="1"/>
    <col min="22" max="22" width="14.5703125" bestFit="1" customWidth="1"/>
    <col min="24" max="24" width="4.85546875" customWidth="1"/>
  </cols>
  <sheetData>
    <row r="1" spans="1:27" x14ac:dyDescent="0.25">
      <c r="A1" s="54" t="s">
        <v>66</v>
      </c>
      <c r="B1" s="54"/>
      <c r="C1" s="54"/>
      <c r="D1" s="47"/>
      <c r="F1" s="52" t="s">
        <v>14</v>
      </c>
      <c r="G1" s="52"/>
      <c r="H1" s="52"/>
      <c r="I1" s="34"/>
      <c r="J1" s="34"/>
      <c r="L1" s="50" t="s">
        <v>259</v>
      </c>
      <c r="M1" s="50"/>
      <c r="N1" s="50"/>
      <c r="O1" s="50"/>
      <c r="P1" s="50"/>
      <c r="Q1" s="50"/>
      <c r="R1" s="33"/>
      <c r="S1" s="33"/>
      <c r="U1" s="51" t="s">
        <v>27</v>
      </c>
      <c r="V1" s="51"/>
      <c r="W1" s="51"/>
      <c r="Y1" s="53" t="s">
        <v>60</v>
      </c>
      <c r="Z1" s="53"/>
      <c r="AA1" s="53"/>
    </row>
    <row r="2" spans="1:27" ht="30" x14ac:dyDescent="0.25">
      <c r="A2" s="47" t="s">
        <v>36</v>
      </c>
      <c r="B2" s="47" t="s">
        <v>17</v>
      </c>
      <c r="C2" s="47" t="s">
        <v>67</v>
      </c>
      <c r="D2" s="47" t="s">
        <v>281</v>
      </c>
      <c r="F2" s="3" t="s">
        <v>36</v>
      </c>
      <c r="G2" s="3" t="s">
        <v>28</v>
      </c>
      <c r="H2" s="3" t="s">
        <v>18</v>
      </c>
      <c r="I2" s="36" t="s">
        <v>254</v>
      </c>
      <c r="J2" s="34" t="s">
        <v>257</v>
      </c>
      <c r="L2" s="8" t="s">
        <v>16</v>
      </c>
      <c r="M2" s="33"/>
      <c r="N2" s="8" t="s">
        <v>17</v>
      </c>
      <c r="O2" s="33" t="s">
        <v>262</v>
      </c>
      <c r="P2" s="33" t="s">
        <v>268</v>
      </c>
      <c r="Q2" s="8" t="s">
        <v>18</v>
      </c>
      <c r="R2" s="37" t="s">
        <v>254</v>
      </c>
      <c r="S2" s="33" t="s">
        <v>257</v>
      </c>
      <c r="U2" s="12" t="s">
        <v>16</v>
      </c>
      <c r="V2" s="12" t="s">
        <v>28</v>
      </c>
      <c r="W2" s="12" t="s">
        <v>18</v>
      </c>
      <c r="Y2" s="16" t="s">
        <v>16</v>
      </c>
      <c r="Z2" s="16" t="s">
        <v>17</v>
      </c>
      <c r="AA2" s="16" t="s">
        <v>18</v>
      </c>
    </row>
    <row r="3" spans="1:27" x14ac:dyDescent="0.25">
      <c r="A3" s="57" t="s">
        <v>68</v>
      </c>
      <c r="B3" s="58" t="s">
        <v>30</v>
      </c>
      <c r="C3" s="59">
        <f>'Manpower &amp; time'!C5</f>
        <v>21376</v>
      </c>
      <c r="D3" s="59"/>
      <c r="F3" s="4" t="s">
        <v>37</v>
      </c>
      <c r="G3" t="s">
        <v>247</v>
      </c>
      <c r="H3" s="24">
        <f>SUM(Metrology!E14:E17)</f>
        <v>2320</v>
      </c>
      <c r="I3" s="35">
        <v>10</v>
      </c>
      <c r="J3" s="24">
        <f>H3/I3</f>
        <v>232</v>
      </c>
      <c r="L3" s="55" t="s">
        <v>15</v>
      </c>
      <c r="M3" s="55"/>
      <c r="N3" t="s">
        <v>258</v>
      </c>
      <c r="O3" t="s">
        <v>263</v>
      </c>
      <c r="Q3" s="23">
        <f>'CNC mill'!B22</f>
        <v>108020</v>
      </c>
      <c r="R3">
        <v>10</v>
      </c>
      <c r="S3" s="23">
        <f>Q3/R3</f>
        <v>10802</v>
      </c>
      <c r="U3" s="13" t="s">
        <v>29</v>
      </c>
      <c r="V3" t="s">
        <v>56</v>
      </c>
      <c r="Z3" t="s">
        <v>61</v>
      </c>
    </row>
    <row r="4" spans="1:27" x14ac:dyDescent="0.25">
      <c r="A4" s="57"/>
      <c r="B4" s="58" t="s">
        <v>69</v>
      </c>
      <c r="C4" s="59">
        <f>'Manpower &amp; time'!C6</f>
        <v>39809</v>
      </c>
      <c r="D4" s="59"/>
      <c r="F4" s="4"/>
      <c r="G4" t="s">
        <v>246</v>
      </c>
      <c r="H4" s="24">
        <f>SUM(Metrology!E18:E19)</f>
        <v>1838.4</v>
      </c>
      <c r="I4" s="35">
        <v>10</v>
      </c>
      <c r="J4" s="24">
        <f t="shared" ref="J4:J35" si="0">H4/I4</f>
        <v>183.84</v>
      </c>
      <c r="L4" s="9" t="s">
        <v>329</v>
      </c>
      <c r="M4" s="9">
        <v>22.4</v>
      </c>
      <c r="N4" t="s">
        <v>260</v>
      </c>
      <c r="O4" t="s">
        <v>263</v>
      </c>
      <c r="Q4" s="23">
        <f>'CNC mill'!B23*'CNC mill'!C23</f>
        <v>4000</v>
      </c>
      <c r="R4">
        <v>5</v>
      </c>
      <c r="S4" s="23">
        <f t="shared" ref="S4:S6" si="1">Q4/R4</f>
        <v>800</v>
      </c>
      <c r="U4" s="13"/>
      <c r="V4" t="s">
        <v>30</v>
      </c>
      <c r="Z4" t="s">
        <v>62</v>
      </c>
    </row>
    <row r="5" spans="1:27" x14ac:dyDescent="0.25">
      <c r="A5" s="57"/>
      <c r="B5" s="58" t="s">
        <v>70</v>
      </c>
      <c r="C5" s="59">
        <f>'Manpower &amp; time'!C7</f>
        <v>69843</v>
      </c>
      <c r="D5" s="59"/>
      <c r="F5" s="4"/>
      <c r="G5" t="s">
        <v>245</v>
      </c>
      <c r="H5" s="24">
        <f>SUM(Metrology!E2:E8)+Metrology!E2+Metrology!E4+Metrology!E3+Metrology!E7+Metrology!E8</f>
        <v>1272</v>
      </c>
      <c r="I5" s="35">
        <v>10</v>
      </c>
      <c r="J5" s="24">
        <f t="shared" si="0"/>
        <v>127.2</v>
      </c>
      <c r="L5" s="9" t="s">
        <v>279</v>
      </c>
      <c r="M5" s="38">
        <f>C10</f>
        <v>0.75</v>
      </c>
      <c r="N5" t="s">
        <v>261</v>
      </c>
      <c r="O5" t="s">
        <v>263</v>
      </c>
      <c r="Q5" s="23">
        <f>'CNC mill'!B24</f>
        <v>2500</v>
      </c>
      <c r="R5">
        <v>5</v>
      </c>
      <c r="S5" s="23">
        <f t="shared" si="1"/>
        <v>500</v>
      </c>
      <c r="U5" s="14" t="s">
        <v>31</v>
      </c>
      <c r="V5" t="s">
        <v>32</v>
      </c>
    </row>
    <row r="6" spans="1:27" x14ac:dyDescent="0.25">
      <c r="A6" s="57"/>
      <c r="B6" s="58" t="s">
        <v>71</v>
      </c>
      <c r="C6" s="59">
        <f>'Manpower &amp; time'!C6</f>
        <v>39809</v>
      </c>
      <c r="D6" s="59"/>
      <c r="F6" s="4"/>
      <c r="G6" t="s">
        <v>40</v>
      </c>
      <c r="H6" s="23">
        <f>Metrology!E23</f>
        <v>48334.81</v>
      </c>
      <c r="I6" s="35">
        <v>10</v>
      </c>
      <c r="J6" s="24">
        <f t="shared" si="0"/>
        <v>4833.4809999999998</v>
      </c>
      <c r="L6" s="9" t="s">
        <v>280</v>
      </c>
      <c r="M6" s="9">
        <v>5</v>
      </c>
      <c r="N6" t="s">
        <v>24</v>
      </c>
      <c r="O6" t="s">
        <v>263</v>
      </c>
      <c r="P6" t="s">
        <v>272</v>
      </c>
      <c r="Q6" s="23">
        <f>0.05*Q3</f>
        <v>5401</v>
      </c>
      <c r="R6">
        <v>1</v>
      </c>
      <c r="S6" s="23">
        <f t="shared" si="1"/>
        <v>5401</v>
      </c>
      <c r="U6" s="14"/>
      <c r="V6" t="s">
        <v>33</v>
      </c>
    </row>
    <row r="7" spans="1:27" x14ac:dyDescent="0.25">
      <c r="A7" s="57"/>
      <c r="B7" s="58" t="s">
        <v>300</v>
      </c>
      <c r="C7" s="58">
        <v>6</v>
      </c>
      <c r="D7" s="58" t="s">
        <v>302</v>
      </c>
      <c r="F7" s="4"/>
      <c r="G7" t="s">
        <v>248</v>
      </c>
      <c r="H7" s="24">
        <f>SUM(Metrology!E10:E12)</f>
        <v>3209.6000000000004</v>
      </c>
      <c r="I7" s="35">
        <v>10</v>
      </c>
      <c r="J7" s="24">
        <f t="shared" si="0"/>
        <v>320.96000000000004</v>
      </c>
      <c r="L7" s="9" t="s">
        <v>303</v>
      </c>
      <c r="M7" s="42">
        <f>1/10000</f>
        <v>1E-4</v>
      </c>
      <c r="N7" t="s">
        <v>21</v>
      </c>
      <c r="O7" t="s">
        <v>264</v>
      </c>
      <c r="P7" t="s">
        <v>330</v>
      </c>
      <c r="Q7" s="32">
        <f>M4*0.8*C14</f>
        <v>1.4031359999999997</v>
      </c>
      <c r="U7" s="14"/>
    </row>
    <row r="8" spans="1:27" x14ac:dyDescent="0.25">
      <c r="A8" s="56" t="s">
        <v>72</v>
      </c>
      <c r="B8" t="s">
        <v>73</v>
      </c>
      <c r="C8">
        <v>35</v>
      </c>
      <c r="F8" s="4"/>
      <c r="G8" t="s">
        <v>249</v>
      </c>
      <c r="H8" s="24">
        <f>2*Metrology!E21</f>
        <v>492.90039304557206</v>
      </c>
      <c r="I8" s="35">
        <v>10</v>
      </c>
      <c r="J8" s="24">
        <f t="shared" si="0"/>
        <v>49.290039304557205</v>
      </c>
      <c r="L8" s="9" t="s">
        <v>304</v>
      </c>
      <c r="M8" s="42">
        <f>M7*0.4</f>
        <v>4.0000000000000003E-5</v>
      </c>
      <c r="N8" t="s">
        <v>265</v>
      </c>
      <c r="O8" t="s">
        <v>264</v>
      </c>
      <c r="P8" t="s">
        <v>270</v>
      </c>
      <c r="U8" s="14"/>
    </row>
    <row r="9" spans="1:27" x14ac:dyDescent="0.25">
      <c r="A9" s="56"/>
      <c r="B9" t="s">
        <v>74</v>
      </c>
      <c r="C9" s="28">
        <f>'Manpower &amp; time'!B16</f>
        <v>45.6</v>
      </c>
      <c r="D9" s="28"/>
      <c r="F9" s="4"/>
      <c r="G9" t="s">
        <v>290</v>
      </c>
      <c r="H9" s="23">
        <f>Metrology!E25</f>
        <v>5390</v>
      </c>
      <c r="I9" s="35">
        <v>10</v>
      </c>
      <c r="J9" s="24">
        <f t="shared" si="0"/>
        <v>539</v>
      </c>
      <c r="L9" s="48" t="s">
        <v>390</v>
      </c>
      <c r="M9" s="42">
        <f>M7*0.3</f>
        <v>3.0000000000000001E-5</v>
      </c>
      <c r="N9" t="s">
        <v>267</v>
      </c>
      <c r="O9" t="s">
        <v>264</v>
      </c>
      <c r="P9" t="s">
        <v>337</v>
      </c>
      <c r="Q9" s="2">
        <v>20</v>
      </c>
      <c r="U9" s="14"/>
    </row>
    <row r="10" spans="1:27" ht="30" x14ac:dyDescent="0.25">
      <c r="A10" s="56"/>
      <c r="B10" t="s">
        <v>75</v>
      </c>
      <c r="C10" s="27">
        <v>0.75</v>
      </c>
      <c r="D10" s="69" t="s">
        <v>322</v>
      </c>
      <c r="F10" s="5" t="s">
        <v>41</v>
      </c>
      <c r="G10" s="68" t="s">
        <v>42</v>
      </c>
      <c r="J10" s="24"/>
      <c r="L10" s="19" t="s">
        <v>305</v>
      </c>
      <c r="M10" s="19">
        <v>15</v>
      </c>
      <c r="N10" t="s">
        <v>266</v>
      </c>
      <c r="O10" t="s">
        <v>264</v>
      </c>
      <c r="P10" t="s">
        <v>377</v>
      </c>
      <c r="Q10" s="23">
        <f>1*'CNC mill'!F31</f>
        <v>88.025599999999997</v>
      </c>
      <c r="R10">
        <v>1</v>
      </c>
      <c r="S10" s="23">
        <f t="shared" ref="S10" si="2">Q10/R10</f>
        <v>88.025599999999997</v>
      </c>
      <c r="U10" s="14"/>
      <c r="V10" t="s">
        <v>30</v>
      </c>
    </row>
    <row r="11" spans="1:27" x14ac:dyDescent="0.25">
      <c r="A11" s="56"/>
      <c r="B11" t="s">
        <v>306</v>
      </c>
      <c r="C11" s="27">
        <v>0.9</v>
      </c>
      <c r="D11" s="27" t="s">
        <v>323</v>
      </c>
      <c r="F11" s="5"/>
      <c r="G11" s="30" t="s">
        <v>45</v>
      </c>
      <c r="J11" s="24"/>
      <c r="L11" s="86" t="s">
        <v>19</v>
      </c>
      <c r="M11" s="86"/>
      <c r="N11" t="s">
        <v>396</v>
      </c>
      <c r="O11" t="s">
        <v>263</v>
      </c>
      <c r="Q11" s="2">
        <v>133720</v>
      </c>
      <c r="R11">
        <v>10</v>
      </c>
      <c r="S11" s="23">
        <f>Q11/R11</f>
        <v>13372</v>
      </c>
      <c r="U11" s="15" t="s">
        <v>64</v>
      </c>
      <c r="V11" t="s">
        <v>65</v>
      </c>
    </row>
    <row r="12" spans="1:27" ht="30" x14ac:dyDescent="0.25">
      <c r="A12" s="56"/>
      <c r="B12" s="70" t="s">
        <v>301</v>
      </c>
      <c r="C12" s="39">
        <f>C9*C8*C10*C7</f>
        <v>7182</v>
      </c>
      <c r="D12" s="27"/>
      <c r="F12" s="5"/>
      <c r="G12" s="30" t="s">
        <v>50</v>
      </c>
      <c r="I12" s="35">
        <v>1</v>
      </c>
      <c r="J12" s="24">
        <f>H12/I12</f>
        <v>0</v>
      </c>
      <c r="L12" s="10" t="s">
        <v>329</v>
      </c>
      <c r="M12" s="10">
        <v>29.8</v>
      </c>
      <c r="N12" t="s">
        <v>378</v>
      </c>
      <c r="O12" t="s">
        <v>263</v>
      </c>
      <c r="Q12" s="23">
        <f>12*'CNC lathe'!B4+6*'CNC lathe'!B5</f>
        <v>19200</v>
      </c>
      <c r="R12">
        <v>10</v>
      </c>
      <c r="S12" s="23">
        <f>Q12/R12</f>
        <v>1920</v>
      </c>
      <c r="U12" s="18"/>
      <c r="V12" t="s">
        <v>30</v>
      </c>
    </row>
    <row r="13" spans="1:27" x14ac:dyDescent="0.25">
      <c r="A13" s="60" t="s">
        <v>379</v>
      </c>
      <c r="B13" t="s">
        <v>197</v>
      </c>
      <c r="C13" s="23">
        <f>Energies!B6</f>
        <v>2843.9040000000005</v>
      </c>
      <c r="D13" s="23"/>
      <c r="F13" s="5"/>
      <c r="G13" s="40" t="s">
        <v>51</v>
      </c>
      <c r="I13" s="35">
        <v>1</v>
      </c>
      <c r="J13" s="24">
        <f>H13/I13</f>
        <v>0</v>
      </c>
      <c r="L13" s="10" t="s">
        <v>279</v>
      </c>
      <c r="M13" s="43">
        <f>C10</f>
        <v>0.75</v>
      </c>
      <c r="N13" t="s">
        <v>398</v>
      </c>
      <c r="O13" t="s">
        <v>263</v>
      </c>
      <c r="Q13" s="23">
        <f>'CNC lathe'!B6*30</f>
        <v>4800</v>
      </c>
      <c r="R13">
        <v>5</v>
      </c>
      <c r="S13" s="23">
        <f t="shared" ref="S13:S14" si="3">Q13/R13</f>
        <v>960</v>
      </c>
    </row>
    <row r="14" spans="1:27" x14ac:dyDescent="0.25">
      <c r="A14" s="61"/>
      <c r="B14" t="s">
        <v>198</v>
      </c>
      <c r="C14" s="32">
        <f>Energies!B7</f>
        <v>7.8299999999999995E-2</v>
      </c>
      <c r="D14" s="35"/>
      <c r="F14" s="5"/>
      <c r="G14" s="41" t="s">
        <v>333</v>
      </c>
      <c r="H14" s="23">
        <f>Energies!B6</f>
        <v>2843.9040000000005</v>
      </c>
      <c r="I14">
        <v>1</v>
      </c>
      <c r="J14" s="24">
        <f t="shared" si="0"/>
        <v>2843.9040000000005</v>
      </c>
      <c r="L14" s="10" t="s">
        <v>280</v>
      </c>
      <c r="M14" s="10">
        <v>5</v>
      </c>
      <c r="N14" t="s">
        <v>24</v>
      </c>
      <c r="O14" t="s">
        <v>263</v>
      </c>
      <c r="P14" t="s">
        <v>272</v>
      </c>
      <c r="Q14" s="2">
        <f>0.05*Q11</f>
        <v>6686</v>
      </c>
      <c r="R14">
        <v>1</v>
      </c>
      <c r="S14" s="23">
        <f t="shared" si="3"/>
        <v>6686</v>
      </c>
    </row>
    <row r="15" spans="1:27" x14ac:dyDescent="0.25">
      <c r="A15" s="61"/>
      <c r="B15" t="s">
        <v>76</v>
      </c>
      <c r="F15" s="5"/>
      <c r="G15" s="41" t="s">
        <v>334</v>
      </c>
      <c r="H15" s="2">
        <f>16*C8*C9*C14</f>
        <v>1999.4687999999999</v>
      </c>
      <c r="I15">
        <v>1</v>
      </c>
      <c r="J15" s="24">
        <f t="shared" si="0"/>
        <v>1999.4687999999999</v>
      </c>
      <c r="L15" s="10" t="s">
        <v>303</v>
      </c>
      <c r="M15" s="44">
        <f>1/10000</f>
        <v>1E-4</v>
      </c>
      <c r="N15" t="s">
        <v>21</v>
      </c>
      <c r="O15" t="s">
        <v>264</v>
      </c>
      <c r="P15" t="s">
        <v>330</v>
      </c>
      <c r="Q15" s="32">
        <f>M12*0.8*C14</f>
        <v>1.8666720000000001</v>
      </c>
    </row>
    <row r="16" spans="1:27" x14ac:dyDescent="0.25">
      <c r="A16" s="63" t="s">
        <v>380</v>
      </c>
      <c r="B16" t="s">
        <v>227</v>
      </c>
      <c r="C16" s="35">
        <v>1.12964</v>
      </c>
      <c r="F16" s="5"/>
      <c r="G16" s="40" t="s">
        <v>43</v>
      </c>
      <c r="I16">
        <v>1</v>
      </c>
      <c r="J16" s="24">
        <f t="shared" si="0"/>
        <v>0</v>
      </c>
      <c r="L16" s="10" t="s">
        <v>304</v>
      </c>
      <c r="M16" s="44">
        <f>M15*0.4</f>
        <v>4.0000000000000003E-5</v>
      </c>
      <c r="N16" t="s">
        <v>57</v>
      </c>
    </row>
    <row r="17" spans="1:19" x14ac:dyDescent="0.25">
      <c r="A17" s="63"/>
      <c r="B17" t="s">
        <v>228</v>
      </c>
      <c r="C17" s="27">
        <v>0.2</v>
      </c>
      <c r="D17" s="27"/>
      <c r="F17" s="5"/>
      <c r="G17" t="s">
        <v>46</v>
      </c>
      <c r="I17">
        <v>1</v>
      </c>
      <c r="J17" s="24">
        <f t="shared" si="0"/>
        <v>0</v>
      </c>
      <c r="L17" s="10" t="s">
        <v>390</v>
      </c>
      <c r="M17" s="10">
        <f>M15*0.3</f>
        <v>3.0000000000000001E-5</v>
      </c>
      <c r="N17" t="s">
        <v>267</v>
      </c>
      <c r="O17" t="s">
        <v>264</v>
      </c>
      <c r="P17" t="s">
        <v>330</v>
      </c>
      <c r="Q17" s="2">
        <v>8</v>
      </c>
    </row>
    <row r="18" spans="1:19" x14ac:dyDescent="0.25">
      <c r="A18" s="62"/>
      <c r="B18" t="s">
        <v>381</v>
      </c>
      <c r="C18" s="22">
        <v>0.2</v>
      </c>
      <c r="F18" s="6" t="s">
        <v>326</v>
      </c>
      <c r="G18" t="s">
        <v>181</v>
      </c>
      <c r="H18" s="23">
        <f>C6</f>
        <v>39809</v>
      </c>
      <c r="I18" s="35">
        <v>1</v>
      </c>
      <c r="J18" s="24">
        <f t="shared" si="0"/>
        <v>39809</v>
      </c>
      <c r="L18" s="10" t="s">
        <v>305</v>
      </c>
      <c r="M18" s="10">
        <v>10</v>
      </c>
      <c r="N18" t="s">
        <v>266</v>
      </c>
      <c r="O18" t="s">
        <v>264</v>
      </c>
      <c r="P18" t="s">
        <v>377</v>
      </c>
      <c r="Q18" s="23">
        <f>'CNC lathe'!F12</f>
        <v>88.025599999999997</v>
      </c>
      <c r="R18">
        <v>1</v>
      </c>
      <c r="S18" s="23">
        <f>R18*Q18</f>
        <v>88.025599999999997</v>
      </c>
    </row>
    <row r="19" spans="1:19" x14ac:dyDescent="0.25">
      <c r="F19" s="6"/>
      <c r="G19" t="s">
        <v>314</v>
      </c>
      <c r="H19" s="23">
        <f>C5*0.4</f>
        <v>27937.200000000001</v>
      </c>
      <c r="I19" s="35">
        <v>1</v>
      </c>
      <c r="J19" s="24">
        <f t="shared" si="0"/>
        <v>27937.200000000001</v>
      </c>
      <c r="L19" s="11" t="s">
        <v>22</v>
      </c>
      <c r="M19" s="11"/>
      <c r="N19" t="s">
        <v>23</v>
      </c>
    </row>
    <row r="20" spans="1:19" x14ac:dyDescent="0.25">
      <c r="F20" s="6"/>
      <c r="G20" t="s">
        <v>327</v>
      </c>
      <c r="H20" s="23">
        <f>'Manpower &amp; time'!G8</f>
        <v>24683.68</v>
      </c>
      <c r="I20" s="35">
        <v>1</v>
      </c>
      <c r="J20" s="24">
        <f t="shared" si="0"/>
        <v>24683.68</v>
      </c>
      <c r="L20" s="11"/>
      <c r="M20" s="11"/>
      <c r="N20" t="s">
        <v>20</v>
      </c>
    </row>
    <row r="21" spans="1:19" x14ac:dyDescent="0.25">
      <c r="F21" s="6"/>
      <c r="G21" t="s">
        <v>328</v>
      </c>
      <c r="H21" s="23">
        <f>'Manpower &amp; time'!B30</f>
        <v>13716.36</v>
      </c>
      <c r="I21" s="35">
        <v>1</v>
      </c>
      <c r="J21" s="24">
        <f t="shared" si="0"/>
        <v>13716.36</v>
      </c>
      <c r="L21" s="11"/>
      <c r="M21" s="11"/>
      <c r="N21" t="s">
        <v>25</v>
      </c>
    </row>
    <row r="22" spans="1:19" x14ac:dyDescent="0.25">
      <c r="F22" s="7" t="s">
        <v>47</v>
      </c>
      <c r="G22" t="s">
        <v>48</v>
      </c>
      <c r="H22" s="23">
        <f>IT!D11+IT!D12+IT!D13+4*IT!D15+IT!D16+3*IT!D17+IT!D18</f>
        <v>4796.88</v>
      </c>
      <c r="I22" s="35">
        <v>5</v>
      </c>
      <c r="J22" s="24">
        <f t="shared" si="0"/>
        <v>959.37599999999998</v>
      </c>
      <c r="L22" s="11"/>
      <c r="M22" s="11"/>
      <c r="N22" t="s">
        <v>24</v>
      </c>
    </row>
    <row r="23" spans="1:19" x14ac:dyDescent="0.25">
      <c r="F23" s="7"/>
      <c r="G23" t="s">
        <v>255</v>
      </c>
      <c r="H23" s="23">
        <f>IT!D5</f>
        <v>192.96</v>
      </c>
      <c r="I23" s="35">
        <v>5</v>
      </c>
      <c r="J23" s="24">
        <f t="shared" si="0"/>
        <v>38.591999999999999</v>
      </c>
      <c r="L23" s="11"/>
      <c r="M23" s="11"/>
      <c r="N23" t="s">
        <v>58</v>
      </c>
    </row>
    <row r="24" spans="1:19" x14ac:dyDescent="0.25">
      <c r="F24" s="7"/>
      <c r="G24" t="s">
        <v>256</v>
      </c>
      <c r="H24" s="23">
        <f>2*IT!D6+IT!D7+2*IT!D8+IT!D9</f>
        <v>277.54199999999997</v>
      </c>
      <c r="I24" s="35">
        <v>1</v>
      </c>
      <c r="J24" s="24">
        <f t="shared" si="0"/>
        <v>277.54199999999997</v>
      </c>
      <c r="L24" s="9" t="s">
        <v>26</v>
      </c>
      <c r="M24" s="9"/>
      <c r="N24" t="s">
        <v>294</v>
      </c>
      <c r="O24" t="s">
        <v>263</v>
      </c>
      <c r="Q24" s="23">
        <f>Welding!F2+Welding!F3</f>
        <v>5308.6</v>
      </c>
      <c r="R24">
        <v>10</v>
      </c>
      <c r="S24" s="23">
        <f>Q24/R24</f>
        <v>530.86</v>
      </c>
    </row>
    <row r="25" spans="1:19" x14ac:dyDescent="0.25">
      <c r="F25" s="7"/>
      <c r="G25" t="s">
        <v>229</v>
      </c>
      <c r="H25" s="23">
        <f>IT!D3*12*3</f>
        <v>316.8</v>
      </c>
      <c r="I25" s="35">
        <v>1</v>
      </c>
      <c r="J25" s="24">
        <f t="shared" si="0"/>
        <v>316.8</v>
      </c>
      <c r="L25" s="9"/>
      <c r="M25" s="9"/>
      <c r="N25" t="s">
        <v>53</v>
      </c>
      <c r="O25" t="s">
        <v>263</v>
      </c>
      <c r="Q25" s="23">
        <f>Welding!F4</f>
        <v>3859.6</v>
      </c>
      <c r="R25">
        <v>10</v>
      </c>
      <c r="S25" s="23">
        <f t="shared" ref="S25:S29" si="4">Q25/R25</f>
        <v>385.96</v>
      </c>
    </row>
    <row r="26" spans="1:19" x14ac:dyDescent="0.25">
      <c r="F26" s="7"/>
      <c r="G26" t="s">
        <v>230</v>
      </c>
      <c r="H26" s="23">
        <f>IT!D2*2</f>
        <v>796.80000000000007</v>
      </c>
      <c r="I26" s="35">
        <v>1</v>
      </c>
      <c r="J26" s="24">
        <f t="shared" si="0"/>
        <v>796.80000000000007</v>
      </c>
      <c r="L26" s="9"/>
      <c r="M26" s="9"/>
      <c r="N26" t="s">
        <v>299</v>
      </c>
      <c r="O26" t="s">
        <v>263</v>
      </c>
      <c r="Q26" s="23">
        <f>Welding!F6</f>
        <v>146</v>
      </c>
      <c r="R26">
        <v>5</v>
      </c>
      <c r="S26" s="23">
        <f t="shared" si="4"/>
        <v>29.2</v>
      </c>
    </row>
    <row r="27" spans="1:19" x14ac:dyDescent="0.25">
      <c r="F27" s="7"/>
      <c r="G27" t="s">
        <v>49</v>
      </c>
      <c r="H27" s="23">
        <f>12*IT!D20</f>
        <v>1224</v>
      </c>
      <c r="I27" s="35">
        <v>1</v>
      </c>
      <c r="J27" s="24">
        <f t="shared" si="0"/>
        <v>1224</v>
      </c>
      <c r="L27" s="9"/>
      <c r="M27" s="9"/>
      <c r="N27" t="s">
        <v>34</v>
      </c>
      <c r="O27" t="s">
        <v>263</v>
      </c>
      <c r="Q27" s="23">
        <f>Welding!F6+Welding!F7</f>
        <v>196</v>
      </c>
      <c r="R27">
        <v>2</v>
      </c>
      <c r="S27" s="23">
        <f t="shared" si="4"/>
        <v>98</v>
      </c>
    </row>
    <row r="28" spans="1:19" x14ac:dyDescent="0.25">
      <c r="F28" s="7"/>
      <c r="G28" t="s">
        <v>235</v>
      </c>
      <c r="H28" s="23">
        <f>IT!D23+IT!D22</f>
        <v>381</v>
      </c>
      <c r="I28" s="35">
        <v>5</v>
      </c>
      <c r="J28" s="24">
        <f t="shared" si="0"/>
        <v>76.2</v>
      </c>
      <c r="L28" s="9"/>
      <c r="M28" s="9"/>
      <c r="N28" t="s">
        <v>284</v>
      </c>
      <c r="O28" t="s">
        <v>263</v>
      </c>
      <c r="Q28" s="23">
        <f>Welding!F5</f>
        <v>8579</v>
      </c>
      <c r="R28">
        <v>10</v>
      </c>
      <c r="S28" s="23">
        <f t="shared" si="4"/>
        <v>857.9</v>
      </c>
    </row>
    <row r="29" spans="1:19" x14ac:dyDescent="0.25">
      <c r="F29" s="4" t="s">
        <v>385</v>
      </c>
      <c r="I29" s="35">
        <v>1</v>
      </c>
      <c r="J29" s="24">
        <f t="shared" si="0"/>
        <v>0</v>
      </c>
      <c r="L29" s="9"/>
      <c r="M29" s="9"/>
      <c r="N29" t="s">
        <v>24</v>
      </c>
      <c r="O29" t="s">
        <v>263</v>
      </c>
      <c r="P29" t="s">
        <v>298</v>
      </c>
      <c r="Q29" s="23">
        <f>0.03*(Q24+Q25)</f>
        <v>275.04599999999999</v>
      </c>
      <c r="R29">
        <v>1</v>
      </c>
      <c r="S29" s="23">
        <f t="shared" si="4"/>
        <v>275.04599999999999</v>
      </c>
    </row>
    <row r="30" spans="1:19" x14ac:dyDescent="0.25">
      <c r="F30" s="4"/>
      <c r="G30" t="s">
        <v>52</v>
      </c>
      <c r="H30" s="46">
        <v>100</v>
      </c>
      <c r="I30" s="35">
        <v>1</v>
      </c>
      <c r="J30" s="24">
        <f t="shared" si="0"/>
        <v>100</v>
      </c>
      <c r="L30" s="9"/>
      <c r="M30" s="9"/>
      <c r="N30" t="s">
        <v>21</v>
      </c>
      <c r="O30" t="s">
        <v>264</v>
      </c>
      <c r="P30" t="s">
        <v>269</v>
      </c>
    </row>
    <row r="31" spans="1:19" x14ac:dyDescent="0.25">
      <c r="F31" s="4"/>
      <c r="G31" t="s">
        <v>384</v>
      </c>
      <c r="H31" s="23">
        <f>Office!D2*2+Office!D3*2+Office!D4*2+Office!D5*2+Office!D6+Office!D7+Office!D8*10</f>
        <v>10550</v>
      </c>
      <c r="I31">
        <v>10</v>
      </c>
      <c r="J31" s="24">
        <f>H31/I31</f>
        <v>1055</v>
      </c>
      <c r="L31" s="19"/>
      <c r="M31" s="19"/>
      <c r="N31" t="s">
        <v>35</v>
      </c>
      <c r="O31" t="s">
        <v>264</v>
      </c>
      <c r="P31" t="s">
        <v>285</v>
      </c>
    </row>
    <row r="32" spans="1:19" x14ac:dyDescent="0.25">
      <c r="F32" s="4"/>
      <c r="G32" s="17" t="s">
        <v>63</v>
      </c>
      <c r="I32" s="35">
        <v>10</v>
      </c>
      <c r="J32" s="24">
        <f t="shared" si="0"/>
        <v>0</v>
      </c>
      <c r="L32" s="20"/>
      <c r="M32" s="20"/>
      <c r="N32" t="s">
        <v>286</v>
      </c>
      <c r="O32" t="s">
        <v>264</v>
      </c>
      <c r="P32" t="s">
        <v>271</v>
      </c>
    </row>
    <row r="33" spans="6:19" x14ac:dyDescent="0.25">
      <c r="F33" s="5" t="s">
        <v>54</v>
      </c>
      <c r="G33" t="s">
        <v>55</v>
      </c>
      <c r="H33" s="23">
        <f>'Tooling and small machinery'!F3</f>
        <v>12388.902659254276</v>
      </c>
      <c r="I33">
        <v>10</v>
      </c>
      <c r="J33" s="24">
        <f t="shared" si="0"/>
        <v>1238.8902659254277</v>
      </c>
    </row>
    <row r="34" spans="6:19" ht="15.75" thickBot="1" x14ac:dyDescent="0.3">
      <c r="F34" s="5"/>
      <c r="G34" t="s">
        <v>370</v>
      </c>
      <c r="H34" s="23">
        <f>'Tooling and small machinery'!F6*3+'Tooling and small machinery'!F7*3</f>
        <v>8137.4519999999993</v>
      </c>
      <c r="I34">
        <v>10</v>
      </c>
      <c r="J34" s="24">
        <f t="shared" si="0"/>
        <v>813.74519999999995</v>
      </c>
    </row>
    <row r="35" spans="6:19" ht="15.75" thickBot="1" x14ac:dyDescent="0.3">
      <c r="F35" s="5"/>
      <c r="G35" t="s">
        <v>59</v>
      </c>
      <c r="H35" s="23">
        <f>Office!D11*6+Office!D12*3</f>
        <v>7066.95</v>
      </c>
      <c r="I35">
        <v>10</v>
      </c>
      <c r="J35" s="24">
        <f t="shared" si="0"/>
        <v>706.69499999999994</v>
      </c>
      <c r="L35" s="114" t="s">
        <v>382</v>
      </c>
      <c r="M35" s="115"/>
      <c r="N35" s="115"/>
      <c r="O35" s="115"/>
      <c r="P35" s="115"/>
      <c r="Q35" s="115"/>
      <c r="R35" s="115"/>
      <c r="S35" s="116"/>
    </row>
    <row r="36" spans="6:19" x14ac:dyDescent="0.25">
      <c r="F36" s="5"/>
      <c r="G36" s="41" t="s">
        <v>44</v>
      </c>
      <c r="I36">
        <v>1</v>
      </c>
      <c r="J36" s="24">
        <f>H36/I36</f>
        <v>0</v>
      </c>
      <c r="L36" s="106" t="s">
        <v>15</v>
      </c>
      <c r="M36" s="107"/>
      <c r="N36" s="90" t="s">
        <v>351</v>
      </c>
      <c r="O36" s="90"/>
      <c r="P36" s="90"/>
      <c r="Q36" s="90"/>
      <c r="R36" s="91"/>
      <c r="S36" s="92">
        <f>SUM(S3:S6)+S10</f>
        <v>17591.025600000001</v>
      </c>
    </row>
    <row r="37" spans="6:19" ht="15.75" thickBot="1" x14ac:dyDescent="0.3">
      <c r="F37" s="71"/>
      <c r="G37" s="41"/>
      <c r="J37" s="24"/>
      <c r="L37" s="108"/>
      <c r="M37" s="109"/>
      <c r="N37" s="95" t="s">
        <v>352</v>
      </c>
      <c r="O37" s="95"/>
      <c r="P37" s="95"/>
      <c r="Q37" s="95"/>
      <c r="R37" s="82"/>
      <c r="S37" s="96">
        <f>S36/(M5*C8*C9)+J40</f>
        <v>27.418692485811075</v>
      </c>
    </row>
    <row r="38" spans="6:19" ht="15.75" thickBot="1" x14ac:dyDescent="0.3">
      <c r="F38" s="72" t="s">
        <v>382</v>
      </c>
      <c r="G38" s="73"/>
      <c r="H38" s="73"/>
      <c r="I38" s="73"/>
      <c r="J38" s="74"/>
      <c r="L38" s="110"/>
      <c r="M38" s="111"/>
      <c r="N38" s="95" t="s">
        <v>353</v>
      </c>
      <c r="O38" s="95"/>
      <c r="P38" s="95"/>
      <c r="Q38" s="95"/>
      <c r="R38" s="82"/>
      <c r="S38" s="96">
        <f>S37+Q9+Q7</f>
        <v>48.821828485811075</v>
      </c>
    </row>
    <row r="39" spans="6:19" x14ac:dyDescent="0.25">
      <c r="F39" s="75" t="s">
        <v>386</v>
      </c>
      <c r="G39" s="66" t="s">
        <v>383</v>
      </c>
      <c r="H39" s="66"/>
      <c r="I39" s="66"/>
      <c r="J39" s="64">
        <f>SUM(J3:J35)</f>
        <v>124879.02430523002</v>
      </c>
      <c r="L39" s="110"/>
      <c r="M39" s="111"/>
      <c r="N39" s="95"/>
      <c r="O39" s="95"/>
      <c r="P39" s="95"/>
      <c r="Q39" s="95"/>
      <c r="R39" s="82" t="s">
        <v>394</v>
      </c>
      <c r="S39" s="78" t="s">
        <v>395</v>
      </c>
    </row>
    <row r="40" spans="6:19" ht="15.75" thickBot="1" x14ac:dyDescent="0.3">
      <c r="F40" s="79"/>
      <c r="G40" s="80" t="s">
        <v>342</v>
      </c>
      <c r="H40" s="80"/>
      <c r="I40" s="80"/>
      <c r="J40" s="81">
        <f>J39/SUM('Manpower &amp; time'!B26:I26)</f>
        <v>12.722764666262202</v>
      </c>
      <c r="L40" s="110"/>
      <c r="M40" s="111"/>
      <c r="N40" s="95" t="s">
        <v>338</v>
      </c>
      <c r="O40" s="95"/>
      <c r="P40" s="95"/>
      <c r="Q40" s="95"/>
      <c r="R40" s="99">
        <f>('Manpower &amp; time'!H5+S38)*M7/60</f>
        <v>1.036921869918071E-4</v>
      </c>
      <c r="S40" s="100">
        <f>R40*(1+C$18)</f>
        <v>1.244306243901685E-4</v>
      </c>
    </row>
    <row r="41" spans="6:19" x14ac:dyDescent="0.25">
      <c r="F41" s="76" t="s">
        <v>387</v>
      </c>
      <c r="G41" s="66" t="s">
        <v>388</v>
      </c>
      <c r="H41" s="66"/>
      <c r="I41" s="66"/>
      <c r="J41" s="83">
        <f>'Manpower &amp; time'!H5</f>
        <v>13.393483709273186</v>
      </c>
      <c r="L41" s="110"/>
      <c r="M41" s="111"/>
      <c r="N41" s="95" t="s">
        <v>341</v>
      </c>
      <c r="O41" s="95"/>
      <c r="P41" s="95"/>
      <c r="Q41" s="95"/>
      <c r="R41" s="99">
        <f>('Manpower &amp; time'!H5)*M8/60</f>
        <v>8.9289891395154577E-6</v>
      </c>
      <c r="S41" s="100">
        <f t="shared" ref="S41:S47" si="5">R41*(1+C$18)</f>
        <v>1.071478696741855E-5</v>
      </c>
    </row>
    <row r="42" spans="6:19" x14ac:dyDescent="0.25">
      <c r="F42" s="77"/>
      <c r="G42" s="80" t="s">
        <v>402</v>
      </c>
      <c r="H42" s="80"/>
      <c r="I42" s="80"/>
      <c r="J42" s="84">
        <f>'Manpower &amp; time'!H6</f>
        <v>24.942982456140353</v>
      </c>
      <c r="L42" s="110"/>
      <c r="M42" s="111"/>
      <c r="N42" s="95" t="s">
        <v>339</v>
      </c>
      <c r="O42" s="95"/>
      <c r="P42" s="95"/>
      <c r="Q42" s="95"/>
      <c r="R42" s="99">
        <f>('Manpower &amp; time'!H6)*M8/60</f>
        <v>1.6628654970760235E-5</v>
      </c>
      <c r="S42" s="100">
        <f t="shared" si="5"/>
        <v>1.9954385964912282E-5</v>
      </c>
    </row>
    <row r="43" spans="6:19" ht="15.75" thickBot="1" x14ac:dyDescent="0.3">
      <c r="F43" s="65"/>
      <c r="G43" s="67" t="s">
        <v>389</v>
      </c>
      <c r="H43" s="67"/>
      <c r="I43" s="67"/>
      <c r="J43" s="85">
        <f>'Manpower &amp; time'!H7</f>
        <v>43.761278195488728</v>
      </c>
      <c r="L43" s="110"/>
      <c r="M43" s="111"/>
      <c r="N43" s="95" t="s">
        <v>340</v>
      </c>
      <c r="O43" s="95"/>
      <c r="P43" s="95"/>
      <c r="Q43" s="95"/>
      <c r="R43" s="99">
        <f>('Manpower &amp; time'!H7)*M8/60</f>
        <v>2.9174185463659156E-5</v>
      </c>
      <c r="S43" s="100">
        <f t="shared" si="5"/>
        <v>3.5009022556390983E-5</v>
      </c>
    </row>
    <row r="44" spans="6:19" x14ac:dyDescent="0.25">
      <c r="J44" s="59"/>
      <c r="L44" s="110"/>
      <c r="M44" s="111"/>
      <c r="N44" s="95" t="s">
        <v>391</v>
      </c>
      <c r="O44" s="95"/>
      <c r="P44" s="95"/>
      <c r="Q44" s="95"/>
      <c r="R44" s="99">
        <f>('Manpower &amp; time'!H5)*M$9/60</f>
        <v>6.6967418546365929E-6</v>
      </c>
      <c r="S44" s="100">
        <f t="shared" si="5"/>
        <v>8.0360902255639118E-6</v>
      </c>
    </row>
    <row r="45" spans="6:19" x14ac:dyDescent="0.25">
      <c r="J45" s="59"/>
      <c r="L45" s="110"/>
      <c r="M45" s="111"/>
      <c r="N45" s="95" t="s">
        <v>392</v>
      </c>
      <c r="O45" s="95"/>
      <c r="P45" s="95"/>
      <c r="Q45" s="95"/>
      <c r="R45" s="99">
        <f>('Manpower &amp; time'!H6)*M$9/60</f>
        <v>1.2471491228070177E-5</v>
      </c>
      <c r="S45" s="100">
        <f t="shared" si="5"/>
        <v>1.4965789473684211E-5</v>
      </c>
    </row>
    <row r="46" spans="6:19" x14ac:dyDescent="0.25">
      <c r="J46" s="59"/>
      <c r="L46" s="110"/>
      <c r="M46" s="111"/>
      <c r="N46" s="95" t="s">
        <v>393</v>
      </c>
      <c r="O46" s="95"/>
      <c r="P46" s="95"/>
      <c r="Q46" s="95"/>
      <c r="R46" s="99">
        <f>('Manpower &amp; time'!H7)*M$9/60</f>
        <v>2.1880639097744365E-5</v>
      </c>
      <c r="S46" s="100">
        <f t="shared" si="5"/>
        <v>2.6256766917293239E-5</v>
      </c>
    </row>
    <row r="47" spans="6:19" ht="15.75" thickBot="1" x14ac:dyDescent="0.3">
      <c r="J47" s="59"/>
      <c r="L47" s="112"/>
      <c r="M47" s="113"/>
      <c r="N47" s="103" t="s">
        <v>350</v>
      </c>
      <c r="O47" s="103"/>
      <c r="P47" s="103"/>
      <c r="Q47" s="103"/>
      <c r="R47" s="104">
        <f>('Manpower &amp; time'!H5+S37)*(M10+M6)/60</f>
        <v>13.604058731694753</v>
      </c>
      <c r="S47" s="105">
        <f t="shared" si="5"/>
        <v>16.324870478033702</v>
      </c>
    </row>
    <row r="48" spans="6:19" x14ac:dyDescent="0.25">
      <c r="J48" s="59"/>
      <c r="L48" s="88" t="s">
        <v>19</v>
      </c>
      <c r="M48" s="89"/>
      <c r="N48" s="90" t="s">
        <v>351</v>
      </c>
      <c r="O48" s="90"/>
      <c r="P48" s="90"/>
      <c r="Q48" s="90"/>
      <c r="R48" s="91"/>
      <c r="S48" s="92">
        <f>SUM(S11:S14)+S18</f>
        <v>23026.025600000001</v>
      </c>
    </row>
    <row r="49" spans="6:19" x14ac:dyDescent="0.25">
      <c r="L49" s="93"/>
      <c r="M49" s="94"/>
      <c r="N49" s="95" t="s">
        <v>352</v>
      </c>
      <c r="O49" s="95"/>
      <c r="P49" s="95"/>
      <c r="Q49" s="95"/>
      <c r="R49" s="82"/>
      <c r="S49" s="96">
        <f>S48/(M13*C8*C9)+J40</f>
        <v>31.959210447381672</v>
      </c>
    </row>
    <row r="50" spans="6:19" x14ac:dyDescent="0.25">
      <c r="J50" s="28"/>
      <c r="L50" s="97"/>
      <c r="M50" s="98"/>
      <c r="N50" s="95" t="s">
        <v>353</v>
      </c>
      <c r="O50" s="95"/>
      <c r="P50" s="95"/>
      <c r="Q50" s="95"/>
      <c r="R50" s="82"/>
      <c r="S50" s="96">
        <f>S49+Q17+Q15</f>
        <v>41.825882447381673</v>
      </c>
    </row>
    <row r="51" spans="6:19" x14ac:dyDescent="0.25">
      <c r="J51" s="27"/>
      <c r="L51" s="97"/>
      <c r="M51" s="98"/>
      <c r="N51" s="95"/>
      <c r="O51" s="95"/>
      <c r="P51" s="95"/>
      <c r="Q51" s="95"/>
      <c r="R51" s="82" t="s">
        <v>394</v>
      </c>
      <c r="S51" s="78" t="s">
        <v>395</v>
      </c>
    </row>
    <row r="52" spans="6:19" x14ac:dyDescent="0.25">
      <c r="J52" s="27"/>
      <c r="L52" s="97"/>
      <c r="M52" s="98"/>
      <c r="N52" s="95" t="s">
        <v>338</v>
      </c>
      <c r="O52" s="95"/>
      <c r="P52" s="95"/>
      <c r="Q52" s="95"/>
      <c r="R52" s="99">
        <f>(J41+S50)*M15/60</f>
        <v>9.2032276927758112E-5</v>
      </c>
      <c r="S52" s="100">
        <f>R52*(1+C$18)</f>
        <v>1.1043873231330973E-4</v>
      </c>
    </row>
    <row r="53" spans="6:19" x14ac:dyDescent="0.25">
      <c r="J53" s="27"/>
      <c r="L53" s="97"/>
      <c r="M53" s="98"/>
      <c r="N53" s="95" t="s">
        <v>341</v>
      </c>
      <c r="O53" s="95"/>
      <c r="P53" s="95"/>
      <c r="Q53" s="95"/>
      <c r="R53" s="99">
        <f>(J41)*M$16/60</f>
        <v>8.9289891395154577E-6</v>
      </c>
      <c r="S53" s="100">
        <f t="shared" ref="S53:S59" si="6">R53*(1+C$18)</f>
        <v>1.071478696741855E-5</v>
      </c>
    </row>
    <row r="54" spans="6:19" x14ac:dyDescent="0.25">
      <c r="J54" s="23"/>
      <c r="L54" s="97"/>
      <c r="M54" s="98"/>
      <c r="N54" s="95" t="s">
        <v>339</v>
      </c>
      <c r="O54" s="95"/>
      <c r="P54" s="95"/>
      <c r="Q54" s="95"/>
      <c r="R54" s="99">
        <f t="shared" ref="R54:R55" si="7">(J42)*M$16/60</f>
        <v>1.6628654970760235E-5</v>
      </c>
      <c r="S54" s="100">
        <f t="shared" si="6"/>
        <v>1.9954385964912282E-5</v>
      </c>
    </row>
    <row r="55" spans="6:19" x14ac:dyDescent="0.25">
      <c r="L55" s="97"/>
      <c r="M55" s="98"/>
      <c r="N55" s="95" t="s">
        <v>340</v>
      </c>
      <c r="O55" s="95"/>
      <c r="P55" s="95"/>
      <c r="Q55" s="95"/>
      <c r="R55" s="99">
        <f t="shared" si="7"/>
        <v>2.9174185463659156E-5</v>
      </c>
      <c r="S55" s="100">
        <f t="shared" si="6"/>
        <v>3.5009022556390983E-5</v>
      </c>
    </row>
    <row r="56" spans="6:19" x14ac:dyDescent="0.25">
      <c r="L56" s="97"/>
      <c r="M56" s="98"/>
      <c r="N56" s="95" t="s">
        <v>391</v>
      </c>
      <c r="O56" s="95"/>
      <c r="P56" s="95"/>
      <c r="Q56" s="95"/>
      <c r="R56" s="99">
        <f>(J41)*M$17/60</f>
        <v>6.6967418546365929E-6</v>
      </c>
      <c r="S56" s="100">
        <f t="shared" si="6"/>
        <v>8.0360902255639118E-6</v>
      </c>
    </row>
    <row r="57" spans="6:19" x14ac:dyDescent="0.25">
      <c r="L57" s="97"/>
      <c r="M57" s="98"/>
      <c r="N57" s="95" t="s">
        <v>392</v>
      </c>
      <c r="O57" s="95"/>
      <c r="P57" s="95"/>
      <c r="Q57" s="95"/>
      <c r="R57" s="99">
        <f t="shared" ref="R57:R58" si="8">(J42)*M$17/60</f>
        <v>1.2471491228070177E-5</v>
      </c>
      <c r="S57" s="100">
        <f t="shared" si="6"/>
        <v>1.4965789473684211E-5</v>
      </c>
    </row>
    <row r="58" spans="6:19" x14ac:dyDescent="0.25">
      <c r="J58" s="27"/>
      <c r="L58" s="97"/>
      <c r="M58" s="98"/>
      <c r="N58" s="95" t="s">
        <v>393</v>
      </c>
      <c r="O58" s="95"/>
      <c r="P58" s="95"/>
      <c r="Q58" s="95"/>
      <c r="R58" s="99">
        <f t="shared" si="8"/>
        <v>2.1880639097744365E-5</v>
      </c>
      <c r="S58" s="100">
        <f t="shared" si="6"/>
        <v>2.6256766917293239E-5</v>
      </c>
    </row>
    <row r="59" spans="6:19" ht="15.75" thickBot="1" x14ac:dyDescent="0.3">
      <c r="L59" s="101"/>
      <c r="M59" s="102"/>
      <c r="N59" s="103" t="s">
        <v>350</v>
      </c>
      <c r="O59" s="103"/>
      <c r="P59" s="103"/>
      <c r="Q59" s="103"/>
      <c r="R59" s="104">
        <f>(J41+S49)*(M14+M18)/60</f>
        <v>11.338173539163714</v>
      </c>
      <c r="S59" s="105">
        <f t="shared" si="6"/>
        <v>13.605808246996457</v>
      </c>
    </row>
    <row r="60" spans="6:19" x14ac:dyDescent="0.25">
      <c r="F60" s="41"/>
    </row>
  </sheetData>
  <mergeCells count="40">
    <mergeCell ref="N58:Q58"/>
    <mergeCell ref="N59:Q59"/>
    <mergeCell ref="L48:M48"/>
    <mergeCell ref="N53:Q53"/>
    <mergeCell ref="N54:Q54"/>
    <mergeCell ref="N55:Q55"/>
    <mergeCell ref="N56:Q56"/>
    <mergeCell ref="N57:Q57"/>
    <mergeCell ref="N48:Q48"/>
    <mergeCell ref="N49:Q49"/>
    <mergeCell ref="N50:Q50"/>
    <mergeCell ref="N51:Q51"/>
    <mergeCell ref="N52:Q52"/>
    <mergeCell ref="N36:Q36"/>
    <mergeCell ref="N37:Q37"/>
    <mergeCell ref="N38:Q38"/>
    <mergeCell ref="N39:Q39"/>
    <mergeCell ref="N40:Q40"/>
    <mergeCell ref="N42:Q42"/>
    <mergeCell ref="N43:Q43"/>
    <mergeCell ref="N44:Q44"/>
    <mergeCell ref="N45:Q45"/>
    <mergeCell ref="N46:Q46"/>
    <mergeCell ref="N47:Q47"/>
    <mergeCell ref="N41:Q41"/>
    <mergeCell ref="A1:C1"/>
    <mergeCell ref="L36:M36"/>
    <mergeCell ref="F38:J38"/>
    <mergeCell ref="G40:I40"/>
    <mergeCell ref="G39:I39"/>
    <mergeCell ref="G41:I41"/>
    <mergeCell ref="G42:I42"/>
    <mergeCell ref="G43:I43"/>
    <mergeCell ref="L35:S35"/>
    <mergeCell ref="L11:M11"/>
    <mergeCell ref="L1:Q1"/>
    <mergeCell ref="U1:W1"/>
    <mergeCell ref="F1:H1"/>
    <mergeCell ref="Y1:AA1"/>
    <mergeCell ref="L3:M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39997558519241921"/>
  </sheetPr>
  <dimension ref="A1:K7"/>
  <sheetViews>
    <sheetView workbookViewId="0">
      <selection activeCell="F4" sqref="F4"/>
    </sheetView>
  </sheetViews>
  <sheetFormatPr baseColWidth="10" defaultRowHeight="15" x14ac:dyDescent="0.25"/>
  <cols>
    <col min="2" max="2" width="13.140625" bestFit="1" customWidth="1"/>
  </cols>
  <sheetData>
    <row r="1" spans="1:11" x14ac:dyDescent="0.25">
      <c r="A1" s="21" t="s">
        <v>13</v>
      </c>
    </row>
    <row r="3" spans="1:11" x14ac:dyDescent="0.25">
      <c r="A3" t="s">
        <v>120</v>
      </c>
    </row>
    <row r="4" spans="1:11" x14ac:dyDescent="0.25">
      <c r="A4" t="s">
        <v>113</v>
      </c>
      <c r="B4" t="s">
        <v>114</v>
      </c>
      <c r="C4" t="s">
        <v>122</v>
      </c>
      <c r="D4" t="s">
        <v>121</v>
      </c>
      <c r="E4" t="s">
        <v>123</v>
      </c>
      <c r="F4" s="21" t="s">
        <v>118</v>
      </c>
      <c r="K4" t="s">
        <v>124</v>
      </c>
    </row>
    <row r="6" spans="1:11" x14ac:dyDescent="0.25">
      <c r="A6" t="s">
        <v>119</v>
      </c>
    </row>
    <row r="7" spans="1:11" x14ac:dyDescent="0.25">
      <c r="A7" t="s">
        <v>113</v>
      </c>
      <c r="B7" t="s">
        <v>116</v>
      </c>
      <c r="D7" t="s">
        <v>115</v>
      </c>
      <c r="F7" t="s">
        <v>117</v>
      </c>
    </row>
  </sheetData>
  <hyperlinks>
    <hyperlink ref="A1" r:id="rId1" xr:uid="{00000000-0004-0000-0A00-000000000000}"/>
    <hyperlink ref="F4" r:id="rId2" xr:uid="{284B0583-049F-4389-BE7D-FA4F2FEAC644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79998168889431442"/>
  </sheetPr>
  <dimension ref="A1:G9"/>
  <sheetViews>
    <sheetView workbookViewId="0">
      <selection activeCell="E33" sqref="E33"/>
    </sheetView>
  </sheetViews>
  <sheetFormatPr baseColWidth="10" defaultRowHeight="15" x14ac:dyDescent="0.25"/>
  <cols>
    <col min="1" max="1" width="56" bestFit="1" customWidth="1"/>
    <col min="2" max="2" width="19" customWidth="1"/>
  </cols>
  <sheetData>
    <row r="1" spans="1:7" x14ac:dyDescent="0.25">
      <c r="A1" t="s">
        <v>28</v>
      </c>
      <c r="B1" t="s">
        <v>275</v>
      </c>
      <c r="C1" t="s">
        <v>274</v>
      </c>
      <c r="D1" t="s">
        <v>273</v>
      </c>
      <c r="E1" t="s">
        <v>241</v>
      </c>
      <c r="F1" t="s">
        <v>242</v>
      </c>
      <c r="G1" t="s">
        <v>252</v>
      </c>
    </row>
    <row r="2" spans="1:7" x14ac:dyDescent="0.25">
      <c r="A2" t="s">
        <v>137</v>
      </c>
      <c r="F2" s="2">
        <v>4386</v>
      </c>
      <c r="G2" t="s">
        <v>138</v>
      </c>
    </row>
    <row r="3" spans="1:7" x14ac:dyDescent="0.25">
      <c r="A3" t="s">
        <v>295</v>
      </c>
      <c r="F3" s="2">
        <v>922.6</v>
      </c>
      <c r="G3" t="s">
        <v>296</v>
      </c>
    </row>
    <row r="4" spans="1:7" x14ac:dyDescent="0.25">
      <c r="A4" t="s">
        <v>53</v>
      </c>
      <c r="F4" s="2">
        <v>3859.6</v>
      </c>
      <c r="G4" t="s">
        <v>297</v>
      </c>
    </row>
    <row r="5" spans="1:7" x14ac:dyDescent="0.25">
      <c r="A5" t="s">
        <v>220</v>
      </c>
      <c r="F5" s="2">
        <v>8579</v>
      </c>
      <c r="G5" t="s">
        <v>221</v>
      </c>
    </row>
    <row r="6" spans="1:7" x14ac:dyDescent="0.25">
      <c r="A6" t="s">
        <v>142</v>
      </c>
      <c r="F6" s="2">
        <v>146</v>
      </c>
      <c r="G6" t="s">
        <v>141</v>
      </c>
    </row>
    <row r="7" spans="1:7" x14ac:dyDescent="0.25">
      <c r="A7" t="s">
        <v>144</v>
      </c>
      <c r="F7" s="2">
        <v>50</v>
      </c>
      <c r="G7" t="s">
        <v>143</v>
      </c>
    </row>
    <row r="8" spans="1:7" x14ac:dyDescent="0.25">
      <c r="F8" s="2"/>
    </row>
    <row r="9" spans="1:7" x14ac:dyDescent="0.25">
      <c r="A9" t="s">
        <v>146</v>
      </c>
      <c r="F9" s="2"/>
      <c r="G9" t="s">
        <v>145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40"/>
  <sheetViews>
    <sheetView topLeftCell="A13" workbookViewId="0">
      <selection activeCell="M40" sqref="M40"/>
    </sheetView>
  </sheetViews>
  <sheetFormatPr baseColWidth="10" defaultRowHeight="15" x14ac:dyDescent="0.25"/>
  <cols>
    <col min="1" max="1" width="14.7109375" bestFit="1" customWidth="1"/>
    <col min="2" max="2" width="12.5703125" bestFit="1" customWidth="1"/>
    <col min="3" max="3" width="14.28515625" bestFit="1" customWidth="1"/>
    <col min="5" max="5" width="23.85546875" bestFit="1" customWidth="1"/>
    <col min="13" max="13" width="13.5703125" customWidth="1"/>
    <col min="14" max="14" width="15.28515625" customWidth="1"/>
    <col min="15" max="15" width="12.5703125" customWidth="1"/>
    <col min="17" max="17" width="21.28515625" customWidth="1"/>
    <col min="19" max="19" width="15" customWidth="1"/>
    <col min="20" max="20" width="13.85546875" customWidth="1"/>
    <col min="21" max="22" width="14.42578125" customWidth="1"/>
    <col min="23" max="23" width="22.28515625" customWidth="1"/>
  </cols>
  <sheetData>
    <row r="1" spans="1:23" x14ac:dyDescent="0.25">
      <c r="A1" s="21" t="s">
        <v>5</v>
      </c>
      <c r="S1" s="21" t="s">
        <v>373</v>
      </c>
    </row>
    <row r="2" spans="1:23" x14ac:dyDescent="0.25">
      <c r="A2" t="s">
        <v>0</v>
      </c>
      <c r="G2" t="s">
        <v>9</v>
      </c>
      <c r="M2" t="s">
        <v>6</v>
      </c>
      <c r="S2" s="49">
        <v>5754</v>
      </c>
    </row>
    <row r="3" spans="1:23" x14ac:dyDescent="0.25">
      <c r="A3" t="s">
        <v>4</v>
      </c>
      <c r="B3" t="s">
        <v>1</v>
      </c>
      <c r="C3" t="s">
        <v>2</v>
      </c>
      <c r="D3" t="s">
        <v>7</v>
      </c>
      <c r="E3" t="s">
        <v>3</v>
      </c>
      <c r="G3" t="s">
        <v>10</v>
      </c>
      <c r="H3" t="s">
        <v>11</v>
      </c>
      <c r="I3" t="s">
        <v>7</v>
      </c>
      <c r="J3" t="s">
        <v>3</v>
      </c>
      <c r="M3" t="s">
        <v>4</v>
      </c>
      <c r="N3" t="s">
        <v>1</v>
      </c>
      <c r="O3" t="s">
        <v>2</v>
      </c>
      <c r="P3" t="s">
        <v>7</v>
      </c>
      <c r="Q3" t="s">
        <v>3</v>
      </c>
      <c r="R3" t="s">
        <v>371</v>
      </c>
      <c r="S3" t="s">
        <v>4</v>
      </c>
      <c r="T3" t="s">
        <v>1</v>
      </c>
      <c r="U3" t="s">
        <v>372</v>
      </c>
      <c r="V3" t="s">
        <v>7</v>
      </c>
      <c r="W3" t="s">
        <v>3</v>
      </c>
    </row>
    <row r="4" spans="1:23" x14ac:dyDescent="0.25">
      <c r="A4">
        <v>10</v>
      </c>
      <c r="B4">
        <v>100</v>
      </c>
      <c r="C4">
        <v>500</v>
      </c>
      <c r="D4" s="2">
        <v>19.79</v>
      </c>
      <c r="E4" s="1">
        <f>D4/(A4*B4*C4)</f>
        <v>3.9579999999999997E-5</v>
      </c>
      <c r="G4">
        <v>10</v>
      </c>
      <c r="H4">
        <v>500</v>
      </c>
      <c r="I4" s="2">
        <v>5.14</v>
      </c>
      <c r="J4" s="1">
        <f>I4/(PI()*G4^2*H4)</f>
        <v>3.2722256299693677E-5</v>
      </c>
      <c r="M4">
        <v>40</v>
      </c>
      <c r="N4">
        <v>40</v>
      </c>
      <c r="O4">
        <v>80</v>
      </c>
      <c r="P4" s="2">
        <v>5.2</v>
      </c>
      <c r="Q4" s="1">
        <f>P4/(M4*N4*O4)</f>
        <v>4.0624999999999998E-5</v>
      </c>
      <c r="S4">
        <v>6</v>
      </c>
      <c r="T4">
        <v>1000</v>
      </c>
      <c r="U4">
        <v>1000</v>
      </c>
      <c r="V4" s="2">
        <v>285.88</v>
      </c>
      <c r="W4" s="1">
        <f>V4/(S4*T4*U4)</f>
        <v>4.7646666666666666E-5</v>
      </c>
    </row>
    <row r="5" spans="1:23" x14ac:dyDescent="0.25">
      <c r="A5">
        <v>10</v>
      </c>
      <c r="B5">
        <v>150</v>
      </c>
      <c r="C5">
        <v>500</v>
      </c>
      <c r="D5" s="2">
        <v>31.49</v>
      </c>
      <c r="E5" s="1">
        <f t="shared" ref="E5:E7" si="0">D5/(A5*B5*C5)</f>
        <v>4.1986666666666662E-5</v>
      </c>
      <c r="G5">
        <v>20</v>
      </c>
      <c r="H5">
        <v>990</v>
      </c>
      <c r="I5" s="2">
        <v>17.13</v>
      </c>
      <c r="J5" s="1">
        <f t="shared" ref="J5:J11" si="1">I5/(PI()*G5^2*H5)</f>
        <v>1.3769314015980641E-5</v>
      </c>
      <c r="M5">
        <v>40</v>
      </c>
      <c r="N5">
        <v>40</v>
      </c>
      <c r="O5">
        <v>160</v>
      </c>
      <c r="P5" s="2">
        <v>9.18</v>
      </c>
      <c r="Q5" s="1">
        <f t="shared" ref="Q5:Q10" si="2">P5/(M5*N5*O5)</f>
        <v>3.5859374999999996E-5</v>
      </c>
      <c r="S5">
        <v>8</v>
      </c>
      <c r="T5">
        <v>1000</v>
      </c>
      <c r="U5">
        <v>1000</v>
      </c>
      <c r="V5" s="2">
        <v>379.84</v>
      </c>
      <c r="W5" s="1">
        <f t="shared" ref="W5:W6" si="3">V5/(S5*T5*U5)</f>
        <v>4.7479999999999999E-5</v>
      </c>
    </row>
    <row r="6" spans="1:23" x14ac:dyDescent="0.25">
      <c r="A6">
        <v>10</v>
      </c>
      <c r="B6">
        <v>300</v>
      </c>
      <c r="C6">
        <v>500</v>
      </c>
      <c r="D6" s="2">
        <v>57.83</v>
      </c>
      <c r="E6" s="1">
        <f t="shared" si="0"/>
        <v>3.8553333333333329E-5</v>
      </c>
      <c r="G6">
        <v>25</v>
      </c>
      <c r="H6">
        <v>990</v>
      </c>
      <c r="I6" s="2">
        <v>26.99</v>
      </c>
      <c r="J6" s="1">
        <f t="shared" si="1"/>
        <v>1.388474154036446E-5</v>
      </c>
      <c r="M6">
        <v>40</v>
      </c>
      <c r="N6">
        <v>40</v>
      </c>
      <c r="O6">
        <v>500</v>
      </c>
      <c r="P6" s="2">
        <v>25.09</v>
      </c>
      <c r="Q6" s="1">
        <f t="shared" si="2"/>
        <v>3.1362499999999997E-5</v>
      </c>
      <c r="S6">
        <v>10</v>
      </c>
      <c r="T6">
        <v>1000</v>
      </c>
      <c r="U6">
        <v>1000</v>
      </c>
      <c r="V6" s="2">
        <v>473.8</v>
      </c>
      <c r="W6" s="1">
        <f t="shared" si="3"/>
        <v>4.7380000000000004E-5</v>
      </c>
    </row>
    <row r="7" spans="1:23" x14ac:dyDescent="0.25">
      <c r="A7">
        <v>10</v>
      </c>
      <c r="B7">
        <v>500</v>
      </c>
      <c r="C7">
        <v>500</v>
      </c>
      <c r="D7" s="2">
        <v>96.39</v>
      </c>
      <c r="E7" s="1">
        <f t="shared" si="0"/>
        <v>3.8556000000000002E-5</v>
      </c>
      <c r="G7">
        <v>30</v>
      </c>
      <c r="H7">
        <v>990</v>
      </c>
      <c r="I7" s="2">
        <v>34.28</v>
      </c>
      <c r="J7" s="1">
        <f t="shared" si="1"/>
        <v>1.2246535239484113E-5</v>
      </c>
      <c r="M7">
        <v>50</v>
      </c>
      <c r="N7">
        <v>50</v>
      </c>
      <c r="O7">
        <v>500</v>
      </c>
      <c r="P7" s="2">
        <v>41.62</v>
      </c>
      <c r="Q7" s="1">
        <f t="shared" si="2"/>
        <v>3.3296000000000001E-5</v>
      </c>
      <c r="V7" t="s">
        <v>8</v>
      </c>
      <c r="W7" s="1">
        <f>AVERAGE(W4:W6)</f>
        <v>4.7502222222222225E-5</v>
      </c>
    </row>
    <row r="8" spans="1:23" x14ac:dyDescent="0.25">
      <c r="A8">
        <v>32</v>
      </c>
      <c r="B8">
        <v>32</v>
      </c>
      <c r="C8">
        <v>550</v>
      </c>
      <c r="D8" s="2">
        <v>23.26</v>
      </c>
      <c r="E8" s="1">
        <f>D8/(A8*B8*C8)</f>
        <v>4.1299715909090912E-5</v>
      </c>
      <c r="G8">
        <v>40</v>
      </c>
      <c r="H8">
        <v>160</v>
      </c>
      <c r="I8" s="2">
        <v>10.92</v>
      </c>
      <c r="J8" s="1">
        <f t="shared" si="1"/>
        <v>1.357790608252732E-5</v>
      </c>
      <c r="M8">
        <v>50</v>
      </c>
      <c r="N8">
        <v>50</v>
      </c>
      <c r="O8">
        <v>100</v>
      </c>
      <c r="P8" s="2">
        <v>9.18</v>
      </c>
      <c r="Q8" s="1">
        <f t="shared" si="2"/>
        <v>3.6720000000000001E-5</v>
      </c>
    </row>
    <row r="9" spans="1:23" x14ac:dyDescent="0.25">
      <c r="A9">
        <v>32</v>
      </c>
      <c r="B9">
        <v>50</v>
      </c>
      <c r="C9">
        <v>360</v>
      </c>
      <c r="D9" s="2">
        <v>20.56</v>
      </c>
      <c r="E9" s="1">
        <f t="shared" ref="E9:E15" si="4">D9/(A9*B9*C9)</f>
        <v>3.5694444444444444E-5</v>
      </c>
      <c r="G9">
        <v>40</v>
      </c>
      <c r="H9">
        <v>500</v>
      </c>
      <c r="I9" s="2">
        <v>25.7</v>
      </c>
      <c r="J9" s="1">
        <f t="shared" si="1"/>
        <v>1.0225705093654274E-5</v>
      </c>
      <c r="M9">
        <v>60</v>
      </c>
      <c r="N9">
        <v>60</v>
      </c>
      <c r="O9">
        <v>500</v>
      </c>
      <c r="P9" s="2">
        <v>57.83</v>
      </c>
      <c r="Q9" s="1">
        <f t="shared" si="2"/>
        <v>3.2127777777777776E-5</v>
      </c>
    </row>
    <row r="10" spans="1:23" x14ac:dyDescent="0.25">
      <c r="A10">
        <v>32</v>
      </c>
      <c r="B10">
        <v>50</v>
      </c>
      <c r="C10">
        <v>550</v>
      </c>
      <c r="D10" s="2">
        <v>31.82</v>
      </c>
      <c r="E10" s="1">
        <f t="shared" si="4"/>
        <v>3.6159090909090908E-5</v>
      </c>
      <c r="G10">
        <v>40</v>
      </c>
      <c r="H10">
        <v>800</v>
      </c>
      <c r="I10" s="2">
        <v>43.7</v>
      </c>
      <c r="J10" s="1">
        <f t="shared" si="1"/>
        <v>1.0867298457993479E-5</v>
      </c>
      <c r="M10">
        <v>60</v>
      </c>
      <c r="N10">
        <v>60</v>
      </c>
      <c r="O10">
        <v>995</v>
      </c>
      <c r="P10" s="2">
        <v>119.95</v>
      </c>
      <c r="Q10" s="1">
        <f t="shared" si="2"/>
        <v>3.348687883863763E-5</v>
      </c>
    </row>
    <row r="11" spans="1:23" x14ac:dyDescent="0.25">
      <c r="A11">
        <v>32</v>
      </c>
      <c r="B11">
        <v>60</v>
      </c>
      <c r="C11">
        <v>265</v>
      </c>
      <c r="D11" s="2">
        <v>15.91</v>
      </c>
      <c r="E11" s="1">
        <f t="shared" si="4"/>
        <v>3.1269654088050312E-5</v>
      </c>
      <c r="G11">
        <v>50</v>
      </c>
      <c r="H11">
        <v>150</v>
      </c>
      <c r="I11" s="2">
        <v>14.69</v>
      </c>
      <c r="J11" s="1">
        <f t="shared" si="1"/>
        <v>1.2469259274773026E-5</v>
      </c>
      <c r="P11" t="s">
        <v>8</v>
      </c>
      <c r="Q11" s="1">
        <f>AVERAGE(Q4:Q10)</f>
        <v>3.478250451663077E-5</v>
      </c>
    </row>
    <row r="12" spans="1:23" x14ac:dyDescent="0.25">
      <c r="A12">
        <v>40</v>
      </c>
      <c r="B12">
        <v>120</v>
      </c>
      <c r="C12">
        <v>120</v>
      </c>
      <c r="D12" s="2">
        <v>21.85</v>
      </c>
      <c r="E12" s="1">
        <f t="shared" si="4"/>
        <v>3.7934027777777779E-5</v>
      </c>
      <c r="I12" t="s">
        <v>8</v>
      </c>
      <c r="J12" s="1">
        <f>AVERAGE(J4:J11)</f>
        <v>1.4970377000558874E-5</v>
      </c>
    </row>
    <row r="13" spans="1:23" x14ac:dyDescent="0.25">
      <c r="A13">
        <v>50</v>
      </c>
      <c r="B13">
        <v>100</v>
      </c>
      <c r="C13">
        <v>100</v>
      </c>
      <c r="D13" s="2">
        <v>17.989999999999998</v>
      </c>
      <c r="E13" s="1">
        <f t="shared" si="4"/>
        <v>3.5979999999999998E-5</v>
      </c>
      <c r="J13" s="1"/>
    </row>
    <row r="14" spans="1:23" x14ac:dyDescent="0.25">
      <c r="A14">
        <v>50</v>
      </c>
      <c r="B14">
        <v>100</v>
      </c>
      <c r="C14">
        <v>300</v>
      </c>
      <c r="D14" s="2">
        <v>53.98</v>
      </c>
      <c r="E14" s="1">
        <f t="shared" si="4"/>
        <v>3.5986666666666665E-5</v>
      </c>
    </row>
    <row r="15" spans="1:23" x14ac:dyDescent="0.25">
      <c r="A15">
        <v>50</v>
      </c>
      <c r="B15">
        <v>100</v>
      </c>
      <c r="C15">
        <v>500</v>
      </c>
      <c r="D15" s="2">
        <v>83.54</v>
      </c>
      <c r="E15" s="1">
        <f t="shared" si="4"/>
        <v>3.3416E-5</v>
      </c>
      <c r="M15" t="s">
        <v>6</v>
      </c>
      <c r="N15" t="s">
        <v>343</v>
      </c>
    </row>
    <row r="16" spans="1:23" x14ac:dyDescent="0.25">
      <c r="D16" t="s">
        <v>8</v>
      </c>
      <c r="E16" s="1">
        <f>AVERAGE(E4:E15)</f>
        <v>3.7201299982926756E-5</v>
      </c>
      <c r="N16" t="s">
        <v>344</v>
      </c>
      <c r="O16" t="s">
        <v>2</v>
      </c>
      <c r="P16" t="s">
        <v>102</v>
      </c>
      <c r="Q16" t="s">
        <v>3</v>
      </c>
    </row>
    <row r="17" spans="1:17" x14ac:dyDescent="0.25">
      <c r="N17">
        <v>5</v>
      </c>
      <c r="O17">
        <v>500</v>
      </c>
      <c r="P17" s="2">
        <v>1.61</v>
      </c>
      <c r="Q17" s="45">
        <f>P17/(PI()*(N17/2)^2*O17)</f>
        <v>1.6399325336188895E-4</v>
      </c>
    </row>
    <row r="18" spans="1:17" x14ac:dyDescent="0.25">
      <c r="N18">
        <v>10</v>
      </c>
      <c r="O18">
        <v>500</v>
      </c>
      <c r="P18" s="2">
        <v>4.5</v>
      </c>
      <c r="Q18" s="45">
        <f>P18/(PI()*(N18/2)^2*O18)</f>
        <v>1.1459155902616463E-4</v>
      </c>
    </row>
    <row r="19" spans="1:17" x14ac:dyDescent="0.25">
      <c r="A19" t="s">
        <v>345</v>
      </c>
      <c r="B19" t="s">
        <v>343</v>
      </c>
      <c r="N19">
        <v>15</v>
      </c>
      <c r="O19">
        <v>500</v>
      </c>
      <c r="P19" s="2">
        <v>4.8</v>
      </c>
      <c r="Q19" s="45">
        <f t="shared" ref="Q19:Q21" si="5">P19/(PI()*(N19/2)^2*O19)</f>
        <v>5.432488724203361E-5</v>
      </c>
    </row>
    <row r="20" spans="1:17" x14ac:dyDescent="0.25">
      <c r="B20" t="s">
        <v>344</v>
      </c>
      <c r="C20" t="s">
        <v>2</v>
      </c>
      <c r="D20" t="s">
        <v>102</v>
      </c>
      <c r="E20" t="s">
        <v>3</v>
      </c>
      <c r="N20">
        <v>18</v>
      </c>
      <c r="O20">
        <v>500</v>
      </c>
      <c r="P20" s="2">
        <v>6.36</v>
      </c>
      <c r="Q20" s="45">
        <f t="shared" si="5"/>
        <v>4.9986441385898987E-5</v>
      </c>
    </row>
    <row r="21" spans="1:17" x14ac:dyDescent="0.25">
      <c r="B21">
        <v>10</v>
      </c>
      <c r="C21">
        <v>500</v>
      </c>
      <c r="D21" s="2">
        <v>5.14</v>
      </c>
      <c r="E21" s="45">
        <f t="shared" ref="E21:E27" si="6">D21/(PI()*(B21/2)^2*C21)</f>
        <v>1.3088902519877471E-4</v>
      </c>
      <c r="N21">
        <v>22</v>
      </c>
      <c r="O21">
        <v>500</v>
      </c>
      <c r="P21" s="2">
        <v>8.4</v>
      </c>
      <c r="Q21" s="45">
        <f t="shared" si="5"/>
        <v>4.4195091635435405E-5</v>
      </c>
    </row>
    <row r="22" spans="1:17" x14ac:dyDescent="0.25">
      <c r="B22">
        <v>20</v>
      </c>
      <c r="C22">
        <v>500</v>
      </c>
      <c r="D22" s="2">
        <v>8.35</v>
      </c>
      <c r="E22" s="45">
        <f t="shared" si="6"/>
        <v>5.3157750992693033E-5</v>
      </c>
      <c r="P22" t="s">
        <v>8</v>
      </c>
      <c r="Q22" s="45">
        <f>AVERAGE(Q17:Q21)</f>
        <v>8.541824653028432E-5</v>
      </c>
    </row>
    <row r="23" spans="1:17" x14ac:dyDescent="0.25">
      <c r="B23">
        <v>20</v>
      </c>
      <c r="C23">
        <v>990</v>
      </c>
      <c r="D23" s="2">
        <v>17.13</v>
      </c>
      <c r="E23" s="45">
        <f t="shared" si="6"/>
        <v>5.5077256063922563E-5</v>
      </c>
      <c r="P23" s="2"/>
    </row>
    <row r="24" spans="1:17" x14ac:dyDescent="0.25">
      <c r="B24">
        <v>25</v>
      </c>
      <c r="C24">
        <v>500</v>
      </c>
      <c r="D24" s="2">
        <v>13.11</v>
      </c>
      <c r="E24" s="45">
        <f t="shared" si="6"/>
        <v>5.3414945380729545E-5</v>
      </c>
    </row>
    <row r="25" spans="1:17" x14ac:dyDescent="0.25">
      <c r="B25">
        <v>25</v>
      </c>
      <c r="C25">
        <v>990</v>
      </c>
      <c r="D25" s="2">
        <v>26.99</v>
      </c>
      <c r="E25" s="45">
        <f t="shared" si="6"/>
        <v>5.5538966161457841E-5</v>
      </c>
    </row>
    <row r="26" spans="1:17" x14ac:dyDescent="0.25">
      <c r="B26">
        <v>30</v>
      </c>
      <c r="C26">
        <v>500</v>
      </c>
      <c r="D26" s="2">
        <v>16.059999999999999</v>
      </c>
      <c r="E26" s="45">
        <f t="shared" si="6"/>
        <v>4.5440504640992695E-5</v>
      </c>
    </row>
    <row r="27" spans="1:17" x14ac:dyDescent="0.25">
      <c r="B27">
        <v>35</v>
      </c>
      <c r="C27">
        <v>500</v>
      </c>
      <c r="D27" s="2">
        <v>16.059999999999999</v>
      </c>
      <c r="E27" s="45">
        <f t="shared" si="6"/>
        <v>3.338486055256606E-5</v>
      </c>
    </row>
    <row r="28" spans="1:17" x14ac:dyDescent="0.25">
      <c r="D28" t="s">
        <v>8</v>
      </c>
      <c r="E28" s="45">
        <f>AVERAGE(E21:E27)</f>
        <v>6.0986186998733781E-5</v>
      </c>
    </row>
    <row r="30" spans="1:17" x14ac:dyDescent="0.25">
      <c r="A30" s="21" t="s">
        <v>376</v>
      </c>
      <c r="G30" s="21" t="s">
        <v>375</v>
      </c>
    </row>
    <row r="31" spans="1:17" x14ac:dyDescent="0.25">
      <c r="A31" t="s">
        <v>374</v>
      </c>
      <c r="B31" t="s">
        <v>343</v>
      </c>
      <c r="G31" t="s">
        <v>374</v>
      </c>
      <c r="H31" t="s">
        <v>343</v>
      </c>
    </row>
    <row r="32" spans="1:17" x14ac:dyDescent="0.25">
      <c r="B32" t="s">
        <v>344</v>
      </c>
      <c r="C32" t="s">
        <v>2</v>
      </c>
      <c r="D32" t="s">
        <v>102</v>
      </c>
      <c r="E32" t="s">
        <v>3</v>
      </c>
      <c r="H32" t="s">
        <v>344</v>
      </c>
      <c r="I32" t="s">
        <v>2</v>
      </c>
      <c r="J32" t="s">
        <v>102</v>
      </c>
      <c r="K32" t="s">
        <v>3</v>
      </c>
    </row>
    <row r="33" spans="2:11" x14ac:dyDescent="0.25">
      <c r="B33">
        <v>10</v>
      </c>
      <c r="C33">
        <v>1000</v>
      </c>
      <c r="D33" s="2">
        <v>20.5</v>
      </c>
      <c r="E33" s="45">
        <f t="shared" ref="E33:E35" si="7">D33/(PI()*(B33/2)^2*C33)</f>
        <v>2.6101410667070835E-4</v>
      </c>
      <c r="H33">
        <v>10</v>
      </c>
      <c r="I33">
        <v>300</v>
      </c>
      <c r="J33" s="2">
        <v>9.41</v>
      </c>
      <c r="K33" s="45">
        <f t="shared" ref="K33:K36" si="8">J33/(PI()*(H33/2)^2*I33)</f>
        <v>3.9937280386526271E-4</v>
      </c>
    </row>
    <row r="34" spans="2:11" x14ac:dyDescent="0.25">
      <c r="B34">
        <v>16</v>
      </c>
      <c r="C34">
        <v>1000</v>
      </c>
      <c r="D34" s="2">
        <v>44.5</v>
      </c>
      <c r="E34" s="45">
        <f t="shared" si="7"/>
        <v>2.2132484273716698E-4</v>
      </c>
      <c r="H34">
        <v>16</v>
      </c>
      <c r="I34">
        <v>300</v>
      </c>
      <c r="J34" s="2">
        <v>15.77</v>
      </c>
      <c r="K34" s="45">
        <f t="shared" si="8"/>
        <v>2.6144515130824893E-4</v>
      </c>
    </row>
    <row r="35" spans="2:11" x14ac:dyDescent="0.25">
      <c r="B35">
        <v>20</v>
      </c>
      <c r="C35">
        <v>1000</v>
      </c>
      <c r="D35" s="2">
        <v>66.75</v>
      </c>
      <c r="E35" s="45">
        <f t="shared" si="7"/>
        <v>2.1247184902768027E-4</v>
      </c>
      <c r="H35">
        <v>20</v>
      </c>
      <c r="I35">
        <v>300</v>
      </c>
      <c r="J35" s="2">
        <v>23.4</v>
      </c>
      <c r="K35" s="45">
        <f t="shared" si="8"/>
        <v>2.4828171122335673E-4</v>
      </c>
    </row>
    <row r="36" spans="2:11" x14ac:dyDescent="0.25">
      <c r="B36">
        <v>40</v>
      </c>
      <c r="C36">
        <v>1000</v>
      </c>
      <c r="D36" s="2">
        <v>251.5</v>
      </c>
      <c r="E36" s="45">
        <f t="shared" ref="E36:E39" si="9">D36/(PI()*(B36/2)^2*C36)</f>
        <v>2.0013734093805838E-4</v>
      </c>
      <c r="H36">
        <v>40</v>
      </c>
      <c r="I36">
        <v>300</v>
      </c>
      <c r="J36" s="2">
        <v>81.7</v>
      </c>
      <c r="K36" s="45">
        <f t="shared" si="8"/>
        <v>2.1671598084346415E-4</v>
      </c>
    </row>
    <row r="37" spans="2:11" x14ac:dyDescent="0.25">
      <c r="B37">
        <v>50</v>
      </c>
      <c r="C37">
        <v>1000</v>
      </c>
      <c r="D37" s="2">
        <v>390</v>
      </c>
      <c r="E37" s="45">
        <f t="shared" si="9"/>
        <v>1.9862536897868538E-4</v>
      </c>
      <c r="J37" t="s">
        <v>8</v>
      </c>
      <c r="K37" s="45">
        <f>AVERAGE(K33:K36)</f>
        <v>2.8145391181008314E-4</v>
      </c>
    </row>
    <row r="38" spans="2:11" x14ac:dyDescent="0.25">
      <c r="B38">
        <v>60</v>
      </c>
      <c r="C38">
        <v>1000</v>
      </c>
      <c r="D38" s="2">
        <v>560</v>
      </c>
      <c r="E38" s="45">
        <f t="shared" si="9"/>
        <v>1.9805948473658087E-4</v>
      </c>
      <c r="J38" s="2"/>
      <c r="K38" s="45"/>
    </row>
    <row r="39" spans="2:11" x14ac:dyDescent="0.25">
      <c r="B39">
        <v>80</v>
      </c>
      <c r="C39">
        <v>1000</v>
      </c>
      <c r="D39" s="2">
        <v>992.5</v>
      </c>
      <c r="E39" s="45">
        <f t="shared" si="9"/>
        <v>1.9745160127338264E-4</v>
      </c>
      <c r="J39" s="2"/>
      <c r="K39" s="45"/>
    </row>
    <row r="40" spans="2:11" x14ac:dyDescent="0.25">
      <c r="D40" t="s">
        <v>8</v>
      </c>
      <c r="E40" s="45">
        <f>AVERAGE(E33:E39)</f>
        <v>2.1272637062318042E-4</v>
      </c>
      <c r="K40" s="45"/>
    </row>
  </sheetData>
  <hyperlinks>
    <hyperlink ref="A1" r:id="rId1" xr:uid="{00000000-0004-0000-0700-000000000000}"/>
    <hyperlink ref="S1" r:id="rId2" xr:uid="{00000000-0004-0000-0700-000001000000}"/>
    <hyperlink ref="G30" r:id="rId3" xr:uid="{00000000-0004-0000-0700-000002000000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2" tint="-9.9978637043366805E-2"/>
  </sheetPr>
  <dimension ref="A1:K32"/>
  <sheetViews>
    <sheetView workbookViewId="0">
      <selection activeCell="H5" sqref="H5"/>
    </sheetView>
  </sheetViews>
  <sheetFormatPr baseColWidth="10" defaultRowHeight="15" x14ac:dyDescent="0.25"/>
  <cols>
    <col min="1" max="1" width="43.7109375" bestFit="1" customWidth="1"/>
    <col min="2" max="2" width="11.85546875" bestFit="1" customWidth="1"/>
    <col min="3" max="3" width="21.5703125" bestFit="1" customWidth="1"/>
    <col min="4" max="4" width="12.42578125" bestFit="1" customWidth="1"/>
    <col min="5" max="5" width="19" bestFit="1" customWidth="1"/>
    <col min="6" max="6" width="25.85546875" bestFit="1" customWidth="1"/>
    <col min="7" max="7" width="27.85546875" bestFit="1" customWidth="1"/>
    <col min="8" max="8" width="19.42578125" bestFit="1" customWidth="1"/>
    <col min="9" max="9" width="10.140625" bestFit="1" customWidth="1"/>
    <col min="10" max="10" width="12.5703125" bestFit="1" customWidth="1"/>
    <col min="11" max="11" width="9" bestFit="1" customWidth="1"/>
    <col min="13" max="13" width="18" bestFit="1" customWidth="1"/>
    <col min="14" max="14" width="19.42578125" bestFit="1" customWidth="1"/>
    <col min="16" max="16" width="12.5703125" bestFit="1" customWidth="1"/>
  </cols>
  <sheetData>
    <row r="1" spans="1:8" x14ac:dyDescent="0.25">
      <c r="A1" t="s">
        <v>182</v>
      </c>
      <c r="B1" s="21" t="s">
        <v>139</v>
      </c>
    </row>
    <row r="2" spans="1:8" x14ac:dyDescent="0.25">
      <c r="A2" t="s">
        <v>183</v>
      </c>
      <c r="B2" s="21" t="s">
        <v>140</v>
      </c>
    </row>
    <row r="4" spans="1:8" x14ac:dyDescent="0.25">
      <c r="B4" t="s">
        <v>185</v>
      </c>
      <c r="C4" t="s">
        <v>186</v>
      </c>
      <c r="D4" t="s">
        <v>325</v>
      </c>
      <c r="F4" t="s">
        <v>321</v>
      </c>
      <c r="G4" t="s">
        <v>318</v>
      </c>
      <c r="H4" t="s">
        <v>319</v>
      </c>
    </row>
    <row r="5" spans="1:8" x14ac:dyDescent="0.25">
      <c r="A5" t="s">
        <v>184</v>
      </c>
      <c r="B5" s="2">
        <v>1592</v>
      </c>
      <c r="C5" s="2">
        <v>21376</v>
      </c>
      <c r="D5" s="2">
        <f>C5*0.9</f>
        <v>19238.400000000001</v>
      </c>
      <c r="F5">
        <v>4</v>
      </c>
      <c r="G5" s="23">
        <f>C5*0.1*F5</f>
        <v>8550.4</v>
      </c>
      <c r="H5" s="23">
        <f>C5*0.9/$B$28</f>
        <v>13.393483709273186</v>
      </c>
    </row>
    <row r="6" spans="1:8" x14ac:dyDescent="0.25">
      <c r="A6" t="s">
        <v>282</v>
      </c>
      <c r="B6" s="2">
        <v>2438</v>
      </c>
      <c r="C6" s="2">
        <v>39809</v>
      </c>
      <c r="D6" s="2">
        <f t="shared" ref="D6:D7" si="0">C6*0.9</f>
        <v>35828.1</v>
      </c>
      <c r="F6">
        <v>3</v>
      </c>
      <c r="G6" s="23">
        <f>C6*0.1*F6</f>
        <v>11942.7</v>
      </c>
      <c r="H6" s="23">
        <f>C6*0.9/$B$28</f>
        <v>24.942982456140353</v>
      </c>
    </row>
    <row r="7" spans="1:8" x14ac:dyDescent="0.25">
      <c r="A7" t="s">
        <v>283</v>
      </c>
      <c r="B7" s="2">
        <v>4104</v>
      </c>
      <c r="C7" s="2">
        <v>69843</v>
      </c>
      <c r="D7" s="2">
        <f t="shared" si="0"/>
        <v>62858.700000000004</v>
      </c>
      <c r="F7">
        <v>0.6</v>
      </c>
      <c r="G7" s="23">
        <f>C7*0.1*F7</f>
        <v>4190.58</v>
      </c>
      <c r="H7" s="23">
        <f>C7*0.9/$B$28</f>
        <v>43.761278195488728</v>
      </c>
    </row>
    <row r="8" spans="1:8" x14ac:dyDescent="0.25">
      <c r="E8" t="s">
        <v>307</v>
      </c>
      <c r="F8">
        <f>SUM(F7+F6+F5)</f>
        <v>7.6</v>
      </c>
      <c r="G8" s="2">
        <f>SUM(G7+G6+G5)</f>
        <v>24683.68</v>
      </c>
    </row>
    <row r="10" spans="1:8" x14ac:dyDescent="0.25">
      <c r="A10" t="s">
        <v>188</v>
      </c>
      <c r="B10" s="21" t="s">
        <v>187</v>
      </c>
    </row>
    <row r="11" spans="1:8" x14ac:dyDescent="0.25">
      <c r="A11" t="s">
        <v>189</v>
      </c>
      <c r="B11">
        <v>365</v>
      </c>
    </row>
    <row r="12" spans="1:8" x14ac:dyDescent="0.25">
      <c r="A12" t="s">
        <v>190</v>
      </c>
      <c r="B12">
        <v>104</v>
      </c>
    </row>
    <row r="13" spans="1:8" x14ac:dyDescent="0.25">
      <c r="A13" t="s">
        <v>191</v>
      </c>
      <c r="B13">
        <v>8</v>
      </c>
    </row>
    <row r="14" spans="1:8" x14ac:dyDescent="0.25">
      <c r="A14" t="s">
        <v>192</v>
      </c>
      <c r="B14">
        <v>25</v>
      </c>
    </row>
    <row r="15" spans="1:8" x14ac:dyDescent="0.25">
      <c r="A15" t="s">
        <v>193</v>
      </c>
      <c r="B15">
        <f>B11-B12-B13-B14</f>
        <v>228</v>
      </c>
    </row>
    <row r="16" spans="1:8" x14ac:dyDescent="0.25">
      <c r="A16" t="s">
        <v>194</v>
      </c>
      <c r="B16" s="28">
        <f>B15/5</f>
        <v>45.6</v>
      </c>
    </row>
    <row r="21" spans="1:11" x14ac:dyDescent="0.25">
      <c r="B21" t="s">
        <v>308</v>
      </c>
      <c r="C21" t="s">
        <v>309</v>
      </c>
      <c r="D21" t="s">
        <v>22</v>
      </c>
      <c r="E21" t="s">
        <v>310</v>
      </c>
      <c r="F21" t="s">
        <v>311</v>
      </c>
      <c r="G21" t="s">
        <v>312</v>
      </c>
      <c r="H21" t="s">
        <v>313</v>
      </c>
      <c r="I21" t="s">
        <v>37</v>
      </c>
      <c r="J21" t="s">
        <v>24</v>
      </c>
      <c r="K21" t="s">
        <v>315</v>
      </c>
    </row>
    <row r="22" spans="1:11" x14ac:dyDescent="0.25">
      <c r="A22" t="s">
        <v>184</v>
      </c>
      <c r="B22">
        <v>0.85</v>
      </c>
      <c r="C22">
        <v>0.85</v>
      </c>
      <c r="D22">
        <v>0.85</v>
      </c>
      <c r="E22">
        <v>0.85</v>
      </c>
      <c r="H22">
        <v>0.2</v>
      </c>
      <c r="I22">
        <v>0.2</v>
      </c>
      <c r="J22">
        <v>0.2</v>
      </c>
      <c r="K22">
        <f>SUM(B22:J22)</f>
        <v>4</v>
      </c>
    </row>
    <row r="23" spans="1:11" x14ac:dyDescent="0.25">
      <c r="A23" t="s">
        <v>282</v>
      </c>
      <c r="F23">
        <v>0.9</v>
      </c>
      <c r="G23">
        <v>0.9</v>
      </c>
      <c r="H23">
        <v>0.4</v>
      </c>
      <c r="I23">
        <v>0.7</v>
      </c>
      <c r="J23">
        <v>0.1</v>
      </c>
      <c r="K23">
        <f t="shared" ref="K23:K25" si="1">SUM(B23:J23)</f>
        <v>3.0000000000000004</v>
      </c>
    </row>
    <row r="24" spans="1:11" x14ac:dyDescent="0.25">
      <c r="A24" t="s">
        <v>283</v>
      </c>
      <c r="H24">
        <v>0.3</v>
      </c>
      <c r="I24">
        <v>0.2</v>
      </c>
      <c r="J24">
        <v>0.1</v>
      </c>
      <c r="K24">
        <f t="shared" si="1"/>
        <v>0.6</v>
      </c>
    </row>
    <row r="25" spans="1:11" x14ac:dyDescent="0.25">
      <c r="A25" t="s">
        <v>316</v>
      </c>
      <c r="B25">
        <f t="shared" ref="B25:J25" si="2">$B$28*SUM(B22:B24)</f>
        <v>1220.9399999999998</v>
      </c>
      <c r="C25">
        <f t="shared" si="2"/>
        <v>1220.9399999999998</v>
      </c>
      <c r="D25">
        <f t="shared" si="2"/>
        <v>1220.9399999999998</v>
      </c>
      <c r="E25">
        <f t="shared" si="2"/>
        <v>1220.9399999999998</v>
      </c>
      <c r="F25">
        <f t="shared" si="2"/>
        <v>1292.76</v>
      </c>
      <c r="G25">
        <f t="shared" si="2"/>
        <v>1292.76</v>
      </c>
      <c r="H25">
        <f t="shared" si="2"/>
        <v>1292.76</v>
      </c>
      <c r="I25">
        <f t="shared" si="2"/>
        <v>1580.0399999999997</v>
      </c>
      <c r="J25">
        <f t="shared" si="2"/>
        <v>574.55999999999995</v>
      </c>
      <c r="K25">
        <f t="shared" si="1"/>
        <v>10916.639999999998</v>
      </c>
    </row>
    <row r="26" spans="1:11" x14ac:dyDescent="0.25">
      <c r="A26" t="s">
        <v>317</v>
      </c>
      <c r="B26">
        <f>Summary!$C$10*Summary!$C$9*Summary!$C$8</f>
        <v>1197</v>
      </c>
      <c r="C26">
        <f>Summary!$C$10*Summary!$C$9*Summary!$C$8</f>
        <v>1197</v>
      </c>
      <c r="D26">
        <f>Summary!$C$10*Summary!$C$9*Summary!$C$8</f>
        <v>1197</v>
      </c>
      <c r="E26">
        <f>Summary!$C$10*Summary!$C$9*Summary!$C$8</f>
        <v>1197</v>
      </c>
      <c r="F26">
        <f>Summary!$C$10*Summary!$C$9*Summary!$C$8</f>
        <v>1197</v>
      </c>
      <c r="G26">
        <f>Summary!$C$10*Summary!$C$9*Summary!$C$8</f>
        <v>1197</v>
      </c>
      <c r="H26">
        <f>0.4*B26*2+0.2*D26</f>
        <v>1197</v>
      </c>
      <c r="I26">
        <f>0.4*B26*3</f>
        <v>1436.4</v>
      </c>
      <c r="J26">
        <f>0.06*Summary!C8*Summary!C9*Summary!C7</f>
        <v>574.56000000000006</v>
      </c>
      <c r="K26">
        <f>SUM(B26:J26)</f>
        <v>10389.959999999999</v>
      </c>
    </row>
    <row r="28" spans="1:11" x14ac:dyDescent="0.25">
      <c r="A28" t="s">
        <v>320</v>
      </c>
      <c r="B28">
        <f>Summary!$C$11*Summary!$C$9*Summary!$C$8</f>
        <v>1436.3999999999999</v>
      </c>
    </row>
    <row r="30" spans="1:11" x14ac:dyDescent="0.25">
      <c r="A30" t="s">
        <v>324</v>
      </c>
      <c r="B30" s="23">
        <f>SUMPRODUCT(D5:D7*J22:J24)</f>
        <v>13716.36</v>
      </c>
    </row>
    <row r="31" spans="1:11" x14ac:dyDescent="0.25">
      <c r="B31" s="23"/>
    </row>
    <row r="32" spans="1:11" x14ac:dyDescent="0.25">
      <c r="B32" s="23"/>
    </row>
  </sheetData>
  <hyperlinks>
    <hyperlink ref="B1" r:id="rId1" xr:uid="{00000000-0004-0000-0500-000000000000}"/>
    <hyperlink ref="B2" r:id="rId2" xr:uid="{00000000-0004-0000-0500-000001000000}"/>
    <hyperlink ref="B10" r:id="rId3" xr:uid="{00000000-0004-0000-05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0.249977111117893"/>
  </sheetPr>
  <dimension ref="A1:B7"/>
  <sheetViews>
    <sheetView topLeftCell="A2" workbookViewId="0">
      <selection activeCell="A39" sqref="A39"/>
    </sheetView>
  </sheetViews>
  <sheetFormatPr baseColWidth="10" defaultRowHeight="15" x14ac:dyDescent="0.25"/>
  <cols>
    <col min="1" max="1" width="49.85546875" bestFit="1" customWidth="1"/>
  </cols>
  <sheetData>
    <row r="1" spans="1:2" x14ac:dyDescent="0.25">
      <c r="A1" t="s">
        <v>21</v>
      </c>
      <c r="B1" s="21" t="s">
        <v>195</v>
      </c>
    </row>
    <row r="2" spans="1:2" x14ac:dyDescent="0.25">
      <c r="B2" t="s">
        <v>335</v>
      </c>
    </row>
    <row r="3" spans="1:2" x14ac:dyDescent="0.25">
      <c r="B3" t="s">
        <v>336</v>
      </c>
    </row>
    <row r="4" spans="1:2" x14ac:dyDescent="0.25">
      <c r="A4" t="s">
        <v>331</v>
      </c>
      <c r="B4">
        <v>38.64</v>
      </c>
    </row>
    <row r="5" spans="1:2" x14ac:dyDescent="0.25">
      <c r="A5" t="s">
        <v>332</v>
      </c>
      <c r="B5">
        <f>24*0.8*3+16</f>
        <v>73.600000000000009</v>
      </c>
    </row>
    <row r="6" spans="1:2" x14ac:dyDescent="0.25">
      <c r="A6" t="s">
        <v>331</v>
      </c>
      <c r="B6" s="2">
        <f>B5*B4</f>
        <v>2843.9040000000005</v>
      </c>
    </row>
    <row r="7" spans="1:2" x14ac:dyDescent="0.25">
      <c r="A7" t="s">
        <v>196</v>
      </c>
      <c r="B7" s="29">
        <v>7.8299999999999995E-2</v>
      </c>
    </row>
  </sheetData>
  <hyperlinks>
    <hyperlink ref="B1" r:id="rId1" xr:uid="{00000000-0004-0000-01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79998168889431442"/>
  </sheetPr>
  <dimension ref="A1:F25"/>
  <sheetViews>
    <sheetView workbookViewId="0">
      <selection activeCell="B26" sqref="B26"/>
    </sheetView>
  </sheetViews>
  <sheetFormatPr baseColWidth="10" defaultRowHeight="15" x14ac:dyDescent="0.25"/>
  <cols>
    <col min="1" max="1" width="28.28515625" bestFit="1" customWidth="1"/>
    <col min="5" max="5" width="11.85546875" bestFit="1" customWidth="1"/>
  </cols>
  <sheetData>
    <row r="1" spans="1:6" x14ac:dyDescent="0.25">
      <c r="A1" t="s">
        <v>28</v>
      </c>
      <c r="B1" t="s">
        <v>239</v>
      </c>
      <c r="C1" t="s">
        <v>240</v>
      </c>
      <c r="D1" t="s">
        <v>241</v>
      </c>
      <c r="E1" t="s">
        <v>242</v>
      </c>
      <c r="F1" t="s">
        <v>252</v>
      </c>
    </row>
    <row r="2" spans="1:6" x14ac:dyDescent="0.25">
      <c r="A2" t="s">
        <v>155</v>
      </c>
      <c r="B2" t="s">
        <v>151</v>
      </c>
      <c r="D2" s="26">
        <v>149</v>
      </c>
      <c r="E2" s="24">
        <f>D2*(1-Summary!$C$17)</f>
        <v>119.2</v>
      </c>
      <c r="F2" s="21" t="s">
        <v>150</v>
      </c>
    </row>
    <row r="3" spans="1:6" x14ac:dyDescent="0.25">
      <c r="A3" t="s">
        <v>153</v>
      </c>
      <c r="B3">
        <v>0.01</v>
      </c>
      <c r="D3" s="26">
        <v>129</v>
      </c>
      <c r="E3" s="24">
        <f>D3*(1-Summary!$C$17)</f>
        <v>103.2</v>
      </c>
      <c r="F3" t="s">
        <v>152</v>
      </c>
    </row>
    <row r="4" spans="1:6" x14ac:dyDescent="0.25">
      <c r="A4" t="s">
        <v>39</v>
      </c>
      <c r="B4">
        <v>0.01</v>
      </c>
      <c r="D4" s="26">
        <v>60</v>
      </c>
      <c r="E4" s="24">
        <f>D4*(1-Summary!$C$17)</f>
        <v>48</v>
      </c>
      <c r="F4" t="s">
        <v>154</v>
      </c>
    </row>
    <row r="5" spans="1:6" x14ac:dyDescent="0.25">
      <c r="E5" s="24"/>
    </row>
    <row r="6" spans="1:6" x14ac:dyDescent="0.25">
      <c r="A6" t="s">
        <v>157</v>
      </c>
      <c r="D6" s="26">
        <v>392</v>
      </c>
      <c r="E6" s="24">
        <f>D6*(1-Summary!$C$17)</f>
        <v>313.60000000000002</v>
      </c>
      <c r="F6" t="s">
        <v>156</v>
      </c>
    </row>
    <row r="7" spans="1:6" x14ac:dyDescent="0.25">
      <c r="A7" t="s">
        <v>161</v>
      </c>
      <c r="D7" s="26">
        <v>167</v>
      </c>
      <c r="E7" s="24">
        <f>D7*(1-Summary!$C$17)</f>
        <v>133.6</v>
      </c>
      <c r="F7" t="s">
        <v>158</v>
      </c>
    </row>
    <row r="8" spans="1:6" x14ac:dyDescent="0.25">
      <c r="A8" t="s">
        <v>160</v>
      </c>
      <c r="D8" s="26">
        <v>94</v>
      </c>
      <c r="E8" s="24">
        <f>D8*(1-Summary!$C$17)</f>
        <v>75.2</v>
      </c>
      <c r="F8" t="s">
        <v>159</v>
      </c>
    </row>
    <row r="9" spans="1:6" x14ac:dyDescent="0.25">
      <c r="E9" s="24"/>
    </row>
    <row r="10" spans="1:6" x14ac:dyDescent="0.25">
      <c r="A10" t="s">
        <v>162</v>
      </c>
      <c r="D10" s="26">
        <v>282</v>
      </c>
      <c r="E10" s="24">
        <f>D10*(1-Summary!$C$17)</f>
        <v>225.60000000000002</v>
      </c>
      <c r="F10" t="s">
        <v>163</v>
      </c>
    </row>
    <row r="11" spans="1:6" x14ac:dyDescent="0.25">
      <c r="A11" t="s">
        <v>165</v>
      </c>
      <c r="D11" s="26">
        <v>408</v>
      </c>
      <c r="E11" s="24">
        <f>D11*(1-Summary!$C$17)</f>
        <v>326.40000000000003</v>
      </c>
    </row>
    <row r="12" spans="1:6" x14ac:dyDescent="0.25">
      <c r="A12" t="s">
        <v>166</v>
      </c>
      <c r="D12" s="26">
        <v>3322</v>
      </c>
      <c r="E12" s="24">
        <f>D12*(1-Summary!$C$17)</f>
        <v>2657.6000000000004</v>
      </c>
      <c r="F12" t="s">
        <v>164</v>
      </c>
    </row>
    <row r="13" spans="1:6" x14ac:dyDescent="0.25">
      <c r="E13" s="24"/>
    </row>
    <row r="14" spans="1:6" x14ac:dyDescent="0.25">
      <c r="A14" t="s">
        <v>167</v>
      </c>
      <c r="B14" t="s">
        <v>168</v>
      </c>
      <c r="D14" s="26">
        <v>1390</v>
      </c>
      <c r="E14" s="24">
        <f>D14*(1-Summary!$C$17)</f>
        <v>1112</v>
      </c>
      <c r="F14" t="s">
        <v>169</v>
      </c>
    </row>
    <row r="15" spans="1:6" x14ac:dyDescent="0.25">
      <c r="B15" t="s">
        <v>171</v>
      </c>
      <c r="D15" s="26">
        <v>1202</v>
      </c>
      <c r="E15" s="24">
        <f>D15*(1-Summary!$C$17)</f>
        <v>961.6</v>
      </c>
      <c r="F15" t="s">
        <v>170</v>
      </c>
    </row>
    <row r="16" spans="1:6" x14ac:dyDescent="0.25">
      <c r="B16" t="s">
        <v>173</v>
      </c>
      <c r="D16" s="26">
        <v>146</v>
      </c>
      <c r="E16" s="24">
        <f>D16*(1-Summary!$C$17)</f>
        <v>116.80000000000001</v>
      </c>
      <c r="F16" t="s">
        <v>172</v>
      </c>
    </row>
    <row r="17" spans="1:6" x14ac:dyDescent="0.25">
      <c r="B17" t="s">
        <v>175</v>
      </c>
      <c r="D17" s="26">
        <v>162</v>
      </c>
      <c r="E17" s="24">
        <f>D17*(1-Summary!$C$17)</f>
        <v>129.6</v>
      </c>
      <c r="F17" t="s">
        <v>174</v>
      </c>
    </row>
    <row r="18" spans="1:6" x14ac:dyDescent="0.25">
      <c r="A18" t="s">
        <v>38</v>
      </c>
      <c r="B18" t="s">
        <v>177</v>
      </c>
      <c r="D18" s="26">
        <v>1623</v>
      </c>
      <c r="E18" s="24">
        <f>D18*(1-Summary!$C$17)</f>
        <v>1298.4000000000001</v>
      </c>
      <c r="F18" s="21" t="s">
        <v>176</v>
      </c>
    </row>
    <row r="19" spans="1:6" x14ac:dyDescent="0.25">
      <c r="B19" s="25" t="s">
        <v>243</v>
      </c>
      <c r="D19" s="26">
        <v>675</v>
      </c>
      <c r="E19" s="24">
        <f>D19*(1-Summary!$C$17)</f>
        <v>540</v>
      </c>
      <c r="F19" t="s">
        <v>244</v>
      </c>
    </row>
    <row r="20" spans="1:6" x14ac:dyDescent="0.25">
      <c r="B20" s="25"/>
      <c r="E20" s="24"/>
    </row>
    <row r="21" spans="1:6" x14ac:dyDescent="0.25">
      <c r="A21" t="s">
        <v>178</v>
      </c>
      <c r="B21" t="s">
        <v>180</v>
      </c>
      <c r="C21" s="31">
        <v>348</v>
      </c>
      <c r="D21" s="32">
        <f>Metrology!C21/(Summary!C16)</f>
        <v>308.06274565348252</v>
      </c>
      <c r="E21" s="24">
        <f>D21*(1-Summary!$C$17)</f>
        <v>246.45019652278603</v>
      </c>
      <c r="F21" s="21" t="s">
        <v>179</v>
      </c>
    </row>
    <row r="23" spans="1:6" x14ac:dyDescent="0.25">
      <c r="A23" t="s">
        <v>288</v>
      </c>
      <c r="B23" t="s">
        <v>289</v>
      </c>
      <c r="E23" s="2">
        <v>48334.81</v>
      </c>
      <c r="F23" t="s">
        <v>287</v>
      </c>
    </row>
    <row r="25" spans="1:6" x14ac:dyDescent="0.25">
      <c r="A25" t="s">
        <v>292</v>
      </c>
      <c r="B25" t="s">
        <v>293</v>
      </c>
      <c r="E25" s="2">
        <v>5390</v>
      </c>
      <c r="F25" t="s">
        <v>291</v>
      </c>
    </row>
  </sheetData>
  <hyperlinks>
    <hyperlink ref="F2" r:id="rId1" xr:uid="{00000000-0004-0000-0400-000000000000}"/>
    <hyperlink ref="F21" r:id="rId2" xr:uid="{00000000-0004-0000-0400-000001000000}"/>
    <hyperlink ref="F18" r:id="rId3" xr:uid="{00000000-0004-0000-0400-000002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-0.249977111117893"/>
  </sheetPr>
  <dimension ref="A1:E33"/>
  <sheetViews>
    <sheetView workbookViewId="0">
      <selection activeCell="C37" sqref="C37"/>
    </sheetView>
  </sheetViews>
  <sheetFormatPr baseColWidth="10" defaultRowHeight="15" x14ac:dyDescent="0.25"/>
  <cols>
    <col min="1" max="1" width="46.28515625" bestFit="1" customWidth="1"/>
    <col min="2" max="2" width="17.42578125" bestFit="1" customWidth="1"/>
    <col min="3" max="3" width="23.7109375" bestFit="1" customWidth="1"/>
    <col min="4" max="4" width="23.7109375" customWidth="1"/>
  </cols>
  <sheetData>
    <row r="1" spans="1:5" x14ac:dyDescent="0.25">
      <c r="B1" t="s">
        <v>224</v>
      </c>
      <c r="C1" t="s">
        <v>223</v>
      </c>
      <c r="D1" t="s">
        <v>222</v>
      </c>
    </row>
    <row r="2" spans="1:5" x14ac:dyDescent="0.25">
      <c r="A2" t="s">
        <v>127</v>
      </c>
      <c r="B2" t="s">
        <v>225</v>
      </c>
      <c r="C2" s="2">
        <v>498</v>
      </c>
      <c r="D2" s="2">
        <f>C2*(1-Summary!$C$17)</f>
        <v>398.40000000000003</v>
      </c>
      <c r="E2" t="s">
        <v>128</v>
      </c>
    </row>
    <row r="3" spans="1:5" x14ac:dyDescent="0.25">
      <c r="A3" t="s">
        <v>129</v>
      </c>
      <c r="B3" t="s">
        <v>226</v>
      </c>
      <c r="C3" s="2"/>
      <c r="D3" s="2">
        <v>8.8000000000000007</v>
      </c>
      <c r="E3" t="s">
        <v>219</v>
      </c>
    </row>
    <row r="4" spans="1:5" x14ac:dyDescent="0.25">
      <c r="C4" s="2"/>
      <c r="D4" s="2"/>
    </row>
    <row r="5" spans="1:5" x14ac:dyDescent="0.25">
      <c r="A5" t="s">
        <v>199</v>
      </c>
      <c r="C5" s="2">
        <v>241.2</v>
      </c>
      <c r="D5" s="2">
        <f>C5*(1-Summary!$C$17)</f>
        <v>192.96</v>
      </c>
      <c r="E5" t="s">
        <v>200</v>
      </c>
    </row>
    <row r="6" spans="1:5" x14ac:dyDescent="0.25">
      <c r="A6" t="s">
        <v>205</v>
      </c>
      <c r="C6" s="2">
        <v>50</v>
      </c>
      <c r="D6" s="2">
        <f>C6*(1-Summary!$C$17)</f>
        <v>40</v>
      </c>
      <c r="E6" t="s">
        <v>206</v>
      </c>
    </row>
    <row r="7" spans="1:5" x14ac:dyDescent="0.25">
      <c r="A7" t="s">
        <v>208</v>
      </c>
      <c r="C7" s="2">
        <v>137.99</v>
      </c>
      <c r="D7" s="2">
        <f>C7*(1-Summary!$C$17)</f>
        <v>110.39200000000001</v>
      </c>
      <c r="E7" t="s">
        <v>207</v>
      </c>
    </row>
    <row r="8" spans="1:5" x14ac:dyDescent="0.25">
      <c r="A8" t="s">
        <v>231</v>
      </c>
      <c r="C8" s="2"/>
      <c r="D8" s="2">
        <v>23.6</v>
      </c>
      <c r="E8" t="s">
        <v>232</v>
      </c>
    </row>
    <row r="9" spans="1:5" x14ac:dyDescent="0.25">
      <c r="A9" t="s">
        <v>233</v>
      </c>
      <c r="C9" s="2"/>
      <c r="D9" s="2">
        <v>39.950000000000003</v>
      </c>
      <c r="E9" t="s">
        <v>234</v>
      </c>
    </row>
    <row r="10" spans="1:5" x14ac:dyDescent="0.25">
      <c r="C10" s="2"/>
      <c r="D10" s="2"/>
    </row>
    <row r="11" spans="1:5" x14ac:dyDescent="0.25">
      <c r="A11" t="s">
        <v>209</v>
      </c>
      <c r="C11" s="2">
        <v>2097.6</v>
      </c>
      <c r="D11" s="2">
        <f>C11*(1-Summary!$C$17)</f>
        <v>1678.08</v>
      </c>
      <c r="E11" t="s">
        <v>210</v>
      </c>
    </row>
    <row r="12" spans="1:5" x14ac:dyDescent="0.25">
      <c r="A12" t="s">
        <v>202</v>
      </c>
      <c r="C12" s="2">
        <v>2150.1</v>
      </c>
      <c r="D12" s="2">
        <f>C12*(1-Summary!$C$17)</f>
        <v>1720.08</v>
      </c>
      <c r="E12" t="s">
        <v>201</v>
      </c>
    </row>
    <row r="13" spans="1:5" x14ac:dyDescent="0.25">
      <c r="A13" t="s">
        <v>217</v>
      </c>
      <c r="C13" s="2">
        <v>620.4</v>
      </c>
      <c r="D13" s="2">
        <f>C13*(1-Summary!$C$17)</f>
        <v>496.32</v>
      </c>
      <c r="E13" t="s">
        <v>218</v>
      </c>
    </row>
    <row r="14" spans="1:5" x14ac:dyDescent="0.25">
      <c r="C14" s="2"/>
      <c r="D14" s="2"/>
    </row>
    <row r="15" spans="1:5" x14ac:dyDescent="0.25">
      <c r="A15" t="s">
        <v>204</v>
      </c>
      <c r="C15" s="2">
        <v>183.6</v>
      </c>
      <c r="D15" s="2">
        <f>C15*(1-Summary!$C$17)</f>
        <v>146.88</v>
      </c>
      <c r="E15" t="s">
        <v>203</v>
      </c>
    </row>
    <row r="16" spans="1:5" x14ac:dyDescent="0.25">
      <c r="A16" t="s">
        <v>212</v>
      </c>
      <c r="C16" s="2">
        <v>54</v>
      </c>
      <c r="D16" s="2">
        <f>C16*(1-Summary!$C$17)</f>
        <v>43.2</v>
      </c>
      <c r="E16" t="s">
        <v>211</v>
      </c>
    </row>
    <row r="17" spans="1:5" x14ac:dyDescent="0.25">
      <c r="A17" t="s">
        <v>213</v>
      </c>
      <c r="C17" s="2">
        <v>40.799999999999997</v>
      </c>
      <c r="D17" s="2">
        <f>C17*(1-Summary!$C$17)</f>
        <v>32.64</v>
      </c>
      <c r="E17" t="s">
        <v>214</v>
      </c>
    </row>
    <row r="18" spans="1:5" x14ac:dyDescent="0.25">
      <c r="A18" t="s">
        <v>215</v>
      </c>
      <c r="C18" s="2">
        <v>217.2</v>
      </c>
      <c r="D18" s="2">
        <f>C18*(1-Summary!$C$17)</f>
        <v>173.76</v>
      </c>
      <c r="E18" t="s">
        <v>216</v>
      </c>
    </row>
    <row r="20" spans="1:5" x14ac:dyDescent="0.25">
      <c r="A20" t="s">
        <v>237</v>
      </c>
      <c r="B20" t="s">
        <v>236</v>
      </c>
      <c r="D20" s="2">
        <v>102</v>
      </c>
      <c r="E20" t="s">
        <v>238</v>
      </c>
    </row>
    <row r="22" spans="1:5" x14ac:dyDescent="0.25">
      <c r="A22" t="s">
        <v>347</v>
      </c>
      <c r="D22" s="2">
        <v>96</v>
      </c>
      <c r="E22" t="s">
        <v>346</v>
      </c>
    </row>
    <row r="23" spans="1:5" x14ac:dyDescent="0.25">
      <c r="A23" t="s">
        <v>349</v>
      </c>
      <c r="D23" s="2">
        <v>285</v>
      </c>
      <c r="E23" t="s">
        <v>348</v>
      </c>
    </row>
    <row r="33" spans="2:2" x14ac:dyDescent="0.25">
      <c r="B33">
        <f>5600*0.4</f>
        <v>2240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E12"/>
  <sheetViews>
    <sheetView workbookViewId="0">
      <selection activeCell="H39" sqref="H39"/>
    </sheetView>
  </sheetViews>
  <sheetFormatPr baseColWidth="10" defaultRowHeight="15" x14ac:dyDescent="0.25"/>
  <sheetData>
    <row r="1" spans="1:5" x14ac:dyDescent="0.25">
      <c r="A1" t="s">
        <v>17</v>
      </c>
      <c r="B1" t="s">
        <v>224</v>
      </c>
      <c r="C1" t="s">
        <v>223</v>
      </c>
      <c r="D1" t="s">
        <v>222</v>
      </c>
      <c r="E1" t="s">
        <v>354</v>
      </c>
    </row>
    <row r="2" spans="1:5" x14ac:dyDescent="0.25">
      <c r="A2" t="s">
        <v>356</v>
      </c>
      <c r="D2" s="2">
        <v>619</v>
      </c>
      <c r="E2" t="s">
        <v>355</v>
      </c>
    </row>
    <row r="3" spans="1:5" x14ac:dyDescent="0.25">
      <c r="A3" t="s">
        <v>357</v>
      </c>
      <c r="D3" s="2">
        <v>248</v>
      </c>
      <c r="E3" t="s">
        <v>355</v>
      </c>
    </row>
    <row r="4" spans="1:5" x14ac:dyDescent="0.25">
      <c r="A4" t="s">
        <v>358</v>
      </c>
      <c r="D4" s="2">
        <v>320</v>
      </c>
      <c r="E4" t="s">
        <v>355</v>
      </c>
    </row>
    <row r="5" spans="1:5" x14ac:dyDescent="0.25">
      <c r="A5" t="s">
        <v>359</v>
      </c>
      <c r="D5" s="2">
        <v>515</v>
      </c>
      <c r="E5" t="s">
        <v>355</v>
      </c>
    </row>
    <row r="6" spans="1:5" x14ac:dyDescent="0.25">
      <c r="A6" t="s">
        <v>360</v>
      </c>
      <c r="D6" s="2">
        <v>1125</v>
      </c>
      <c r="E6" t="s">
        <v>361</v>
      </c>
    </row>
    <row r="7" spans="1:5" x14ac:dyDescent="0.25">
      <c r="A7" t="s">
        <v>362</v>
      </c>
      <c r="D7" s="2">
        <v>1851</v>
      </c>
      <c r="E7" t="s">
        <v>363</v>
      </c>
    </row>
    <row r="8" spans="1:5" x14ac:dyDescent="0.25">
      <c r="A8" t="s">
        <v>364</v>
      </c>
      <c r="D8" s="2">
        <v>417</v>
      </c>
      <c r="E8" t="s">
        <v>365</v>
      </c>
    </row>
    <row r="11" spans="1:5" x14ac:dyDescent="0.25">
      <c r="A11" t="s">
        <v>369</v>
      </c>
      <c r="D11" s="2">
        <v>1001.67</v>
      </c>
      <c r="E11" t="s">
        <v>366</v>
      </c>
    </row>
    <row r="12" spans="1:5" x14ac:dyDescent="0.25">
      <c r="A12" t="s">
        <v>367</v>
      </c>
      <c r="D12" s="2">
        <v>352.31</v>
      </c>
      <c r="E12" t="s">
        <v>368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</sheetPr>
  <dimension ref="A1:G11"/>
  <sheetViews>
    <sheetView workbookViewId="0">
      <selection activeCell="A21" sqref="A21"/>
    </sheetView>
  </sheetViews>
  <sheetFormatPr baseColWidth="10" defaultRowHeight="15" x14ac:dyDescent="0.25"/>
  <cols>
    <col min="1" max="1" width="30" bestFit="1" customWidth="1"/>
    <col min="6" max="6" width="11.85546875" bestFit="1" customWidth="1"/>
  </cols>
  <sheetData>
    <row r="1" spans="1:7" x14ac:dyDescent="0.25">
      <c r="A1" t="s">
        <v>28</v>
      </c>
      <c r="B1" t="s">
        <v>275</v>
      </c>
      <c r="C1" t="s">
        <v>274</v>
      </c>
      <c r="D1" t="s">
        <v>273</v>
      </c>
      <c r="E1" t="s">
        <v>241</v>
      </c>
      <c r="F1" t="s">
        <v>242</v>
      </c>
      <c r="G1" t="s">
        <v>252</v>
      </c>
    </row>
    <row r="2" spans="1:7" x14ac:dyDescent="0.25">
      <c r="A2" t="s">
        <v>108</v>
      </c>
      <c r="D2" s="31">
        <v>1295</v>
      </c>
      <c r="F2" s="2">
        <f>D2/Summary!C16</f>
        <v>1146.3829184518961</v>
      </c>
      <c r="G2" s="21" t="s">
        <v>109</v>
      </c>
    </row>
    <row r="3" spans="1:7" x14ac:dyDescent="0.25">
      <c r="A3" t="s">
        <v>112</v>
      </c>
      <c r="D3" s="31">
        <v>13995</v>
      </c>
      <c r="F3" s="2">
        <f>D3/Summary!C16</f>
        <v>12388.902659254276</v>
      </c>
      <c r="G3" t="s">
        <v>110</v>
      </c>
    </row>
    <row r="4" spans="1:7" x14ac:dyDescent="0.25">
      <c r="A4" t="s">
        <v>126</v>
      </c>
      <c r="D4" s="31">
        <v>395</v>
      </c>
      <c r="F4" s="2">
        <f>D4/Summary!C16</f>
        <v>349.66892107220002</v>
      </c>
      <c r="G4" s="21" t="s">
        <v>125</v>
      </c>
    </row>
    <row r="5" spans="1:7" x14ac:dyDescent="0.25">
      <c r="F5" s="2"/>
    </row>
    <row r="6" spans="1:7" x14ac:dyDescent="0.25">
      <c r="A6" t="s">
        <v>276</v>
      </c>
      <c r="B6" t="s">
        <v>277</v>
      </c>
      <c r="C6" s="21"/>
      <c r="F6" s="2">
        <v>1079.0999999999999</v>
      </c>
      <c r="G6" s="21" t="s">
        <v>130</v>
      </c>
    </row>
    <row r="7" spans="1:7" x14ac:dyDescent="0.25">
      <c r="A7" t="s">
        <v>276</v>
      </c>
      <c r="B7" t="s">
        <v>278</v>
      </c>
      <c r="C7" s="21"/>
      <c r="E7" s="2">
        <v>2041.73</v>
      </c>
      <c r="F7" s="2">
        <f>E7*(1-Summary!C17)</f>
        <v>1633.384</v>
      </c>
      <c r="G7" s="21" t="s">
        <v>250</v>
      </c>
    </row>
    <row r="9" spans="1:7" x14ac:dyDescent="0.25">
      <c r="A9" t="s">
        <v>56</v>
      </c>
      <c r="B9" t="s">
        <v>131</v>
      </c>
      <c r="F9" s="2">
        <v>283.8</v>
      </c>
      <c r="G9" s="21" t="s">
        <v>132</v>
      </c>
    </row>
    <row r="10" spans="1:7" x14ac:dyDescent="0.25">
      <c r="B10" t="s">
        <v>133</v>
      </c>
      <c r="F10" s="2">
        <v>173.75</v>
      </c>
      <c r="G10" s="21" t="s">
        <v>134</v>
      </c>
    </row>
    <row r="11" spans="1:7" x14ac:dyDescent="0.25">
      <c r="B11" s="25" t="s">
        <v>136</v>
      </c>
      <c r="C11" s="25"/>
      <c r="F11" s="2">
        <v>153.08000000000001</v>
      </c>
      <c r="G11" s="21" t="s">
        <v>135</v>
      </c>
    </row>
  </sheetData>
  <hyperlinks>
    <hyperlink ref="G6" r:id="rId1" xr:uid="{00000000-0004-0000-0200-000000000000}"/>
    <hyperlink ref="G7" r:id="rId2" xr:uid="{00000000-0004-0000-0200-000001000000}"/>
    <hyperlink ref="G2" r:id="rId3" xr:uid="{00000000-0004-0000-0200-000002000000}"/>
    <hyperlink ref="G4" r:id="rId4" xr:uid="{00000000-0004-0000-0200-000003000000}"/>
    <hyperlink ref="G9" r:id="rId5" xr:uid="{00000000-0004-0000-0200-000004000000}"/>
    <hyperlink ref="G10" r:id="rId6" xr:uid="{00000000-0004-0000-0200-000005000000}"/>
    <hyperlink ref="G11" r:id="rId7" xr:uid="{00000000-0004-0000-0200-000006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79998168889431442"/>
  </sheetPr>
  <dimension ref="A1:F31"/>
  <sheetViews>
    <sheetView workbookViewId="0">
      <selection activeCell="A27" sqref="A27:F31"/>
    </sheetView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3" x14ac:dyDescent="0.25">
      <c r="A1" s="21" t="s">
        <v>12</v>
      </c>
    </row>
    <row r="2" spans="1:3" x14ac:dyDescent="0.25">
      <c r="A2" t="s">
        <v>77</v>
      </c>
      <c r="B2" s="2">
        <f>97625+10395</f>
        <v>108020</v>
      </c>
      <c r="C2" s="21" t="s">
        <v>79</v>
      </c>
    </row>
    <row r="3" spans="1:3" x14ac:dyDescent="0.25">
      <c r="A3" t="s">
        <v>78</v>
      </c>
    </row>
    <row r="4" spans="1:3" x14ac:dyDescent="0.25">
      <c r="A4" t="s">
        <v>80</v>
      </c>
      <c r="B4" t="s">
        <v>81</v>
      </c>
      <c r="C4">
        <v>1016</v>
      </c>
    </row>
    <row r="5" spans="1:3" x14ac:dyDescent="0.25">
      <c r="B5" t="s">
        <v>82</v>
      </c>
      <c r="C5">
        <v>660</v>
      </c>
    </row>
    <row r="6" spans="1:3" x14ac:dyDescent="0.25">
      <c r="B6" t="s">
        <v>83</v>
      </c>
      <c r="C6">
        <v>635</v>
      </c>
    </row>
    <row r="7" spans="1:3" x14ac:dyDescent="0.25">
      <c r="A7" t="s">
        <v>84</v>
      </c>
    </row>
    <row r="8" spans="1:3" x14ac:dyDescent="0.25">
      <c r="A8" t="s">
        <v>85</v>
      </c>
    </row>
    <row r="9" spans="1:3" x14ac:dyDescent="0.25">
      <c r="A9" t="s">
        <v>86</v>
      </c>
    </row>
    <row r="10" spans="1:3" x14ac:dyDescent="0.25">
      <c r="A10" t="s">
        <v>87</v>
      </c>
      <c r="B10" t="s">
        <v>81</v>
      </c>
      <c r="C10">
        <v>1372</v>
      </c>
    </row>
    <row r="11" spans="1:3" x14ac:dyDescent="0.25">
      <c r="B11" t="s">
        <v>82</v>
      </c>
      <c r="C11">
        <v>610</v>
      </c>
    </row>
    <row r="12" spans="1:3" x14ac:dyDescent="0.25">
      <c r="A12" t="s">
        <v>88</v>
      </c>
      <c r="B12" t="s">
        <v>89</v>
      </c>
    </row>
    <row r="13" spans="1:3" x14ac:dyDescent="0.25">
      <c r="A13" t="s">
        <v>90</v>
      </c>
      <c r="B13" t="s">
        <v>91</v>
      </c>
    </row>
    <row r="14" spans="1:3" x14ac:dyDescent="0.25">
      <c r="A14" t="s">
        <v>92</v>
      </c>
      <c r="B14" t="s">
        <v>93</v>
      </c>
    </row>
    <row r="15" spans="1:3" x14ac:dyDescent="0.25">
      <c r="A15" t="s">
        <v>94</v>
      </c>
      <c r="B15" t="s">
        <v>95</v>
      </c>
    </row>
    <row r="16" spans="1:3" x14ac:dyDescent="0.25">
      <c r="A16" t="s">
        <v>96</v>
      </c>
      <c r="B16" t="s">
        <v>97</v>
      </c>
    </row>
    <row r="17" spans="1:6" x14ac:dyDescent="0.25">
      <c r="A17" t="s">
        <v>25</v>
      </c>
      <c r="B17" t="s">
        <v>98</v>
      </c>
    </row>
    <row r="19" spans="1:6" x14ac:dyDescent="0.25">
      <c r="A19" t="s">
        <v>147</v>
      </c>
      <c r="B19" t="s">
        <v>148</v>
      </c>
      <c r="C19" t="s">
        <v>149</v>
      </c>
    </row>
    <row r="21" spans="1:6" x14ac:dyDescent="0.25">
      <c r="B21" t="s">
        <v>242</v>
      </c>
      <c r="C21" t="s">
        <v>251</v>
      </c>
      <c r="D21" t="s">
        <v>252</v>
      </c>
    </row>
    <row r="22" spans="1:6" x14ac:dyDescent="0.25">
      <c r="A22" t="s">
        <v>77</v>
      </c>
      <c r="B22" s="2">
        <f>97625+10395</f>
        <v>108020</v>
      </c>
      <c r="C22">
        <v>1</v>
      </c>
      <c r="D22" t="s">
        <v>253</v>
      </c>
    </row>
    <row r="23" spans="1:6" x14ac:dyDescent="0.25">
      <c r="A23" t="s">
        <v>147</v>
      </c>
      <c r="B23" s="2">
        <v>100</v>
      </c>
      <c r="C23">
        <v>40</v>
      </c>
      <c r="D23" s="21" t="s">
        <v>148</v>
      </c>
    </row>
    <row r="24" spans="1:6" x14ac:dyDescent="0.25">
      <c r="A24" t="s">
        <v>111</v>
      </c>
      <c r="B24" s="2">
        <v>2500</v>
      </c>
      <c r="C24">
        <v>1</v>
      </c>
      <c r="D24" s="21" t="s">
        <v>107</v>
      </c>
    </row>
    <row r="27" spans="1:6" x14ac:dyDescent="0.25">
      <c r="A27" t="s">
        <v>99</v>
      </c>
      <c r="B27" t="s">
        <v>106</v>
      </c>
    </row>
    <row r="28" spans="1:6" x14ac:dyDescent="0.25">
      <c r="B28" t="s">
        <v>101</v>
      </c>
      <c r="C28" t="s">
        <v>103</v>
      </c>
      <c r="D28" t="s">
        <v>102</v>
      </c>
      <c r="E28" t="s">
        <v>104</v>
      </c>
    </row>
    <row r="29" spans="1:6" x14ac:dyDescent="0.25">
      <c r="A29" t="s">
        <v>100</v>
      </c>
      <c r="B29" s="22">
        <v>0.04</v>
      </c>
      <c r="C29">
        <v>5</v>
      </c>
      <c r="D29" s="2">
        <v>79.52</v>
      </c>
      <c r="E29">
        <f>208*B29</f>
        <v>8.32</v>
      </c>
      <c r="F29" s="23">
        <f>$E$29*D29/C29</f>
        <v>132.32128</v>
      </c>
    </row>
    <row r="30" spans="1:6" x14ac:dyDescent="0.25">
      <c r="A30" t="s">
        <v>105</v>
      </c>
      <c r="C30">
        <v>20</v>
      </c>
      <c r="D30" s="2">
        <v>236.84</v>
      </c>
      <c r="F30" s="23">
        <f>$E$29*D30/C30</f>
        <v>98.525440000000003</v>
      </c>
    </row>
    <row r="31" spans="1:6" x14ac:dyDescent="0.25">
      <c r="C31">
        <v>200</v>
      </c>
      <c r="D31" s="2">
        <v>2116</v>
      </c>
      <c r="F31" s="23">
        <f>$E$29*D31/C31</f>
        <v>88.025599999999997</v>
      </c>
    </row>
  </sheetData>
  <hyperlinks>
    <hyperlink ref="A1" r:id="rId1" xr:uid="{00000000-0004-0000-0900-000000000000}"/>
    <hyperlink ref="C2" r:id="rId2" xr:uid="{00000000-0004-0000-0900-000001000000}"/>
    <hyperlink ref="D24" r:id="rId3" xr:uid="{00000000-0004-0000-0900-000002000000}"/>
    <hyperlink ref="D23" r:id="rId4" xr:uid="{39CBACE1-ACE8-43A9-BD03-1EA92D50704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59999389629810485"/>
  </sheetPr>
  <dimension ref="A1:F12"/>
  <sheetViews>
    <sheetView workbookViewId="0">
      <selection activeCell="F10" sqref="F10:F12"/>
    </sheetView>
  </sheetViews>
  <sheetFormatPr baseColWidth="10" defaultRowHeight="15" x14ac:dyDescent="0.25"/>
  <cols>
    <col min="1" max="1" width="51.5703125" bestFit="1" customWidth="1"/>
  </cols>
  <sheetData>
    <row r="1" spans="1:6" x14ac:dyDescent="0.25">
      <c r="A1" s="21" t="s">
        <v>12</v>
      </c>
    </row>
    <row r="2" spans="1:6" x14ac:dyDescent="0.25">
      <c r="A2" s="87" t="s">
        <v>401</v>
      </c>
      <c r="B2">
        <v>208</v>
      </c>
    </row>
    <row r="3" spans="1:6" x14ac:dyDescent="0.25">
      <c r="B3" t="s">
        <v>222</v>
      </c>
      <c r="C3" t="s">
        <v>252</v>
      </c>
    </row>
    <row r="4" spans="1:6" x14ac:dyDescent="0.25">
      <c r="A4" t="s">
        <v>147</v>
      </c>
      <c r="B4" s="2">
        <v>600</v>
      </c>
      <c r="C4" t="s">
        <v>399</v>
      </c>
    </row>
    <row r="5" spans="1:6" x14ac:dyDescent="0.25">
      <c r="A5" t="s">
        <v>397</v>
      </c>
      <c r="B5" s="2">
        <f>(2500+1500)/2</f>
        <v>2000</v>
      </c>
      <c r="C5" t="s">
        <v>399</v>
      </c>
    </row>
    <row r="6" spans="1:6" x14ac:dyDescent="0.25">
      <c r="A6" t="s">
        <v>398</v>
      </c>
      <c r="B6" s="2">
        <v>160</v>
      </c>
      <c r="C6" t="s">
        <v>400</v>
      </c>
    </row>
    <row r="8" spans="1:6" x14ac:dyDescent="0.25">
      <c r="A8" t="s">
        <v>99</v>
      </c>
      <c r="B8" t="s">
        <v>106</v>
      </c>
    </row>
    <row r="9" spans="1:6" x14ac:dyDescent="0.25">
      <c r="B9" t="s">
        <v>101</v>
      </c>
      <c r="C9" t="s">
        <v>103</v>
      </c>
      <c r="D9" t="s">
        <v>102</v>
      </c>
      <c r="E9" t="s">
        <v>104</v>
      </c>
    </row>
    <row r="10" spans="1:6" x14ac:dyDescent="0.25">
      <c r="A10" t="s">
        <v>100</v>
      </c>
      <c r="B10" s="22">
        <v>0.04</v>
      </c>
      <c r="C10">
        <v>5</v>
      </c>
      <c r="D10" s="2">
        <v>79.52</v>
      </c>
      <c r="E10">
        <f>208*B10</f>
        <v>8.32</v>
      </c>
      <c r="F10" s="23">
        <f>$B$2*$B$10*D10/C10</f>
        <v>132.32128</v>
      </c>
    </row>
    <row r="11" spans="1:6" x14ac:dyDescent="0.25">
      <c r="A11" t="s">
        <v>105</v>
      </c>
      <c r="C11">
        <v>20</v>
      </c>
      <c r="D11" s="2">
        <v>236.84</v>
      </c>
      <c r="F11" s="23">
        <f t="shared" ref="F11:F12" si="0">$B$2*$B$10*D11/C11</f>
        <v>98.525440000000003</v>
      </c>
    </row>
    <row r="12" spans="1:6" x14ac:dyDescent="0.25">
      <c r="C12">
        <v>200</v>
      </c>
      <c r="D12" s="2">
        <v>2116</v>
      </c>
      <c r="F12" s="23">
        <f t="shared" si="0"/>
        <v>88.025599999999997</v>
      </c>
    </row>
  </sheetData>
  <hyperlinks>
    <hyperlink ref="A1" r:id="rId1" xr:uid="{00000000-0004-0000-0B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Summary</vt:lpstr>
      <vt:lpstr>Manpower &amp; time</vt:lpstr>
      <vt:lpstr>Energies</vt:lpstr>
      <vt:lpstr>Metrology</vt:lpstr>
      <vt:lpstr>IT</vt:lpstr>
      <vt:lpstr>Office</vt:lpstr>
      <vt:lpstr>Tooling and small machinery</vt:lpstr>
      <vt:lpstr>CNC mill</vt:lpstr>
      <vt:lpstr>CNC lathe</vt:lpstr>
      <vt:lpstr>Laser cutter</vt:lpstr>
      <vt:lpstr>Welding</vt:lpstr>
      <vt:lpstr>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Perdereau</dc:creator>
  <cp:lastModifiedBy>Arthur Perdereau</cp:lastModifiedBy>
  <dcterms:created xsi:type="dcterms:W3CDTF">2019-04-04T18:24:41Z</dcterms:created>
  <dcterms:modified xsi:type="dcterms:W3CDTF">2019-06-11T20:12:34Z</dcterms:modified>
</cp:coreProperties>
</file>