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tabRatio="684"/>
  </bookViews>
  <sheets>
    <sheet name="Assembly" sheetId="2" r:id="rId1"/>
    <sheet name="Assembly verification" sheetId="3" r:id="rId2"/>
    <sheet name="Hoses assembly" sheetId="4" r:id="rId3"/>
    <sheet name="Material removal" sheetId="5" r:id="rId4"/>
    <sheet name="Sheet material" sheetId="6" r:id="rId5"/>
    <sheet name="Surface operation" sheetId="7" r:id="rId6"/>
    <sheet name="Welding" sheetId="8" r:id="rId7"/>
    <sheet name="Temporary" sheetId="1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4" i="2"/>
  <c r="J3" i="2"/>
  <c r="J2" i="2"/>
  <c r="D2" i="8" l="1"/>
  <c r="D3" i="8"/>
  <c r="D5" i="8"/>
  <c r="D4" i="8"/>
  <c r="J5" i="8"/>
  <c r="J4" i="8"/>
  <c r="J3" i="8"/>
  <c r="J2" i="8"/>
  <c r="F9" i="6" l="1"/>
  <c r="H9" i="6" s="1"/>
  <c r="F8" i="6"/>
  <c r="H8" i="6" s="1"/>
  <c r="F6" i="6"/>
  <c r="H6" i="6" s="1"/>
  <c r="F7" i="6"/>
  <c r="H7" i="6" s="1"/>
  <c r="F5" i="6"/>
  <c r="H5" i="6" s="1"/>
  <c r="F4" i="6"/>
  <c r="H4" i="6" s="1"/>
  <c r="K4" i="2" l="1"/>
  <c r="K4" i="8" s="1"/>
  <c r="K5" i="2" l="1"/>
  <c r="K5" i="8" s="1"/>
  <c r="K2" i="2"/>
  <c r="K2" i="8" s="1"/>
  <c r="K3" i="2"/>
  <c r="K3" i="8" s="1"/>
  <c r="F18" i="5" l="1"/>
  <c r="H18" i="5" s="1"/>
  <c r="F25" i="5"/>
  <c r="H25" i="5" s="1"/>
  <c r="F19" i="5"/>
  <c r="H19" i="5" s="1"/>
  <c r="F24" i="5"/>
  <c r="H24" i="5" s="1"/>
  <c r="F22" i="5"/>
  <c r="H22" i="5" s="1"/>
  <c r="F16" i="5"/>
  <c r="H16" i="5" s="1"/>
  <c r="F21" i="5"/>
  <c r="H21" i="5" s="1"/>
  <c r="F15" i="5"/>
  <c r="H15" i="5" s="1"/>
  <c r="F26" i="5"/>
  <c r="H26" i="5" s="1"/>
  <c r="F17" i="5"/>
  <c r="H17" i="5" s="1"/>
  <c r="F23" i="5"/>
  <c r="H23" i="5" s="1"/>
  <c r="F20" i="5"/>
  <c r="H20" i="5" s="1"/>
  <c r="F6" i="5"/>
  <c r="H6" i="5" s="1"/>
  <c r="F13" i="5" l="1"/>
  <c r="H13" i="5" s="1"/>
  <c r="F9" i="5"/>
  <c r="H9" i="5" s="1"/>
  <c r="F14" i="5"/>
  <c r="H14" i="5" s="1"/>
  <c r="F12" i="5"/>
  <c r="H12" i="5" s="1"/>
  <c r="F10" i="5"/>
  <c r="H10" i="5" s="1"/>
  <c r="F8" i="5"/>
  <c r="H8" i="5" s="1"/>
  <c r="F7" i="5" l="1"/>
  <c r="H7" i="5" s="1"/>
  <c r="F11" i="5"/>
  <c r="H11" i="5" s="1"/>
  <c r="F3" i="5"/>
  <c r="H3" i="5" s="1"/>
  <c r="F4" i="5"/>
  <c r="H4" i="5" s="1"/>
  <c r="E12" i="2"/>
  <c r="G12" i="2" s="1"/>
  <c r="E18" i="2"/>
  <c r="G18" i="2" s="1"/>
  <c r="E4" i="2"/>
  <c r="E11" i="2"/>
  <c r="G11" i="2" s="1"/>
  <c r="G9" i="2"/>
  <c r="G16" i="2"/>
  <c r="E22" i="2"/>
  <c r="G22" i="2" s="1"/>
  <c r="G14" i="2"/>
  <c r="E23" i="2"/>
  <c r="G23" i="2" s="1"/>
  <c r="G15" i="2"/>
  <c r="E17" i="2"/>
  <c r="G17" i="2" s="1"/>
  <c r="G13" i="2"/>
  <c r="E20" i="2"/>
  <c r="G20" i="2" s="1"/>
  <c r="E19" i="2"/>
  <c r="G19" i="2" s="1"/>
  <c r="G2" i="2"/>
  <c r="G6" i="2"/>
  <c r="E21" i="2"/>
  <c r="G21" i="2" s="1"/>
  <c r="G7" i="2"/>
  <c r="E3" i="2"/>
  <c r="G3" i="2" s="1"/>
  <c r="G4" i="2"/>
  <c r="G10" i="2"/>
  <c r="G8" i="2"/>
  <c r="G5" i="2"/>
  <c r="F3" i="8" l="1"/>
  <c r="F4" i="8"/>
  <c r="F5" i="8"/>
  <c r="F2" i="8"/>
  <c r="J4" i="6" l="1"/>
  <c r="J4" i="5" l="1"/>
  <c r="J5" i="5"/>
  <c r="F5" i="5" s="1"/>
  <c r="H5" i="5" s="1"/>
  <c r="J6" i="5"/>
  <c r="J3" i="5"/>
  <c r="J3" i="4" l="1"/>
  <c r="J3" i="3"/>
  <c r="J3" i="7"/>
  <c r="L3" i="6"/>
  <c r="K3" i="4"/>
  <c r="K3" i="3"/>
  <c r="K3" i="7"/>
  <c r="M3" i="6"/>
  <c r="J4" i="7"/>
  <c r="L4" i="6"/>
  <c r="J4" i="3"/>
  <c r="J4" i="4"/>
  <c r="M4" i="6"/>
  <c r="K4" i="3"/>
  <c r="D3" i="3" s="1"/>
  <c r="K4" i="4"/>
  <c r="K4" i="7"/>
  <c r="J5" i="3"/>
  <c r="J5" i="4"/>
  <c r="J5" i="7"/>
  <c r="L5" i="6"/>
  <c r="K5" i="4"/>
  <c r="K5" i="7"/>
  <c r="M5" i="6"/>
  <c r="K5" i="3"/>
  <c r="J2" i="7"/>
  <c r="L2" i="6"/>
  <c r="J2" i="4"/>
  <c r="J2" i="3"/>
  <c r="M2" i="6"/>
  <c r="F2" i="6" s="1"/>
  <c r="H2" i="6" s="1"/>
  <c r="K2" i="4"/>
  <c r="K2" i="7"/>
  <c r="K2" i="3"/>
  <c r="D3" i="4" l="1"/>
  <c r="D2" i="4"/>
  <c r="D6" i="3"/>
  <c r="D2" i="3"/>
  <c r="D4" i="3"/>
  <c r="D5" i="3"/>
  <c r="F2" i="5"/>
  <c r="H2" i="5" s="1"/>
  <c r="F28" i="5"/>
  <c r="H28" i="5" s="1"/>
  <c r="F27" i="5"/>
  <c r="H27" i="5" s="1"/>
  <c r="E2" i="7"/>
  <c r="E3" i="7"/>
</calcChain>
</file>

<file path=xl/sharedStrings.xml><?xml version="1.0" encoding="utf-8"?>
<sst xmlns="http://schemas.openxmlformats.org/spreadsheetml/2006/main" count="378" uniqueCount="153">
  <si>
    <t>Operation</t>
  </si>
  <si>
    <t>Assemble by hand</t>
  </si>
  <si>
    <t>Assemble (fittings on hoses)</t>
  </si>
  <si>
    <t>Assemble  (&gt;10kg)</t>
  </si>
  <si>
    <t>Cut (scissor, knife)</t>
  </si>
  <si>
    <t>Cut metallic hosses (grinder)</t>
  </si>
  <si>
    <t>Fill with liquids, grease, …</t>
  </si>
  <si>
    <t>First start, Engine</t>
  </si>
  <si>
    <t>Hand finish</t>
  </si>
  <si>
    <t>Install Tie wrap (zip tie, Cable clamp)</t>
  </si>
  <si>
    <t>Painting, aerosol apply</t>
  </si>
  <si>
    <t>Press operations</t>
  </si>
  <si>
    <t>Sealing</t>
  </si>
  <si>
    <t>Saw or tubing cut</t>
  </si>
  <si>
    <t>Tighten bolts (Ratchet, Wrench, Screwdriver, …)</t>
  </si>
  <si>
    <t>Threadlock application</t>
  </si>
  <si>
    <t>Type</t>
  </si>
  <si>
    <t>Fuel line</t>
  </si>
  <si>
    <t>Engine into the frame</t>
  </si>
  <si>
    <t xml:space="preserve">Temps de découpe du plan de joint plenum </t>
  </si>
  <si>
    <t>Découpe disqueuse tuyau + prise en compte temps de mise en place du scotch autour + rectif à la pince après…</t>
  </si>
  <si>
    <t>Installation d'un rilesan</t>
  </si>
  <si>
    <t>Peindre une surface de carton jusqu'à la recouvrir entièrement par exemple et me communiquer la surface</t>
  </si>
  <si>
    <t>Vérification étanchéité circuit essence (mettre en pression le circuit…)</t>
  </si>
  <si>
    <t>Vérification étanchéité circuit refroidissement</t>
  </si>
  <si>
    <t>Vérification étanchéité carter huile</t>
  </si>
  <si>
    <t>Admission</t>
  </si>
  <si>
    <t>Durée (1min, 2min, 5min, 10 min, … +/-5min près)</t>
  </si>
  <si>
    <t>35 min</t>
  </si>
  <si>
    <t>20 min</t>
  </si>
  <si>
    <t>10 min</t>
  </si>
  <si>
    <t>15 min</t>
  </si>
  <si>
    <t>5 min</t>
  </si>
  <si>
    <t>15min</t>
  </si>
  <si>
    <t>30 sec</t>
  </si>
  <si>
    <t xml:space="preserve">Type </t>
  </si>
  <si>
    <t>Description</t>
  </si>
  <si>
    <t>Assembly of exhaust system</t>
  </si>
  <si>
    <t>By who ?</t>
  </si>
  <si>
    <t>Operator</t>
  </si>
  <si>
    <t>Manpower</t>
  </si>
  <si>
    <t>Cost (€)</t>
  </si>
  <si>
    <t>For alu welded part (fuel tank, …)</t>
  </si>
  <si>
    <t>Welder</t>
  </si>
  <si>
    <t>Verification that the engine is running</t>
  </si>
  <si>
    <t>Technician</t>
  </si>
  <si>
    <t xml:space="preserve">Sealing </t>
  </si>
  <si>
    <t>For oil pan, without &amp; with engine running</t>
  </si>
  <si>
    <t>For fuel system, without &amp; with engine running</t>
  </si>
  <si>
    <t>For cooling system, without &amp; with engine running</t>
  </si>
  <si>
    <t>For fuel lines</t>
  </si>
  <si>
    <t>Drilled hole</t>
  </si>
  <si>
    <t>Machining (CNC)</t>
  </si>
  <si>
    <t>Machining (conventionnal)</t>
  </si>
  <si>
    <t>Machining setup, change</t>
  </si>
  <si>
    <t>Machining setup, install and remove</t>
  </si>
  <si>
    <t>Metrology</t>
  </si>
  <si>
    <t>Programming</t>
  </si>
  <si>
    <t>Tapping holes (Manual)</t>
  </si>
  <si>
    <t>Manually</t>
  </si>
  <si>
    <t>Unity</t>
  </si>
  <si>
    <t>Number of holes</t>
  </si>
  <si>
    <t>Quantity (by unity)</t>
  </si>
  <si>
    <t>Milling</t>
  </si>
  <si>
    <t>Turning</t>
  </si>
  <si>
    <t>mm^3</t>
  </si>
  <si>
    <t>Number of cut</t>
  </si>
  <si>
    <t>none (fixed cost)</t>
  </si>
  <si>
    <t>Price (€/unity)</t>
  </si>
  <si>
    <t>Turning (CNC)</t>
  </si>
  <si>
    <t>Turning (conventionnal)</t>
  </si>
  <si>
    <t>Milling (conventionnal)</t>
  </si>
  <si>
    <t>Milling (CNC)</t>
  </si>
  <si>
    <t>Engineer</t>
  </si>
  <si>
    <t>Turning (CNC) - Technician</t>
  </si>
  <si>
    <t>Turning (CNC) - Engineer</t>
  </si>
  <si>
    <t>Turning (CNC) - Operator</t>
  </si>
  <si>
    <t>Milling (CNC) - Operator</t>
  </si>
  <si>
    <t>Milling (CNC) - Technician</t>
  </si>
  <si>
    <t>Milling (CNC) - Engineer</t>
  </si>
  <si>
    <t>Drilled holes</t>
  </si>
  <si>
    <t>2 min</t>
  </si>
  <si>
    <t>Nbr of part (machining)</t>
  </si>
  <si>
    <t>Price (€)</t>
  </si>
  <si>
    <t>Tapped holes</t>
  </si>
  <si>
    <t>Cutting a tube and chamfering it</t>
  </si>
  <si>
    <t>Bending</t>
  </si>
  <si>
    <t>Cut (scissors, knife)</t>
  </si>
  <si>
    <t>Laser cut</t>
  </si>
  <si>
    <t>Laser cut, setup, install and remove</t>
  </si>
  <si>
    <t>Non metal cutting</t>
  </si>
  <si>
    <t>Laser cut - Operator</t>
  </si>
  <si>
    <t>Laser cut - Technician</t>
  </si>
  <si>
    <t>by bending</t>
  </si>
  <si>
    <t>Sheet metal bender</t>
  </si>
  <si>
    <t>Multiplicator</t>
  </si>
  <si>
    <t>Material</t>
  </si>
  <si>
    <t>Steel</t>
  </si>
  <si>
    <t>Aluminium</t>
  </si>
  <si>
    <t>Plastic</t>
  </si>
  <si>
    <t>Aerosol apply</t>
  </si>
  <si>
    <t>Grinding</t>
  </si>
  <si>
    <t>Surface cleaning, by hand</t>
  </si>
  <si>
    <t>Chain oil</t>
  </si>
  <si>
    <t>5 min, 20cm²</t>
  </si>
  <si>
    <t>Nbr of application</t>
  </si>
  <si>
    <t>Nbr of grinding</t>
  </si>
  <si>
    <t>Cleaning + painting</t>
  </si>
  <si>
    <t>mm</t>
  </si>
  <si>
    <t>To flatten a tube</t>
  </si>
  <si>
    <t>1 min</t>
  </si>
  <si>
    <t>Preparing</t>
  </si>
  <si>
    <t>Y of the collector</t>
  </si>
  <si>
    <t>Exhaust tube</t>
  </si>
  <si>
    <t>By tubes</t>
  </si>
  <si>
    <t>By y</t>
  </si>
  <si>
    <t>Welding</t>
  </si>
  <si>
    <t>For aluminium</t>
  </si>
  <si>
    <t>For steel</t>
  </si>
  <si>
    <t>Assembled together with bolts</t>
  </si>
  <si>
    <t>nbr of bolts</t>
  </si>
  <si>
    <t>15sec</t>
  </si>
  <si>
    <t>Bolt</t>
  </si>
  <si>
    <t>Exhaust system</t>
  </si>
  <si>
    <t>nbr of clamps</t>
  </si>
  <si>
    <t>Hoses clamps</t>
  </si>
  <si>
    <t>Assembled together with clamps</t>
  </si>
  <si>
    <t>Engine, remove older shifter axis and put new one</t>
  </si>
  <si>
    <t>Engine, Put the Wet slipper clutch</t>
  </si>
  <si>
    <t>Engine, pan with sealing</t>
  </si>
  <si>
    <t>Engine (oil pan), Draining, modif. oil strainer, new pan</t>
  </si>
  <si>
    <t>Engine, Oil filter</t>
  </si>
  <si>
    <t>Engine, into the frame</t>
  </si>
  <si>
    <t>10min, 2 operator</t>
  </si>
  <si>
    <t>nbr of application</t>
  </si>
  <si>
    <t>Untighten bolts (Ratchet, Wrench, Screwdriver, …)</t>
  </si>
  <si>
    <t>Differential</t>
  </si>
  <si>
    <t>Cooling line</t>
  </si>
  <si>
    <t>Engine oil</t>
  </si>
  <si>
    <t>Tripods</t>
  </si>
  <si>
    <t>1 min for 1 tripods</t>
  </si>
  <si>
    <t>nbr of tripods</t>
  </si>
  <si>
    <t>Differential bearings</t>
  </si>
  <si>
    <t>To mount bearings</t>
  </si>
  <si>
    <t>nbr of bearings</t>
  </si>
  <si>
    <t>nbr of flat</t>
  </si>
  <si>
    <t>15 sec</t>
  </si>
  <si>
    <t>nbr of tie wrap</t>
  </si>
  <si>
    <t>Boot clamp, ligarex strap with buckle</t>
  </si>
  <si>
    <t>Fastener install</t>
  </si>
  <si>
    <t>nbr of fasteners</t>
  </si>
  <si>
    <t>Every</t>
  </si>
  <si>
    <t>nbr of ligarex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</si>
</sst>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4" fontId="0" fillId="0" borderId="0" xfId="0" applyNumberFormat="1"/>
    <xf numFmtId="0" fontId="2" fillId="0" borderId="1" xfId="0" applyFont="1" applyBorder="1"/>
    <xf numFmtId="44" fontId="0" fillId="0" borderId="1" xfId="0" applyNumberFormat="1" applyBorder="1"/>
    <xf numFmtId="44" fontId="0" fillId="0" borderId="1" xfId="1" applyFont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44" fontId="0" fillId="0" borderId="0" xfId="1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0" xfId="0" applyFill="1"/>
    <xf numFmtId="0" fontId="0" fillId="0" borderId="0" xfId="0" applyBorder="1"/>
    <xf numFmtId="0" fontId="0" fillId="0" borderId="0" xfId="0" applyFill="1" applyBorder="1"/>
    <xf numFmtId="8" fontId="0" fillId="0" borderId="0" xfId="0" applyNumberFormat="1"/>
    <xf numFmtId="11" fontId="0" fillId="0" borderId="0" xfId="0" applyNumberFormat="1"/>
    <xf numFmtId="0" fontId="2" fillId="0" borderId="0" xfId="0" applyFont="1" applyBorder="1"/>
    <xf numFmtId="44" fontId="0" fillId="0" borderId="0" xfId="1" applyFont="1" applyBorder="1"/>
    <xf numFmtId="0" fontId="0" fillId="0" borderId="0" xfId="0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_v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npower &amp; time"/>
      <sheetName val="Energies"/>
      <sheetName val="Metrology"/>
      <sheetName val="IT"/>
      <sheetName val="Office"/>
      <sheetName val="Manufacturing"/>
      <sheetName val="CNC mill"/>
      <sheetName val="CNC lathe"/>
      <sheetName val="Laser cutter"/>
      <sheetName val="Welding"/>
      <sheetName val="Conventionnal machinning"/>
      <sheetName val="Material"/>
    </sheetNames>
    <sheetDataSet>
      <sheetData sheetId="0">
        <row r="42">
          <cell r="J42">
            <v>11.782881041914944</v>
          </cell>
        </row>
        <row r="43">
          <cell r="G43" t="str">
            <v>Operator cost/hour</v>
          </cell>
          <cell r="J43">
            <v>12.68856351404828</v>
          </cell>
        </row>
        <row r="44">
          <cell r="G44" t="str">
            <v>Technician cost/hour</v>
          </cell>
          <cell r="J44">
            <v>23.630193905817173</v>
          </cell>
        </row>
        <row r="45">
          <cell r="G45" t="str">
            <v>Welder cost/hour</v>
          </cell>
          <cell r="J45">
            <v>29.773842500989314</v>
          </cell>
        </row>
        <row r="46">
          <cell r="G46" t="str">
            <v>Engineer cost/hour</v>
          </cell>
          <cell r="J46">
            <v>41.458053027305105</v>
          </cell>
        </row>
        <row r="49">
          <cell r="R49">
            <v>9.9420021477983827E-5</v>
          </cell>
        </row>
        <row r="50">
          <cell r="R50">
            <v>0.21270972931171805</v>
          </cell>
        </row>
        <row r="52">
          <cell r="R52">
            <v>2.0392870463302686E-5</v>
          </cell>
        </row>
        <row r="53">
          <cell r="R53">
            <v>2.9510895789776764E-5</v>
          </cell>
        </row>
        <row r="54">
          <cell r="R54">
            <v>4.4367445057683372E-5</v>
          </cell>
        </row>
        <row r="55">
          <cell r="R55">
            <v>1.6314296370642149E-5</v>
          </cell>
        </row>
        <row r="56">
          <cell r="R56">
            <v>2.3608716631821412E-5</v>
          </cell>
        </row>
        <row r="57">
          <cell r="R57">
            <v>3.5493956046146703E-5</v>
          </cell>
        </row>
        <row r="58">
          <cell r="R58">
            <v>15.937032036162622</v>
          </cell>
        </row>
        <row r="63">
          <cell r="R63">
            <v>9.0620474126271213E-5</v>
          </cell>
        </row>
        <row r="64">
          <cell r="R64">
            <v>0.23336454659550679</v>
          </cell>
        </row>
        <row r="66">
          <cell r="R66">
            <v>2.0392870463302686E-5</v>
          </cell>
        </row>
        <row r="67">
          <cell r="R67">
            <v>2.9510895789776764E-5</v>
          </cell>
        </row>
        <row r="68">
          <cell r="R68">
            <v>4.4367445057683372E-5</v>
          </cell>
        </row>
        <row r="69">
          <cell r="R69">
            <v>1.6314296370642149E-5</v>
          </cell>
        </row>
        <row r="70">
          <cell r="R70">
            <v>2.3608716631821412E-5</v>
          </cell>
        </row>
        <row r="71">
          <cell r="R71">
            <v>3.5493956046146703E-5</v>
          </cell>
        </row>
        <row r="72">
          <cell r="R72">
            <v>14.168537491920908</v>
          </cell>
        </row>
        <row r="77">
          <cell r="R77">
            <v>3.6218228873642784E-4</v>
          </cell>
        </row>
        <row r="78">
          <cell r="R78">
            <v>0.26859123144983488</v>
          </cell>
        </row>
        <row r="80">
          <cell r="R80">
            <v>0.61178611389908066</v>
          </cell>
        </row>
        <row r="81">
          <cell r="R81">
            <v>0.88532687369330287</v>
          </cell>
        </row>
        <row r="82">
          <cell r="R82">
            <v>0.40785740926605374</v>
          </cell>
        </row>
        <row r="83">
          <cell r="R83">
            <v>0.59021791579553518</v>
          </cell>
        </row>
        <row r="84">
          <cell r="R84">
            <v>10.684203010971698</v>
          </cell>
        </row>
        <row r="86">
          <cell r="R86">
            <v>13.487898272491385</v>
          </cell>
        </row>
        <row r="89">
          <cell r="R89">
            <v>115.92309617457708</v>
          </cell>
        </row>
        <row r="90">
          <cell r="R90">
            <v>115.88803411560743</v>
          </cell>
        </row>
        <row r="96">
          <cell r="R96">
            <v>2.0823477092290108E-4</v>
          </cell>
        </row>
        <row r="97">
          <cell r="R97">
            <v>7.8177785461450551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J2" sqref="J2"/>
    </sheetView>
  </sheetViews>
  <sheetFormatPr baseColWidth="10" defaultRowHeight="14.4" x14ac:dyDescent="0.3"/>
  <cols>
    <col min="1" max="1" width="21.88671875" customWidth="1"/>
    <col min="2" max="2" width="45.21875" customWidth="1"/>
    <col min="3" max="3" width="14.77734375" customWidth="1"/>
    <col min="4" max="4" width="17.5546875" customWidth="1"/>
    <col min="5" max="5" width="13.109375" customWidth="1"/>
    <col min="6" max="6" width="16.109375" customWidth="1"/>
    <col min="10" max="10" width="17.88671875" customWidth="1"/>
  </cols>
  <sheetData>
    <row r="1" spans="1:11" x14ac:dyDescent="0.3">
      <c r="A1" t="s">
        <v>35</v>
      </c>
      <c r="B1" t="s">
        <v>36</v>
      </c>
      <c r="C1" t="s">
        <v>60</v>
      </c>
      <c r="D1" t="s">
        <v>38</v>
      </c>
      <c r="E1" t="s">
        <v>68</v>
      </c>
      <c r="F1" t="s">
        <v>62</v>
      </c>
      <c r="G1" t="s">
        <v>83</v>
      </c>
      <c r="J1" s="15" t="s">
        <v>40</v>
      </c>
      <c r="K1" s="1"/>
    </row>
    <row r="2" spans="1:11" x14ac:dyDescent="0.3">
      <c r="A2" t="s">
        <v>1</v>
      </c>
      <c r="B2" t="s">
        <v>37</v>
      </c>
      <c r="C2" s="25"/>
      <c r="D2" t="s">
        <v>39</v>
      </c>
      <c r="E2" s="25"/>
      <c r="F2" s="25"/>
      <c r="G2" s="14">
        <f>$K$2*35/60</f>
        <v>14.275009324311879</v>
      </c>
      <c r="J2" s="1" t="str">
        <f>[1]Summary!$G$43</f>
        <v>Operator cost/hour</v>
      </c>
      <c r="K2" s="16">
        <f>[1]Summary!$J$43+[1]Summary!$J$42</f>
        <v>24.471444555963224</v>
      </c>
    </row>
    <row r="3" spans="1:11" x14ac:dyDescent="0.3">
      <c r="A3" t="s">
        <v>1</v>
      </c>
      <c r="B3" t="s">
        <v>119</v>
      </c>
      <c r="C3" t="s">
        <v>120</v>
      </c>
      <c r="D3" t="s">
        <v>39</v>
      </c>
      <c r="E3" s="14">
        <f>$K$2*0.25/60</f>
        <v>0.10196435231651343</v>
      </c>
      <c r="G3" s="14">
        <f>E3*F3</f>
        <v>0</v>
      </c>
      <c r="J3" s="1" t="str">
        <f>[1]Summary!$G$44</f>
        <v>Technician cost/hour</v>
      </c>
      <c r="K3" s="16">
        <f>[1]Summary!$J$44+[1]Summary!$J$42</f>
        <v>35.413074947732113</v>
      </c>
    </row>
    <row r="4" spans="1:11" x14ac:dyDescent="0.3">
      <c r="A4" t="s">
        <v>1</v>
      </c>
      <c r="B4" t="s">
        <v>126</v>
      </c>
      <c r="C4" t="s">
        <v>124</v>
      </c>
      <c r="D4" t="s">
        <v>39</v>
      </c>
      <c r="E4" s="14">
        <f>$K$2*0.5/60</f>
        <v>0.20392870463302687</v>
      </c>
      <c r="G4" s="14">
        <f>E4*F4</f>
        <v>0</v>
      </c>
      <c r="J4" s="1" t="str">
        <f>[1]Summary!$G$45</f>
        <v>Welder cost/hour</v>
      </c>
      <c r="K4" s="16">
        <f>[1]Summary!$J$45+[1]Summary!$J$42</f>
        <v>41.556723542904258</v>
      </c>
    </row>
    <row r="5" spans="1:11" x14ac:dyDescent="0.3">
      <c r="A5" t="s">
        <v>1</v>
      </c>
      <c r="B5" t="s">
        <v>127</v>
      </c>
      <c r="C5" s="25"/>
      <c r="D5" t="s">
        <v>39</v>
      </c>
      <c r="E5" s="25"/>
      <c r="F5" s="25"/>
      <c r="G5" s="14">
        <f>$K$2*15/60</f>
        <v>6.117861138990806</v>
      </c>
      <c r="J5" s="1" t="str">
        <f>[1]Summary!$G$46</f>
        <v>Engineer cost/hour</v>
      </c>
      <c r="K5" s="16">
        <f>[1]Summary!$J$46+[1]Summary!$J$42</f>
        <v>53.240934069220046</v>
      </c>
    </row>
    <row r="6" spans="1:11" x14ac:dyDescent="0.3">
      <c r="A6" t="s">
        <v>1</v>
      </c>
      <c r="B6" t="s">
        <v>128</v>
      </c>
      <c r="C6" s="25"/>
      <c r="D6" t="s">
        <v>39</v>
      </c>
      <c r="E6" s="25"/>
      <c r="F6" s="25"/>
      <c r="G6" s="14">
        <f>$K$2*10/60</f>
        <v>4.0785740926605367</v>
      </c>
      <c r="K6" s="28"/>
    </row>
    <row r="7" spans="1:11" x14ac:dyDescent="0.3">
      <c r="A7" t="s">
        <v>1</v>
      </c>
      <c r="B7" t="s">
        <v>129</v>
      </c>
      <c r="C7" s="25"/>
      <c r="D7" t="s">
        <v>39</v>
      </c>
      <c r="E7" s="25"/>
      <c r="F7" s="25"/>
      <c r="G7" s="14">
        <f>$K$2*15/60</f>
        <v>6.117861138990806</v>
      </c>
    </row>
    <row r="8" spans="1:11" x14ac:dyDescent="0.3">
      <c r="A8" t="s">
        <v>1</v>
      </c>
      <c r="B8" t="s">
        <v>130</v>
      </c>
      <c r="C8" s="25"/>
      <c r="D8" t="s">
        <v>39</v>
      </c>
      <c r="E8" s="25"/>
      <c r="F8" s="25"/>
      <c r="G8" s="14">
        <f>$K$2*30/60</f>
        <v>12.235722277981612</v>
      </c>
    </row>
    <row r="9" spans="1:11" x14ac:dyDescent="0.3">
      <c r="A9" t="s">
        <v>1</v>
      </c>
      <c r="B9" t="s">
        <v>131</v>
      </c>
      <c r="C9" s="25"/>
      <c r="D9" t="s">
        <v>39</v>
      </c>
      <c r="E9" s="25"/>
      <c r="F9" s="25"/>
      <c r="G9" s="14">
        <f>$K$2*5/60</f>
        <v>2.0392870463302684</v>
      </c>
    </row>
    <row r="10" spans="1:11" x14ac:dyDescent="0.3">
      <c r="A10" s="26" t="s">
        <v>3</v>
      </c>
      <c r="B10" t="s">
        <v>132</v>
      </c>
      <c r="C10" s="25"/>
      <c r="D10" t="s">
        <v>39</v>
      </c>
      <c r="E10" s="25"/>
      <c r="F10" s="25"/>
      <c r="G10" s="14">
        <f>$K$2*2*10/60</f>
        <v>8.1571481853210734</v>
      </c>
    </row>
    <row r="11" spans="1:11" x14ac:dyDescent="0.3">
      <c r="A11" s="27" t="s">
        <v>149</v>
      </c>
      <c r="B11" t="s">
        <v>151</v>
      </c>
      <c r="C11" t="s">
        <v>150</v>
      </c>
      <c r="D11" t="s">
        <v>39</v>
      </c>
      <c r="E11" s="14">
        <f>$K$2*0.25/60</f>
        <v>0.10196435231651343</v>
      </c>
      <c r="G11" s="14">
        <f>E11*F11</f>
        <v>0</v>
      </c>
    </row>
    <row r="12" spans="1:11" x14ac:dyDescent="0.3">
      <c r="A12" s="27" t="s">
        <v>149</v>
      </c>
      <c r="B12" t="s">
        <v>148</v>
      </c>
      <c r="C12" t="s">
        <v>152</v>
      </c>
      <c r="D12" t="s">
        <v>39</v>
      </c>
      <c r="E12" s="14">
        <f>$K$2*0.5/60</f>
        <v>0.20392870463302687</v>
      </c>
      <c r="G12" s="14">
        <f>E12*F12</f>
        <v>0</v>
      </c>
    </row>
    <row r="13" spans="1:11" x14ac:dyDescent="0.3">
      <c r="A13" t="s">
        <v>6</v>
      </c>
      <c r="B13" s="26" t="s">
        <v>137</v>
      </c>
      <c r="C13" s="25"/>
      <c r="D13" t="s">
        <v>39</v>
      </c>
      <c r="E13" s="25"/>
      <c r="F13" s="25"/>
      <c r="G13" s="14">
        <f>$K$2*5/60</f>
        <v>2.0392870463302684</v>
      </c>
    </row>
    <row r="14" spans="1:11" x14ac:dyDescent="0.3">
      <c r="A14" t="s">
        <v>6</v>
      </c>
      <c r="B14" s="26" t="s">
        <v>136</v>
      </c>
      <c r="C14" s="25"/>
      <c r="D14" t="s">
        <v>39</v>
      </c>
      <c r="E14" s="25"/>
      <c r="F14" s="25"/>
      <c r="G14" s="14">
        <f>$K$2*10/60</f>
        <v>4.0785740926605367</v>
      </c>
    </row>
    <row r="15" spans="1:11" x14ac:dyDescent="0.3">
      <c r="A15" t="s">
        <v>6</v>
      </c>
      <c r="B15" s="26" t="s">
        <v>138</v>
      </c>
      <c r="C15" s="25"/>
      <c r="D15" t="s">
        <v>39</v>
      </c>
      <c r="E15" s="25"/>
      <c r="F15" s="25"/>
      <c r="G15" s="14">
        <f t="shared" ref="G15:G16" si="0">$K$2*5/60</f>
        <v>2.0392870463302684</v>
      </c>
    </row>
    <row r="16" spans="1:11" x14ac:dyDescent="0.3">
      <c r="A16" t="s">
        <v>6</v>
      </c>
      <c r="B16" s="26" t="s">
        <v>17</v>
      </c>
      <c r="C16" s="25"/>
      <c r="D16" t="s">
        <v>39</v>
      </c>
      <c r="E16" s="25"/>
      <c r="F16" s="25"/>
      <c r="G16" s="14">
        <f t="shared" si="0"/>
        <v>2.0392870463302684</v>
      </c>
    </row>
    <row r="17" spans="1:7" x14ac:dyDescent="0.3">
      <c r="A17" t="s">
        <v>6</v>
      </c>
      <c r="B17" s="27" t="s">
        <v>139</v>
      </c>
      <c r="C17" t="s">
        <v>141</v>
      </c>
      <c r="D17" t="s">
        <v>39</v>
      </c>
      <c r="E17" s="14">
        <f>$K$2*1/60</f>
        <v>0.40785740926605374</v>
      </c>
      <c r="G17" s="14">
        <f>F17*E17</f>
        <v>0</v>
      </c>
    </row>
    <row r="18" spans="1:7" x14ac:dyDescent="0.3">
      <c r="A18" t="s">
        <v>9</v>
      </c>
      <c r="B18" s="27"/>
      <c r="C18" t="s">
        <v>147</v>
      </c>
      <c r="D18" t="s">
        <v>39</v>
      </c>
      <c r="E18" s="14">
        <f>$K$2*0.25/60</f>
        <v>0.10196435231651343</v>
      </c>
      <c r="G18" s="14">
        <f>F18*E18</f>
        <v>0</v>
      </c>
    </row>
    <row r="19" spans="1:7" x14ac:dyDescent="0.3">
      <c r="A19" t="s">
        <v>11</v>
      </c>
      <c r="B19" s="27" t="s">
        <v>109</v>
      </c>
      <c r="C19" t="s">
        <v>145</v>
      </c>
      <c r="D19" t="s">
        <v>39</v>
      </c>
      <c r="E19" s="14">
        <f t="shared" ref="E19" si="1">$K$2*1/60</f>
        <v>0.40785740926605374</v>
      </c>
      <c r="G19" s="14">
        <f t="shared" ref="G19:G20" si="2">F19*E19</f>
        <v>0</v>
      </c>
    </row>
    <row r="20" spans="1:7" x14ac:dyDescent="0.3">
      <c r="A20" t="s">
        <v>11</v>
      </c>
      <c r="B20" s="27" t="s">
        <v>143</v>
      </c>
      <c r="C20" t="s">
        <v>144</v>
      </c>
      <c r="D20" t="s">
        <v>39</v>
      </c>
      <c r="E20" s="14">
        <f>$K$2*5/60</f>
        <v>2.0392870463302684</v>
      </c>
      <c r="G20" s="14">
        <f t="shared" si="2"/>
        <v>0</v>
      </c>
    </row>
    <row r="21" spans="1:7" x14ac:dyDescent="0.3">
      <c r="A21" t="s">
        <v>15</v>
      </c>
      <c r="C21" t="s">
        <v>134</v>
      </c>
      <c r="D21" t="s">
        <v>39</v>
      </c>
      <c r="E21" s="14">
        <f>$K$2*0.5/60</f>
        <v>0.20392870463302687</v>
      </c>
      <c r="G21" s="14">
        <f>E21*F21</f>
        <v>0</v>
      </c>
    </row>
    <row r="22" spans="1:7" x14ac:dyDescent="0.3">
      <c r="A22" t="s">
        <v>14</v>
      </c>
      <c r="C22" t="s">
        <v>120</v>
      </c>
      <c r="D22" t="s">
        <v>39</v>
      </c>
      <c r="E22" s="14">
        <f t="shared" ref="E22:E23" si="3">$K$2*0.5/60</f>
        <v>0.20392870463302687</v>
      </c>
      <c r="G22" s="14">
        <f t="shared" ref="G22:G23" si="4">E22*F22</f>
        <v>0</v>
      </c>
    </row>
    <row r="23" spans="1:7" x14ac:dyDescent="0.3">
      <c r="A23" t="s">
        <v>135</v>
      </c>
      <c r="C23" t="s">
        <v>120</v>
      </c>
      <c r="D23" t="s">
        <v>39</v>
      </c>
      <c r="E23" s="14">
        <f t="shared" si="3"/>
        <v>0.20392870463302687</v>
      </c>
      <c r="G23" s="14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7" sqref="E7"/>
    </sheetView>
  </sheetViews>
  <sheetFormatPr baseColWidth="10" defaultRowHeight="14.4" x14ac:dyDescent="0.3"/>
  <cols>
    <col min="1" max="1" width="17.33203125" customWidth="1"/>
    <col min="2" max="2" width="42" customWidth="1"/>
    <col min="3" max="3" width="14.88671875" customWidth="1"/>
    <col min="4" max="4" width="13.109375" customWidth="1"/>
    <col min="5" max="5" width="13.77734375" customWidth="1"/>
    <col min="6" max="6" width="16.33203125" customWidth="1"/>
    <col min="10" max="10" width="18.5546875" customWidth="1"/>
  </cols>
  <sheetData>
    <row r="1" spans="1:11" x14ac:dyDescent="0.3">
      <c r="A1" t="s">
        <v>35</v>
      </c>
      <c r="B1" t="s">
        <v>36</v>
      </c>
      <c r="C1" t="s">
        <v>38</v>
      </c>
      <c r="D1" t="s">
        <v>41</v>
      </c>
      <c r="J1" s="15" t="s">
        <v>40</v>
      </c>
      <c r="K1" s="1"/>
    </row>
    <row r="2" spans="1:11" x14ac:dyDescent="0.3">
      <c r="A2" t="s">
        <v>7</v>
      </c>
      <c r="B2" t="s">
        <v>44</v>
      </c>
      <c r="C2" t="s">
        <v>39</v>
      </c>
      <c r="D2" s="14">
        <f>K2*5/60</f>
        <v>2.0392870463302684</v>
      </c>
      <c r="J2" s="1" t="str">
        <f>Assembly!J2</f>
        <v>Operator cost/hour</v>
      </c>
      <c r="K2" s="17">
        <f>Assembly!K2</f>
        <v>24.471444555963224</v>
      </c>
    </row>
    <row r="3" spans="1:11" x14ac:dyDescent="0.3">
      <c r="A3" t="s">
        <v>46</v>
      </c>
      <c r="B3" t="s">
        <v>42</v>
      </c>
      <c r="C3" t="s">
        <v>43</v>
      </c>
      <c r="D3" s="14">
        <f>K4*5/60</f>
        <v>3.4630602952420215</v>
      </c>
      <c r="J3" s="1" t="str">
        <f>Assembly!J3</f>
        <v>Technician cost/hour</v>
      </c>
      <c r="K3" s="17">
        <f>Assembly!K3</f>
        <v>35.413074947732113</v>
      </c>
    </row>
    <row r="4" spans="1:11" x14ac:dyDescent="0.3">
      <c r="A4" t="s">
        <v>46</v>
      </c>
      <c r="B4" t="s">
        <v>49</v>
      </c>
      <c r="C4" t="s">
        <v>39</v>
      </c>
      <c r="D4" s="14">
        <f>$K$2*15/60</f>
        <v>6.117861138990806</v>
      </c>
      <c r="J4" s="1" t="str">
        <f>Assembly!J4</f>
        <v>Welder cost/hour</v>
      </c>
      <c r="K4" s="17">
        <f>Assembly!K4</f>
        <v>41.556723542904258</v>
      </c>
    </row>
    <row r="5" spans="1:11" x14ac:dyDescent="0.3">
      <c r="A5" t="s">
        <v>46</v>
      </c>
      <c r="B5" t="s">
        <v>48</v>
      </c>
      <c r="C5" t="s">
        <v>39</v>
      </c>
      <c r="D5" s="14">
        <f>$K$2*15/60</f>
        <v>6.117861138990806</v>
      </c>
      <c r="J5" s="1" t="str">
        <f>Assembly!J5</f>
        <v>Engineer cost/hour</v>
      </c>
      <c r="K5" s="17">
        <f>Assembly!K5</f>
        <v>53.240934069220046</v>
      </c>
    </row>
    <row r="6" spans="1:11" x14ac:dyDescent="0.3">
      <c r="A6" t="s">
        <v>46</v>
      </c>
      <c r="B6" t="s">
        <v>47</v>
      </c>
      <c r="C6" t="s">
        <v>39</v>
      </c>
      <c r="D6" s="14">
        <f>$K$2*15/60</f>
        <v>6.117861138990806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7" sqref="D7"/>
    </sheetView>
  </sheetViews>
  <sheetFormatPr baseColWidth="10" defaultRowHeight="14.4" x14ac:dyDescent="0.3"/>
  <cols>
    <col min="1" max="1" width="26" customWidth="1"/>
    <col min="2" max="2" width="24.44140625" customWidth="1"/>
    <col min="3" max="3" width="14.109375" customWidth="1"/>
    <col min="4" max="4" width="10.44140625" customWidth="1"/>
    <col min="5" max="5" width="9.6640625" customWidth="1"/>
    <col min="10" max="10" width="18.6640625" customWidth="1"/>
  </cols>
  <sheetData>
    <row r="1" spans="1:11" x14ac:dyDescent="0.3">
      <c r="A1" t="s">
        <v>35</v>
      </c>
      <c r="B1" t="s">
        <v>36</v>
      </c>
      <c r="C1" t="s">
        <v>38</v>
      </c>
      <c r="D1" t="s">
        <v>41</v>
      </c>
      <c r="J1" s="15" t="s">
        <v>40</v>
      </c>
      <c r="K1" s="1"/>
    </row>
    <row r="2" spans="1:11" x14ac:dyDescent="0.3">
      <c r="A2" t="s">
        <v>2</v>
      </c>
      <c r="B2" t="s">
        <v>50</v>
      </c>
      <c r="C2" t="s">
        <v>39</v>
      </c>
      <c r="D2" s="14">
        <f>$K$2*10/60</f>
        <v>4.0785740926605367</v>
      </c>
      <c r="J2" s="1" t="str">
        <f>Assembly!J2</f>
        <v>Operator cost/hour</v>
      </c>
      <c r="K2" s="17">
        <f>Assembly!K2</f>
        <v>24.471444555963224</v>
      </c>
    </row>
    <row r="3" spans="1:11" x14ac:dyDescent="0.3">
      <c r="A3" t="s">
        <v>5</v>
      </c>
      <c r="B3" t="s">
        <v>50</v>
      </c>
      <c r="C3" t="s">
        <v>39</v>
      </c>
      <c r="D3" s="14">
        <f>$K$2*10/60</f>
        <v>4.0785740926605367</v>
      </c>
      <c r="J3" s="1" t="str">
        <f>Assembly!J3</f>
        <v>Technician cost/hour</v>
      </c>
      <c r="K3" s="17">
        <f>Assembly!K3</f>
        <v>35.413074947732113</v>
      </c>
    </row>
    <row r="4" spans="1:11" x14ac:dyDescent="0.3">
      <c r="J4" s="1" t="str">
        <f>Assembly!J4</f>
        <v>Welder cost/hour</v>
      </c>
      <c r="K4" s="17">
        <f>Assembly!K4</f>
        <v>41.556723542904258</v>
      </c>
    </row>
    <row r="5" spans="1:11" x14ac:dyDescent="0.3">
      <c r="J5" s="1" t="str">
        <f>Assembly!J5</f>
        <v>Engineer cost/hour</v>
      </c>
      <c r="K5" s="17">
        <f>Assembly!K5</f>
        <v>53.240934069220046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G7" sqref="G7"/>
    </sheetView>
  </sheetViews>
  <sheetFormatPr baseColWidth="10" defaultRowHeight="14.4" x14ac:dyDescent="0.3"/>
  <cols>
    <col min="1" max="1" width="31.44140625" customWidth="1"/>
    <col min="2" max="2" width="23.109375" customWidth="1"/>
    <col min="3" max="3" width="14.5546875" customWidth="1"/>
    <col min="4" max="4" width="16.5546875" customWidth="1"/>
    <col min="5" max="5" width="20.109375" customWidth="1"/>
    <col min="6" max="6" width="14.33203125" customWidth="1"/>
    <col min="7" max="7" width="16.21875" customWidth="1"/>
    <col min="9" max="9" width="13" customWidth="1"/>
    <col min="11" max="11" width="15" customWidth="1"/>
    <col min="12" max="12" width="18.6640625" customWidth="1"/>
  </cols>
  <sheetData>
    <row r="1" spans="1:14" x14ac:dyDescent="0.3">
      <c r="A1" t="s">
        <v>35</v>
      </c>
      <c r="B1" t="s">
        <v>36</v>
      </c>
      <c r="C1" t="s">
        <v>60</v>
      </c>
      <c r="D1" t="s">
        <v>38</v>
      </c>
      <c r="E1" t="s">
        <v>82</v>
      </c>
      <c r="F1" t="s">
        <v>68</v>
      </c>
      <c r="G1" t="s">
        <v>62</v>
      </c>
      <c r="H1" t="s">
        <v>83</v>
      </c>
      <c r="I1" t="s">
        <v>96</v>
      </c>
      <c r="J1" t="s">
        <v>95</v>
      </c>
      <c r="L1" s="30"/>
      <c r="M1" s="26"/>
      <c r="N1" s="26"/>
    </row>
    <row r="2" spans="1:14" x14ac:dyDescent="0.3">
      <c r="A2" s="18" t="s">
        <v>51</v>
      </c>
      <c r="B2" t="s">
        <v>59</v>
      </c>
      <c r="C2" t="s">
        <v>61</v>
      </c>
      <c r="D2" t="s">
        <v>39</v>
      </c>
      <c r="E2" s="20"/>
      <c r="F2" s="14">
        <f>M2*2/60</f>
        <v>0</v>
      </c>
      <c r="H2" s="21">
        <f>G2*F2</f>
        <v>0</v>
      </c>
      <c r="I2" s="20"/>
      <c r="J2" s="20"/>
      <c r="L2" s="26"/>
      <c r="M2" s="31"/>
      <c r="N2" s="26"/>
    </row>
    <row r="3" spans="1:14" x14ac:dyDescent="0.3">
      <c r="A3" s="32" t="s">
        <v>52</v>
      </c>
      <c r="B3" t="s">
        <v>64</v>
      </c>
      <c r="C3" t="s">
        <v>65</v>
      </c>
      <c r="D3" t="s">
        <v>39</v>
      </c>
      <c r="E3">
        <v>1</v>
      </c>
      <c r="F3" s="29">
        <f>([1]Summary!$R$63*[1]Summary!$R$64/E3+[1]Summary!$R$63*(1-[1]Summary!$R$64))*J3</f>
        <v>9.0620474126271226E-5</v>
      </c>
      <c r="H3" s="21">
        <f t="shared" ref="H3:H6" si="0">G3*F3</f>
        <v>0</v>
      </c>
      <c r="I3" t="s">
        <v>98</v>
      </c>
      <c r="J3">
        <f>VLOOKUP(I3,$A$32:$B$34,2)</f>
        <v>1</v>
      </c>
      <c r="L3" s="26"/>
      <c r="M3" s="31"/>
      <c r="N3" s="26"/>
    </row>
    <row r="4" spans="1:14" x14ac:dyDescent="0.3">
      <c r="A4" s="32"/>
      <c r="B4" t="s">
        <v>63</v>
      </c>
      <c r="C4" t="s">
        <v>65</v>
      </c>
      <c r="D4" t="s">
        <v>39</v>
      </c>
      <c r="E4">
        <v>1</v>
      </c>
      <c r="F4" s="29">
        <f>([1]Summary!$R$49*[1]Summary!$R$50/E4 + [1]Summary!$R$49* (1 - [1]Summary!$R$50))*J4</f>
        <v>9.9420021477983827E-5</v>
      </c>
      <c r="H4" s="21">
        <f t="shared" si="0"/>
        <v>0</v>
      </c>
      <c r="I4" t="s">
        <v>98</v>
      </c>
      <c r="J4">
        <f t="shared" ref="J4:J6" si="1">VLOOKUP(I4,$A$32:$B$34,2)</f>
        <v>1</v>
      </c>
      <c r="L4" s="26"/>
      <c r="M4" s="31"/>
      <c r="N4" s="26"/>
    </row>
    <row r="5" spans="1:14" x14ac:dyDescent="0.3">
      <c r="A5" s="32" t="s">
        <v>53</v>
      </c>
      <c r="B5" t="s">
        <v>64</v>
      </c>
      <c r="C5" t="s">
        <v>65</v>
      </c>
      <c r="D5" t="s">
        <v>39</v>
      </c>
      <c r="E5" s="20"/>
      <c r="F5" s="29">
        <f>[1]Summary!$R$96*J5</f>
        <v>2.0823477092290108E-4</v>
      </c>
      <c r="H5" s="21">
        <f t="shared" si="0"/>
        <v>0</v>
      </c>
      <c r="I5" t="s">
        <v>98</v>
      </c>
      <c r="J5">
        <f t="shared" si="1"/>
        <v>1</v>
      </c>
      <c r="L5" s="26"/>
      <c r="M5" s="31"/>
      <c r="N5" s="26"/>
    </row>
    <row r="6" spans="1:14" x14ac:dyDescent="0.3">
      <c r="A6" s="32" t="s">
        <v>53</v>
      </c>
      <c r="B6" t="s">
        <v>63</v>
      </c>
      <c r="C6" t="s">
        <v>65</v>
      </c>
      <c r="D6" t="s">
        <v>39</v>
      </c>
      <c r="E6" s="20"/>
      <c r="F6" s="29">
        <f>[1]Summary!$R$96</f>
        <v>2.0823477092290108E-4</v>
      </c>
      <c r="H6" s="21">
        <f t="shared" si="0"/>
        <v>0</v>
      </c>
      <c r="I6" t="s">
        <v>98</v>
      </c>
      <c r="J6">
        <f t="shared" si="1"/>
        <v>1</v>
      </c>
      <c r="L6" s="26"/>
      <c r="M6" s="26"/>
      <c r="N6" s="26"/>
    </row>
    <row r="7" spans="1:14" x14ac:dyDescent="0.3">
      <c r="A7" s="32" t="s">
        <v>54</v>
      </c>
      <c r="B7" t="s">
        <v>69</v>
      </c>
      <c r="D7" t="s">
        <v>39</v>
      </c>
      <c r="E7" s="20"/>
      <c r="F7" s="14">
        <f>[1]Summary!$R$72</f>
        <v>14.168537491920908</v>
      </c>
      <c r="G7" t="s">
        <v>67</v>
      </c>
      <c r="H7" s="21">
        <f>F7</f>
        <v>14.168537491920908</v>
      </c>
      <c r="I7" s="20"/>
      <c r="J7" s="20"/>
      <c r="L7" s="26"/>
      <c r="M7" s="26"/>
      <c r="N7" s="26"/>
    </row>
    <row r="8" spans="1:14" x14ac:dyDescent="0.3">
      <c r="A8" s="32"/>
      <c r="B8" t="s">
        <v>70</v>
      </c>
      <c r="D8" t="s">
        <v>39</v>
      </c>
      <c r="E8" s="20"/>
      <c r="F8" s="14">
        <f>[1]Summary!$R$97</f>
        <v>7.8177785461450551</v>
      </c>
      <c r="G8" t="s">
        <v>67</v>
      </c>
      <c r="H8" s="21">
        <f t="shared" ref="H8:H14" si="2">F8</f>
        <v>7.8177785461450551</v>
      </c>
      <c r="I8" s="20"/>
      <c r="J8" s="20"/>
      <c r="L8" s="26"/>
      <c r="M8" s="26"/>
      <c r="N8" s="26"/>
    </row>
    <row r="9" spans="1:14" x14ac:dyDescent="0.3">
      <c r="A9" s="32"/>
      <c r="B9" t="s">
        <v>72</v>
      </c>
      <c r="D9" t="s">
        <v>39</v>
      </c>
      <c r="E9" s="20"/>
      <c r="F9" s="14">
        <f>[1]Summary!$R$58</f>
        <v>15.937032036162622</v>
      </c>
      <c r="G9" t="s">
        <v>67</v>
      </c>
      <c r="H9" s="21">
        <f t="shared" si="2"/>
        <v>15.937032036162622</v>
      </c>
      <c r="I9" s="20"/>
      <c r="J9" s="20"/>
    </row>
    <row r="10" spans="1:14" x14ac:dyDescent="0.3">
      <c r="A10" s="32" t="s">
        <v>54</v>
      </c>
      <c r="B10" t="s">
        <v>71</v>
      </c>
      <c r="D10" t="s">
        <v>39</v>
      </c>
      <c r="E10" s="20"/>
      <c r="F10" s="14">
        <f>[1]Summary!$R$97</f>
        <v>7.8177785461450551</v>
      </c>
      <c r="G10" t="s">
        <v>67</v>
      </c>
      <c r="H10" s="21">
        <f t="shared" si="2"/>
        <v>7.8177785461450551</v>
      </c>
      <c r="I10" s="20"/>
      <c r="J10" s="20"/>
    </row>
    <row r="11" spans="1:14" x14ac:dyDescent="0.3">
      <c r="A11" s="32" t="s">
        <v>55</v>
      </c>
      <c r="B11" t="s">
        <v>69</v>
      </c>
      <c r="D11" t="s">
        <v>39</v>
      </c>
      <c r="E11" s="20"/>
      <c r="F11" s="14">
        <f>[1]Summary!$R$72</f>
        <v>14.168537491920908</v>
      </c>
      <c r="G11" t="s">
        <v>67</v>
      </c>
      <c r="H11" s="21">
        <f t="shared" si="2"/>
        <v>14.168537491920908</v>
      </c>
      <c r="I11" s="20"/>
      <c r="J11" s="20"/>
    </row>
    <row r="12" spans="1:14" x14ac:dyDescent="0.3">
      <c r="A12" s="32"/>
      <c r="B12" t="s">
        <v>70</v>
      </c>
      <c r="D12" t="s">
        <v>39</v>
      </c>
      <c r="E12" s="20"/>
      <c r="F12" s="14">
        <f>[1]Summary!$R$97</f>
        <v>7.8177785461450551</v>
      </c>
      <c r="G12" t="s">
        <v>67</v>
      </c>
      <c r="H12" s="21">
        <f t="shared" si="2"/>
        <v>7.8177785461450551</v>
      </c>
      <c r="I12" s="20"/>
      <c r="J12" s="20"/>
    </row>
    <row r="13" spans="1:14" x14ac:dyDescent="0.3">
      <c r="A13" s="32"/>
      <c r="B13" t="s">
        <v>72</v>
      </c>
      <c r="D13" t="s">
        <v>39</v>
      </c>
      <c r="E13" s="20"/>
      <c r="F13" s="14">
        <f>[1]Summary!$R$58</f>
        <v>15.937032036162622</v>
      </c>
      <c r="G13" t="s">
        <v>67</v>
      </c>
      <c r="H13" s="21">
        <f t="shared" si="2"/>
        <v>15.937032036162622</v>
      </c>
      <c r="I13" s="20"/>
      <c r="J13" s="20"/>
    </row>
    <row r="14" spans="1:14" x14ac:dyDescent="0.3">
      <c r="A14" s="32" t="s">
        <v>55</v>
      </c>
      <c r="B14" t="s">
        <v>71</v>
      </c>
      <c r="D14" t="s">
        <v>39</v>
      </c>
      <c r="E14" s="20"/>
      <c r="F14" s="14">
        <f>[1]Summary!$R$97</f>
        <v>7.8177785461450551</v>
      </c>
      <c r="G14" t="s">
        <v>67</v>
      </c>
      <c r="H14" s="21">
        <f t="shared" si="2"/>
        <v>7.8177785461450551</v>
      </c>
      <c r="I14" s="20"/>
      <c r="J14" s="20"/>
    </row>
    <row r="15" spans="1:14" x14ac:dyDescent="0.3">
      <c r="A15" s="32" t="s">
        <v>56</v>
      </c>
      <c r="B15" s="19" t="s">
        <v>76</v>
      </c>
      <c r="C15" t="s">
        <v>65</v>
      </c>
      <c r="D15" t="s">
        <v>39</v>
      </c>
      <c r="E15">
        <v>1</v>
      </c>
      <c r="F15" s="29">
        <f>[1]Summary!$R$69/E15</f>
        <v>1.6314296370642149E-5</v>
      </c>
      <c r="H15" s="21">
        <f>G15*F15</f>
        <v>0</v>
      </c>
      <c r="I15" s="20"/>
      <c r="J15" s="20"/>
    </row>
    <row r="16" spans="1:14" x14ac:dyDescent="0.3">
      <c r="A16" s="32"/>
      <c r="B16" s="19" t="s">
        <v>74</v>
      </c>
      <c r="C16" t="s">
        <v>65</v>
      </c>
      <c r="D16" t="s">
        <v>45</v>
      </c>
      <c r="E16">
        <v>1</v>
      </c>
      <c r="F16" s="29">
        <f>[1]Summary!$R$70/E16</f>
        <v>2.3608716631821412E-5</v>
      </c>
      <c r="H16" s="21">
        <f>G16*F16</f>
        <v>0</v>
      </c>
      <c r="I16" s="20"/>
      <c r="J16" s="20"/>
    </row>
    <row r="17" spans="1:10" x14ac:dyDescent="0.3">
      <c r="A17" s="32"/>
      <c r="B17" s="19" t="s">
        <v>75</v>
      </c>
      <c r="C17" t="s">
        <v>65</v>
      </c>
      <c r="D17" t="s">
        <v>73</v>
      </c>
      <c r="E17">
        <v>1</v>
      </c>
      <c r="F17" s="29">
        <f>[1]Summary!$R$71/E17</f>
        <v>3.5493956046146703E-5</v>
      </c>
      <c r="H17" s="21">
        <f t="shared" ref="H17:H28" si="3">G17*F17</f>
        <v>0</v>
      </c>
      <c r="I17" s="20"/>
      <c r="J17" s="20"/>
    </row>
    <row r="18" spans="1:10" x14ac:dyDescent="0.3">
      <c r="A18" s="32"/>
      <c r="B18" t="s">
        <v>77</v>
      </c>
      <c r="C18" t="s">
        <v>65</v>
      </c>
      <c r="D18" t="s">
        <v>39</v>
      </c>
      <c r="E18">
        <v>1</v>
      </c>
      <c r="F18" s="29">
        <f>[1]Summary!$R$55/E18</f>
        <v>1.6314296370642149E-5</v>
      </c>
      <c r="H18" s="21">
        <f t="shared" si="3"/>
        <v>0</v>
      </c>
      <c r="I18" s="20"/>
      <c r="J18" s="20"/>
    </row>
    <row r="19" spans="1:10" x14ac:dyDescent="0.3">
      <c r="A19" s="32"/>
      <c r="B19" t="s">
        <v>78</v>
      </c>
      <c r="C19" t="s">
        <v>65</v>
      </c>
      <c r="D19" t="s">
        <v>45</v>
      </c>
      <c r="E19">
        <v>1</v>
      </c>
      <c r="F19" s="29">
        <f>[1]Summary!$R$56/E19</f>
        <v>2.3608716631821412E-5</v>
      </c>
      <c r="H19" s="21">
        <f t="shared" si="3"/>
        <v>0</v>
      </c>
      <c r="I19" s="20"/>
      <c r="J19" s="20"/>
    </row>
    <row r="20" spans="1:10" ht="13.8" customHeight="1" x14ac:dyDescent="0.3">
      <c r="A20" s="32" t="s">
        <v>56</v>
      </c>
      <c r="B20" t="s">
        <v>79</v>
      </c>
      <c r="C20" t="s">
        <v>65</v>
      </c>
      <c r="D20" t="s">
        <v>73</v>
      </c>
      <c r="E20">
        <v>1</v>
      </c>
      <c r="F20" s="29">
        <f>[1]Summary!$R$57/E20</f>
        <v>3.5493956046146703E-5</v>
      </c>
      <c r="H20" s="21">
        <f t="shared" si="3"/>
        <v>0</v>
      </c>
      <c r="I20" s="20"/>
      <c r="J20" s="20"/>
    </row>
    <row r="21" spans="1:10" x14ac:dyDescent="0.3">
      <c r="A21" s="32" t="s">
        <v>57</v>
      </c>
      <c r="B21" s="19" t="s">
        <v>76</v>
      </c>
      <c r="C21" t="s">
        <v>65</v>
      </c>
      <c r="D21" t="s">
        <v>39</v>
      </c>
      <c r="E21">
        <v>1</v>
      </c>
      <c r="F21" s="29">
        <f>[1]Summary!$R$66/E21</f>
        <v>2.0392870463302686E-5</v>
      </c>
      <c r="H21" s="21">
        <f t="shared" si="3"/>
        <v>0</v>
      </c>
      <c r="I21" s="20"/>
      <c r="J21" s="20"/>
    </row>
    <row r="22" spans="1:10" x14ac:dyDescent="0.3">
      <c r="A22" s="32"/>
      <c r="B22" s="19" t="s">
        <v>74</v>
      </c>
      <c r="C22" t="s">
        <v>65</v>
      </c>
      <c r="D22" t="s">
        <v>45</v>
      </c>
      <c r="E22">
        <v>1</v>
      </c>
      <c r="F22" s="29">
        <f>[1]Summary!$R$67/E22</f>
        <v>2.9510895789776764E-5</v>
      </c>
      <c r="H22" s="21">
        <f t="shared" si="3"/>
        <v>0</v>
      </c>
      <c r="I22" s="20"/>
      <c r="J22" s="20"/>
    </row>
    <row r="23" spans="1:10" x14ac:dyDescent="0.3">
      <c r="A23" s="32"/>
      <c r="B23" s="19" t="s">
        <v>75</v>
      </c>
      <c r="C23" t="s">
        <v>65</v>
      </c>
      <c r="D23" t="s">
        <v>73</v>
      </c>
      <c r="E23">
        <v>1</v>
      </c>
      <c r="F23" s="29">
        <f>[1]Summary!$R$68/E23</f>
        <v>4.4367445057683372E-5</v>
      </c>
      <c r="H23" s="21">
        <f t="shared" si="3"/>
        <v>0</v>
      </c>
      <c r="I23" s="20"/>
      <c r="J23" s="20"/>
    </row>
    <row r="24" spans="1:10" x14ac:dyDescent="0.3">
      <c r="A24" s="32"/>
      <c r="B24" t="s">
        <v>77</v>
      </c>
      <c r="C24" t="s">
        <v>65</v>
      </c>
      <c r="D24" t="s">
        <v>39</v>
      </c>
      <c r="E24">
        <v>1</v>
      </c>
      <c r="F24" s="29">
        <f>[1]Summary!$R$52/E24</f>
        <v>2.0392870463302686E-5</v>
      </c>
      <c r="H24" s="21">
        <f t="shared" si="3"/>
        <v>0</v>
      </c>
      <c r="I24" s="20"/>
      <c r="J24" s="20"/>
    </row>
    <row r="25" spans="1:10" x14ac:dyDescent="0.3">
      <c r="A25" s="32"/>
      <c r="B25" t="s">
        <v>78</v>
      </c>
      <c r="C25" t="s">
        <v>65</v>
      </c>
      <c r="D25" t="s">
        <v>45</v>
      </c>
      <c r="E25">
        <v>1</v>
      </c>
      <c r="F25" s="29">
        <f>[1]Summary!$R$53/E25</f>
        <v>2.9510895789776764E-5</v>
      </c>
      <c r="H25" s="21">
        <f t="shared" si="3"/>
        <v>0</v>
      </c>
      <c r="I25" s="20"/>
      <c r="J25" s="20"/>
    </row>
    <row r="26" spans="1:10" x14ac:dyDescent="0.3">
      <c r="A26" s="32"/>
      <c r="B26" t="s">
        <v>79</v>
      </c>
      <c r="C26" t="s">
        <v>65</v>
      </c>
      <c r="D26" t="s">
        <v>73</v>
      </c>
      <c r="E26">
        <v>1</v>
      </c>
      <c r="F26" s="29">
        <f>[1]Summary!$R$54/E26</f>
        <v>4.4367445057683372E-5</v>
      </c>
      <c r="H26" s="21">
        <f t="shared" si="3"/>
        <v>0</v>
      </c>
      <c r="I26" s="20"/>
      <c r="J26" s="20"/>
    </row>
    <row r="27" spans="1:10" x14ac:dyDescent="0.3">
      <c r="A27" s="18" t="s">
        <v>13</v>
      </c>
      <c r="B27" t="s">
        <v>59</v>
      </c>
      <c r="C27" t="s">
        <v>66</v>
      </c>
      <c r="D27" t="s">
        <v>39</v>
      </c>
      <c r="E27" s="20"/>
      <c r="F27" s="21">
        <f>$M$2*5/60</f>
        <v>0</v>
      </c>
      <c r="H27" s="21">
        <f t="shared" si="3"/>
        <v>0</v>
      </c>
      <c r="I27" s="20"/>
      <c r="J27" s="20"/>
    </row>
    <row r="28" spans="1:10" x14ac:dyDescent="0.3">
      <c r="A28" s="18" t="s">
        <v>58</v>
      </c>
      <c r="B28" t="s">
        <v>59</v>
      </c>
      <c r="C28" t="s">
        <v>61</v>
      </c>
      <c r="D28" t="s">
        <v>39</v>
      </c>
      <c r="E28" s="20"/>
      <c r="F28" s="21">
        <f>$M$2*2/60</f>
        <v>0</v>
      </c>
      <c r="H28" s="21">
        <f t="shared" si="3"/>
        <v>0</v>
      </c>
      <c r="I28" s="20"/>
      <c r="J28" s="20"/>
    </row>
    <row r="31" spans="1:10" x14ac:dyDescent="0.3">
      <c r="A31" s="15" t="s">
        <v>96</v>
      </c>
      <c r="B31" s="15" t="s">
        <v>95</v>
      </c>
    </row>
    <row r="32" spans="1:10" x14ac:dyDescent="0.3">
      <c r="A32" s="1" t="s">
        <v>98</v>
      </c>
      <c r="B32" s="1">
        <v>1</v>
      </c>
    </row>
    <row r="33" spans="1:2" x14ac:dyDescent="0.3">
      <c r="A33" s="1" t="s">
        <v>99</v>
      </c>
      <c r="B33" s="1">
        <v>0.5</v>
      </c>
    </row>
    <row r="34" spans="1:2" x14ac:dyDescent="0.3">
      <c r="A34" s="1" t="s">
        <v>97</v>
      </c>
      <c r="B34" s="1">
        <v>2.5</v>
      </c>
    </row>
  </sheetData>
  <mergeCells count="6">
    <mergeCell ref="A21:A26"/>
    <mergeCell ref="A3:A4"/>
    <mergeCell ref="A5:A6"/>
    <mergeCell ref="A7:A10"/>
    <mergeCell ref="A11:A14"/>
    <mergeCell ref="A15:A20"/>
  </mergeCells>
  <dataValidations count="1">
    <dataValidation type="list" allowBlank="1" showInputMessage="1" showErrorMessage="1" sqref="I3:I6">
      <formula1>"Steel,Aluminium,Plastic"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15" sqref="G15"/>
    </sheetView>
  </sheetViews>
  <sheetFormatPr baseColWidth="10" defaultRowHeight="14.4" x14ac:dyDescent="0.3"/>
  <cols>
    <col min="1" max="1" width="31.88671875" customWidth="1"/>
    <col min="2" max="2" width="21" customWidth="1"/>
    <col min="4" max="4" width="12.5546875" customWidth="1"/>
    <col min="5" max="5" width="21.88671875" customWidth="1"/>
    <col min="6" max="6" width="16.21875" customWidth="1"/>
    <col min="7" max="7" width="16.5546875" customWidth="1"/>
    <col min="8" max="8" width="11.6640625" customWidth="1"/>
    <col min="9" max="9" width="9.21875" customWidth="1"/>
    <col min="10" max="10" width="13" customWidth="1"/>
    <col min="12" max="12" width="18.21875" customWidth="1"/>
  </cols>
  <sheetData>
    <row r="1" spans="1:13" x14ac:dyDescent="0.3">
      <c r="A1" t="s">
        <v>35</v>
      </c>
      <c r="B1" t="s">
        <v>36</v>
      </c>
      <c r="C1" t="s">
        <v>60</v>
      </c>
      <c r="D1" t="s">
        <v>38</v>
      </c>
      <c r="E1" t="s">
        <v>82</v>
      </c>
      <c r="F1" t="s">
        <v>68</v>
      </c>
      <c r="G1" t="s">
        <v>62</v>
      </c>
      <c r="H1" t="s">
        <v>83</v>
      </c>
      <c r="I1" t="s">
        <v>96</v>
      </c>
      <c r="J1" t="s">
        <v>95</v>
      </c>
      <c r="L1" s="15" t="s">
        <v>40</v>
      </c>
      <c r="M1" s="1"/>
    </row>
    <row r="2" spans="1:13" x14ac:dyDescent="0.3">
      <c r="A2" s="18" t="s">
        <v>86</v>
      </c>
      <c r="B2" t="s">
        <v>94</v>
      </c>
      <c r="C2" t="s">
        <v>93</v>
      </c>
      <c r="D2" t="s">
        <v>39</v>
      </c>
      <c r="E2" s="20"/>
      <c r="F2" s="14">
        <f>M2*5/60</f>
        <v>2.0392870463302684</v>
      </c>
      <c r="H2" s="21">
        <f>F2*G2</f>
        <v>0</v>
      </c>
      <c r="I2" s="20"/>
      <c r="J2" s="20"/>
      <c r="L2" s="1" t="str">
        <f>Assembly!J2</f>
        <v>Operator cost/hour</v>
      </c>
      <c r="M2" s="17">
        <f>Assembly!K2</f>
        <v>24.471444555963224</v>
      </c>
    </row>
    <row r="3" spans="1:13" x14ac:dyDescent="0.3">
      <c r="A3" s="18" t="s">
        <v>87</v>
      </c>
      <c r="C3" t="s">
        <v>108</v>
      </c>
      <c r="D3" t="s">
        <v>39</v>
      </c>
      <c r="E3" s="20"/>
      <c r="H3" s="21"/>
      <c r="I3" s="20"/>
      <c r="J3" s="20"/>
      <c r="L3" s="1" t="str">
        <f>Assembly!J3</f>
        <v>Technician cost/hour</v>
      </c>
      <c r="M3" s="17">
        <f>Assembly!K3</f>
        <v>35.413074947732113</v>
      </c>
    </row>
    <row r="4" spans="1:13" x14ac:dyDescent="0.3">
      <c r="A4" s="18" t="s">
        <v>88</v>
      </c>
      <c r="C4" t="s">
        <v>108</v>
      </c>
      <c r="D4" t="s">
        <v>39</v>
      </c>
      <c r="E4">
        <v>1</v>
      </c>
      <c r="F4" s="29">
        <f>([1]Summary!$R$77*[1]Summary!$R$78/E4+[1]Summary!$R$77*(1-[1]Summary!$R$78))*J4</f>
        <v>3.6218228873642784E-4</v>
      </c>
      <c r="H4" s="21">
        <f>G4*F4</f>
        <v>0</v>
      </c>
      <c r="I4" t="s">
        <v>97</v>
      </c>
      <c r="J4">
        <f>VLOOKUP(I4,$A$13:$B$14,2)</f>
        <v>1</v>
      </c>
      <c r="L4" s="1" t="str">
        <f>Assembly!J4</f>
        <v>Welder cost/hour</v>
      </c>
      <c r="M4" s="17">
        <f>Assembly!K4</f>
        <v>41.556723542904258</v>
      </c>
    </row>
    <row r="5" spans="1:13" x14ac:dyDescent="0.3">
      <c r="A5" s="18" t="s">
        <v>89</v>
      </c>
      <c r="D5" t="s">
        <v>39</v>
      </c>
      <c r="E5" s="20"/>
      <c r="F5" s="14">
        <f>[1]Summary!$R$84</f>
        <v>10.684203010971698</v>
      </c>
      <c r="G5" t="s">
        <v>67</v>
      </c>
      <c r="H5" s="21">
        <f>F5</f>
        <v>10.684203010971698</v>
      </c>
      <c r="I5" s="20"/>
      <c r="J5" s="20"/>
      <c r="L5" s="1" t="str">
        <f>Assembly!J5</f>
        <v>Engineer cost/hour</v>
      </c>
      <c r="M5" s="17">
        <f>Assembly!K5</f>
        <v>53.240934069220046</v>
      </c>
    </row>
    <row r="6" spans="1:13" x14ac:dyDescent="0.3">
      <c r="A6" s="32" t="s">
        <v>56</v>
      </c>
      <c r="B6" t="s">
        <v>91</v>
      </c>
      <c r="D6" t="s">
        <v>39</v>
      </c>
      <c r="E6" s="20"/>
      <c r="F6" s="14">
        <f>[1]Summary!$R$82</f>
        <v>0.40785740926605374</v>
      </c>
      <c r="H6" s="21">
        <f t="shared" ref="H6:H9" si="0">G6*F6</f>
        <v>0</v>
      </c>
      <c r="I6" s="20"/>
      <c r="J6" s="20"/>
    </row>
    <row r="7" spans="1:13" x14ac:dyDescent="0.3">
      <c r="A7" s="32" t="s">
        <v>56</v>
      </c>
      <c r="B7" t="s">
        <v>92</v>
      </c>
      <c r="D7" t="s">
        <v>45</v>
      </c>
      <c r="E7" s="20"/>
      <c r="F7" s="14">
        <f>[1]Summary!$R$83</f>
        <v>0.59021791579553518</v>
      </c>
      <c r="H7" s="21">
        <f t="shared" si="0"/>
        <v>0</v>
      </c>
      <c r="I7" s="20"/>
      <c r="J7" s="20"/>
    </row>
    <row r="8" spans="1:13" x14ac:dyDescent="0.3">
      <c r="A8" s="32" t="s">
        <v>57</v>
      </c>
      <c r="B8" t="s">
        <v>91</v>
      </c>
      <c r="C8" t="s">
        <v>108</v>
      </c>
      <c r="D8" t="s">
        <v>39</v>
      </c>
      <c r="E8" s="20"/>
      <c r="F8" s="14">
        <f>[1]Summary!$R$80</f>
        <v>0.61178611389908066</v>
      </c>
      <c r="H8" s="21">
        <f t="shared" si="0"/>
        <v>0</v>
      </c>
      <c r="I8" s="20"/>
      <c r="J8" s="20"/>
    </row>
    <row r="9" spans="1:13" x14ac:dyDescent="0.3">
      <c r="A9" s="32"/>
      <c r="B9" t="s">
        <v>92</v>
      </c>
      <c r="C9" t="s">
        <v>108</v>
      </c>
      <c r="D9" t="s">
        <v>45</v>
      </c>
      <c r="E9" s="20"/>
      <c r="F9" s="14">
        <f>[1]Summary!$R$81</f>
        <v>0.88532687369330287</v>
      </c>
      <c r="H9" s="21">
        <f t="shared" si="0"/>
        <v>0</v>
      </c>
      <c r="I9" s="20"/>
      <c r="J9" s="20"/>
    </row>
    <row r="10" spans="1:13" x14ac:dyDescent="0.3">
      <c r="A10" s="18" t="s">
        <v>90</v>
      </c>
      <c r="C10" t="s">
        <v>108</v>
      </c>
      <c r="D10" t="s">
        <v>39</v>
      </c>
      <c r="E10" s="20"/>
      <c r="H10" s="21"/>
      <c r="I10" s="20"/>
      <c r="J10" s="20"/>
    </row>
    <row r="11" spans="1:13" x14ac:dyDescent="0.3">
      <c r="A11" s="18"/>
    </row>
    <row r="12" spans="1:13" x14ac:dyDescent="0.3">
      <c r="A12" s="15" t="s">
        <v>96</v>
      </c>
      <c r="B12" s="15" t="s">
        <v>95</v>
      </c>
    </row>
    <row r="13" spans="1:13" x14ac:dyDescent="0.3">
      <c r="A13" s="1" t="s">
        <v>98</v>
      </c>
      <c r="B13" s="1">
        <v>0.72</v>
      </c>
    </row>
    <row r="14" spans="1:13" x14ac:dyDescent="0.3">
      <c r="A14" s="1" t="s">
        <v>97</v>
      </c>
      <c r="B14" s="1">
        <v>1</v>
      </c>
    </row>
  </sheetData>
  <mergeCells count="2">
    <mergeCell ref="A8:A9"/>
    <mergeCell ref="A6:A7"/>
  </mergeCells>
  <dataValidations count="1">
    <dataValidation type="list" allowBlank="1" showInputMessage="1" showErrorMessage="1" sqref="I4">
      <formula1>"Steel,Aluminium"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J1" sqref="J1:K5"/>
    </sheetView>
  </sheetViews>
  <sheetFormatPr baseColWidth="10" defaultRowHeight="14.4" x14ac:dyDescent="0.3"/>
  <cols>
    <col min="1" max="1" width="23.6640625" customWidth="1"/>
    <col min="2" max="2" width="16.88671875" customWidth="1"/>
    <col min="3" max="3" width="16.6640625" customWidth="1"/>
    <col min="5" max="5" width="14.77734375" customWidth="1"/>
    <col min="6" max="6" width="18" customWidth="1"/>
    <col min="10" max="10" width="19.33203125" customWidth="1"/>
  </cols>
  <sheetData>
    <row r="1" spans="1:11" x14ac:dyDescent="0.3">
      <c r="A1" t="s">
        <v>35</v>
      </c>
      <c r="B1" t="s">
        <v>36</v>
      </c>
      <c r="C1" t="s">
        <v>60</v>
      </c>
      <c r="D1" t="s">
        <v>38</v>
      </c>
      <c r="E1" t="s">
        <v>68</v>
      </c>
      <c r="F1" t="s">
        <v>62</v>
      </c>
      <c r="G1" t="s">
        <v>83</v>
      </c>
      <c r="J1" s="15" t="s">
        <v>40</v>
      </c>
      <c r="K1" s="1"/>
    </row>
    <row r="2" spans="1:11" x14ac:dyDescent="0.3">
      <c r="A2" s="18" t="s">
        <v>100</v>
      </c>
      <c r="B2" t="s">
        <v>103</v>
      </c>
      <c r="C2" t="s">
        <v>105</v>
      </c>
      <c r="D2" t="s">
        <v>39</v>
      </c>
      <c r="E2" s="14">
        <f>K2*2/60</f>
        <v>0.81571481853210748</v>
      </c>
      <c r="J2" s="1" t="str">
        <f>Assembly!J2</f>
        <v>Operator cost/hour</v>
      </c>
      <c r="K2" s="17">
        <f>Assembly!K2</f>
        <v>24.471444555963224</v>
      </c>
    </row>
    <row r="3" spans="1:11" x14ac:dyDescent="0.3">
      <c r="A3" s="18" t="s">
        <v>101</v>
      </c>
      <c r="C3" t="s">
        <v>106</v>
      </c>
      <c r="D3" t="s">
        <v>39</v>
      </c>
      <c r="E3" s="14">
        <f>K2*0.5/60</f>
        <v>0.20392870463302687</v>
      </c>
      <c r="J3" s="1" t="str">
        <f>Assembly!J3</f>
        <v>Technician cost/hour</v>
      </c>
      <c r="K3" s="17">
        <f>Assembly!K3</f>
        <v>35.413074947732113</v>
      </c>
    </row>
    <row r="4" spans="1:11" x14ac:dyDescent="0.3">
      <c r="A4" s="18" t="s">
        <v>8</v>
      </c>
      <c r="D4" t="s">
        <v>39</v>
      </c>
      <c r="J4" s="1" t="str">
        <f>Assembly!J4</f>
        <v>Welder cost/hour</v>
      </c>
      <c r="K4" s="17">
        <f>Assembly!K4</f>
        <v>41.556723542904258</v>
      </c>
    </row>
    <row r="5" spans="1:11" x14ac:dyDescent="0.3">
      <c r="A5" s="18" t="s">
        <v>10</v>
      </c>
      <c r="B5" t="s">
        <v>107</v>
      </c>
      <c r="D5" t="s">
        <v>39</v>
      </c>
      <c r="J5" s="1" t="str">
        <f>Assembly!J5</f>
        <v>Engineer cost/hour</v>
      </c>
      <c r="K5" s="17">
        <f>Assembly!K5</f>
        <v>53.240934069220046</v>
      </c>
    </row>
    <row r="6" spans="1:11" x14ac:dyDescent="0.3">
      <c r="A6" s="18" t="s">
        <v>102</v>
      </c>
      <c r="D6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E12" sqref="E12"/>
    </sheetView>
  </sheetViews>
  <sheetFormatPr baseColWidth="10" defaultRowHeight="14.4" x14ac:dyDescent="0.3"/>
  <cols>
    <col min="1" max="1" width="19" customWidth="1"/>
    <col min="2" max="2" width="18.33203125" customWidth="1"/>
    <col min="3" max="3" width="10.5546875" customWidth="1"/>
    <col min="4" max="4" width="13.33203125" customWidth="1"/>
    <col min="5" max="5" width="16.88671875" customWidth="1"/>
    <col min="10" max="10" width="20.109375" customWidth="1"/>
  </cols>
  <sheetData>
    <row r="1" spans="1:11" x14ac:dyDescent="0.3">
      <c r="A1" t="s">
        <v>35</v>
      </c>
      <c r="B1" t="s">
        <v>36</v>
      </c>
      <c r="C1" t="s">
        <v>60</v>
      </c>
      <c r="D1" t="s">
        <v>68</v>
      </c>
      <c r="E1" t="s">
        <v>62</v>
      </c>
      <c r="F1" t="s">
        <v>83</v>
      </c>
      <c r="J1" s="15" t="s">
        <v>40</v>
      </c>
      <c r="K1" s="1"/>
    </row>
    <row r="2" spans="1:11" x14ac:dyDescent="0.3">
      <c r="A2" s="32" t="s">
        <v>111</v>
      </c>
      <c r="B2" t="s">
        <v>113</v>
      </c>
      <c r="C2" t="s">
        <v>114</v>
      </c>
      <c r="D2" s="28">
        <f>([1]Summary!$R$86+[1]Summary!$J$45)*10/60</f>
        <v>7.2102901289134502</v>
      </c>
      <c r="F2" s="21">
        <f>D2*E2</f>
        <v>0</v>
      </c>
      <c r="J2" s="1" t="str">
        <f>Assembly!J2</f>
        <v>Operator cost/hour</v>
      </c>
      <c r="K2" s="17">
        <f>Assembly!K2</f>
        <v>24.471444555963224</v>
      </c>
    </row>
    <row r="3" spans="1:11" x14ac:dyDescent="0.3">
      <c r="A3" s="32"/>
      <c r="B3" t="s">
        <v>112</v>
      </c>
      <c r="C3" t="s">
        <v>115</v>
      </c>
      <c r="D3" s="28">
        <f>([1]Summary!$R$86+[1]Summary!$J$45)*3</f>
        <v>129.78522232044207</v>
      </c>
      <c r="F3" s="21">
        <f t="shared" ref="F3:F5" si="0">D3*E3</f>
        <v>0</v>
      </c>
      <c r="J3" s="1" t="str">
        <f>Assembly!J3</f>
        <v>Technician cost/hour</v>
      </c>
      <c r="K3" s="17">
        <f>Assembly!K3</f>
        <v>35.413074947732113</v>
      </c>
    </row>
    <row r="4" spans="1:11" x14ac:dyDescent="0.3">
      <c r="A4" s="32" t="s">
        <v>116</v>
      </c>
      <c r="B4" t="s">
        <v>117</v>
      </c>
      <c r="C4" t="s">
        <v>108</v>
      </c>
      <c r="D4" s="14">
        <f>[1]Summary!$R$89/1000</f>
        <v>0.11592309617457708</v>
      </c>
      <c r="F4" s="21">
        <f t="shared" si="0"/>
        <v>0</v>
      </c>
      <c r="J4" s="1" t="str">
        <f>Assembly!J4</f>
        <v>Welder cost/hour</v>
      </c>
      <c r="K4" s="17">
        <f>Assembly!K4</f>
        <v>41.556723542904258</v>
      </c>
    </row>
    <row r="5" spans="1:11" x14ac:dyDescent="0.3">
      <c r="A5" s="32"/>
      <c r="B5" t="s">
        <v>118</v>
      </c>
      <c r="C5" t="s">
        <v>108</v>
      </c>
      <c r="D5" s="28">
        <f>[1]Summary!$R$90/1000</f>
        <v>0.11588803411560743</v>
      </c>
      <c r="F5" s="21">
        <f t="shared" si="0"/>
        <v>0</v>
      </c>
      <c r="J5" s="1" t="str">
        <f>Assembly!J5</f>
        <v>Engineer cost/hour</v>
      </c>
      <c r="K5" s="17">
        <f>Assembly!K5</f>
        <v>53.240934069220046</v>
      </c>
    </row>
  </sheetData>
  <mergeCells count="2">
    <mergeCell ref="A2:A3"/>
    <mergeCell ref="A4:A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17" sqref="C17"/>
    </sheetView>
  </sheetViews>
  <sheetFormatPr baseColWidth="10" defaultRowHeight="14.4" x14ac:dyDescent="0.3"/>
  <cols>
    <col min="1" max="1" width="39.5546875" customWidth="1"/>
    <col min="2" max="2" width="64.21875" customWidth="1"/>
    <col min="3" max="3" width="40.21875" customWidth="1"/>
  </cols>
  <sheetData>
    <row r="1" spans="1:3" ht="15" thickBot="1" x14ac:dyDescent="0.35">
      <c r="A1" s="3" t="s">
        <v>0</v>
      </c>
      <c r="B1" s="4" t="s">
        <v>16</v>
      </c>
      <c r="C1" s="5" t="s">
        <v>27</v>
      </c>
    </row>
    <row r="2" spans="1:3" x14ac:dyDescent="0.3">
      <c r="A2" s="6" t="s">
        <v>1</v>
      </c>
      <c r="B2" s="7" t="s">
        <v>123</v>
      </c>
      <c r="C2" s="8" t="s">
        <v>28</v>
      </c>
    </row>
    <row r="3" spans="1:3" x14ac:dyDescent="0.3">
      <c r="A3" s="9"/>
      <c r="B3" s="1" t="s">
        <v>26</v>
      </c>
      <c r="C3" s="10" t="s">
        <v>29</v>
      </c>
    </row>
    <row r="4" spans="1:3" x14ac:dyDescent="0.3">
      <c r="A4" s="9"/>
      <c r="B4" s="1" t="s">
        <v>122</v>
      </c>
      <c r="C4" s="10" t="s">
        <v>121</v>
      </c>
    </row>
    <row r="5" spans="1:3" x14ac:dyDescent="0.3">
      <c r="A5" s="9"/>
      <c r="B5" s="1" t="s">
        <v>125</v>
      </c>
      <c r="C5" s="10" t="s">
        <v>121</v>
      </c>
    </row>
    <row r="6" spans="1:3" x14ac:dyDescent="0.3">
      <c r="A6" s="9" t="s">
        <v>2</v>
      </c>
      <c r="B6" s="1" t="s">
        <v>17</v>
      </c>
      <c r="C6" s="10" t="s">
        <v>30</v>
      </c>
    </row>
    <row r="7" spans="1:3" x14ac:dyDescent="0.3">
      <c r="A7" s="9" t="s">
        <v>3</v>
      </c>
      <c r="B7" s="1" t="s">
        <v>18</v>
      </c>
      <c r="C7" s="10" t="s">
        <v>133</v>
      </c>
    </row>
    <row r="8" spans="1:3" x14ac:dyDescent="0.3">
      <c r="A8" s="9" t="s">
        <v>4</v>
      </c>
      <c r="B8" s="1" t="s">
        <v>19</v>
      </c>
      <c r="C8" s="10" t="s">
        <v>31</v>
      </c>
    </row>
    <row r="9" spans="1:3" ht="28.8" x14ac:dyDescent="0.3">
      <c r="A9" s="9" t="s">
        <v>5</v>
      </c>
      <c r="B9" s="2" t="s">
        <v>20</v>
      </c>
      <c r="C9" s="10" t="s">
        <v>30</v>
      </c>
    </row>
    <row r="10" spans="1:3" x14ac:dyDescent="0.3">
      <c r="A10" s="9" t="s">
        <v>80</v>
      </c>
      <c r="B10" s="2"/>
      <c r="C10" s="10" t="s">
        <v>81</v>
      </c>
    </row>
    <row r="11" spans="1:3" x14ac:dyDescent="0.3">
      <c r="A11" s="9" t="s">
        <v>6</v>
      </c>
      <c r="B11" s="26" t="s">
        <v>136</v>
      </c>
      <c r="C11" s="10" t="s">
        <v>30</v>
      </c>
    </row>
    <row r="12" spans="1:3" x14ac:dyDescent="0.3">
      <c r="A12" s="9"/>
      <c r="B12" s="26" t="s">
        <v>17</v>
      </c>
      <c r="C12" s="10" t="s">
        <v>32</v>
      </c>
    </row>
    <row r="13" spans="1:3" x14ac:dyDescent="0.3">
      <c r="A13" s="9"/>
      <c r="B13" s="26" t="s">
        <v>137</v>
      </c>
      <c r="C13" s="10" t="s">
        <v>32</v>
      </c>
    </row>
    <row r="14" spans="1:3" x14ac:dyDescent="0.3">
      <c r="A14" s="9"/>
      <c r="B14" s="26" t="s">
        <v>138</v>
      </c>
      <c r="C14" s="10" t="s">
        <v>32</v>
      </c>
    </row>
    <row r="15" spans="1:3" x14ac:dyDescent="0.3">
      <c r="A15" s="9"/>
      <c r="B15" s="1" t="s">
        <v>139</v>
      </c>
      <c r="C15" s="10" t="s">
        <v>140</v>
      </c>
    </row>
    <row r="16" spans="1:3" x14ac:dyDescent="0.3">
      <c r="A16" s="9" t="s">
        <v>100</v>
      </c>
      <c r="B16" s="1" t="s">
        <v>103</v>
      </c>
      <c r="C16" s="10" t="s">
        <v>81</v>
      </c>
    </row>
    <row r="17" spans="1:3" x14ac:dyDescent="0.3">
      <c r="A17" s="9" t="s">
        <v>7</v>
      </c>
      <c r="B17" s="1"/>
      <c r="C17" s="10"/>
    </row>
    <row r="18" spans="1:3" x14ac:dyDescent="0.3">
      <c r="A18" s="9" t="s">
        <v>8</v>
      </c>
      <c r="B18" s="1"/>
      <c r="C18" s="10"/>
    </row>
    <row r="19" spans="1:3" x14ac:dyDescent="0.3">
      <c r="A19" s="9" t="s">
        <v>9</v>
      </c>
      <c r="B19" s="1" t="s">
        <v>21</v>
      </c>
      <c r="C19" s="10" t="s">
        <v>146</v>
      </c>
    </row>
    <row r="20" spans="1:3" ht="28.8" x14ac:dyDescent="0.3">
      <c r="A20" s="9" t="s">
        <v>10</v>
      </c>
      <c r="B20" s="2" t="s">
        <v>22</v>
      </c>
      <c r="C20" s="10" t="s">
        <v>104</v>
      </c>
    </row>
    <row r="21" spans="1:3" x14ac:dyDescent="0.3">
      <c r="A21" s="9" t="s">
        <v>11</v>
      </c>
      <c r="B21" s="1" t="s">
        <v>142</v>
      </c>
      <c r="C21" s="10" t="s">
        <v>30</v>
      </c>
    </row>
    <row r="22" spans="1:3" x14ac:dyDescent="0.3">
      <c r="A22" s="9"/>
      <c r="B22" s="1" t="s">
        <v>109</v>
      </c>
      <c r="C22" s="10" t="s">
        <v>110</v>
      </c>
    </row>
    <row r="23" spans="1:3" x14ac:dyDescent="0.3">
      <c r="A23" s="9" t="s">
        <v>12</v>
      </c>
      <c r="B23" s="1" t="s">
        <v>23</v>
      </c>
      <c r="C23" s="10" t="s">
        <v>33</v>
      </c>
    </row>
    <row r="24" spans="1:3" x14ac:dyDescent="0.3">
      <c r="A24" s="9"/>
      <c r="B24" s="1" t="s">
        <v>24</v>
      </c>
      <c r="C24" s="10" t="s">
        <v>31</v>
      </c>
    </row>
    <row r="25" spans="1:3" x14ac:dyDescent="0.3">
      <c r="A25" s="9"/>
      <c r="B25" s="1" t="s">
        <v>25</v>
      </c>
      <c r="C25" s="10" t="s">
        <v>31</v>
      </c>
    </row>
    <row r="26" spans="1:3" x14ac:dyDescent="0.3">
      <c r="A26" s="9" t="s">
        <v>13</v>
      </c>
      <c r="B26" s="1" t="s">
        <v>85</v>
      </c>
      <c r="C26" s="10" t="s">
        <v>32</v>
      </c>
    </row>
    <row r="27" spans="1:3" x14ac:dyDescent="0.3">
      <c r="A27" s="9" t="s">
        <v>14</v>
      </c>
      <c r="B27" s="1"/>
      <c r="C27" s="10" t="s">
        <v>34</v>
      </c>
    </row>
    <row r="28" spans="1:3" x14ac:dyDescent="0.3">
      <c r="A28" s="22" t="s">
        <v>84</v>
      </c>
      <c r="B28" s="23"/>
      <c r="C28" s="24" t="s">
        <v>81</v>
      </c>
    </row>
    <row r="29" spans="1:3" ht="15" thickBot="1" x14ac:dyDescent="0.35">
      <c r="A29" s="11" t="s">
        <v>15</v>
      </c>
      <c r="B29" s="12"/>
      <c r="C29" s="1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Assembly</vt:lpstr>
      <vt:lpstr>Assembly verification</vt:lpstr>
      <vt:lpstr>Hoses assembly</vt:lpstr>
      <vt:lpstr>Material removal</vt:lpstr>
      <vt:lpstr>Sheet material</vt:lpstr>
      <vt:lpstr>Surface operation</vt:lpstr>
      <vt:lpstr>Welding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2019-06-05T20:53:48Z</dcterms:created>
  <dcterms:modified xsi:type="dcterms:W3CDTF">2019-06-18T23:05:24Z</dcterms:modified>
</cp:coreProperties>
</file>